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vsd" ContentType="application/vnd.visi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24.xml" ContentType="application/vnd.ms-excel.controlproperties+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drawings/drawing8.xml" ContentType="application/vnd.openxmlformats-officedocument.drawing+xml"/>
  <Override PartName="/xl/comments2.xml" ContentType="application/vnd.openxmlformats-officedocument.spreadsheetml.comments+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drawings/drawing9.xml" ContentType="application/vnd.openxmlformats-officedocument.drawingml.chartshapes+xml"/>
  <Override PartName="/xl/charts/chart16.xml" ContentType="application/vnd.openxmlformats-officedocument.drawingml.chart+xml"/>
  <Override PartName="/xl/drawings/drawing10.xml" ContentType="application/vnd.openxmlformats-officedocument.drawingml.chartshapes+xml"/>
  <Override PartName="/xl/charts/chart17.xml" ContentType="application/vnd.openxmlformats-officedocument.drawingml.chart+xml"/>
  <Override PartName="/xl/drawings/drawing11.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drawings/drawing12.xml" ContentType="application/vnd.openxmlformats-officedocument.drawing+xml"/>
  <Override PartName="/xl/charts/chart20.xml" ContentType="application/vnd.openxmlformats-officedocument.drawingml.chart+xml"/>
  <Override PartName="/xl/charts/chart21.xml" ContentType="application/vnd.openxmlformats-officedocument.drawingml.chart+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showInkAnnotation="0" codeName="ThisWorkbook" autoCompressPictures="0"/>
  <mc:AlternateContent xmlns:mc="http://schemas.openxmlformats.org/markup-compatibility/2006">
    <mc:Choice Requires="x15">
      <x15ac:absPath xmlns:x15ac="http://schemas.microsoft.com/office/spreadsheetml/2010/11/ac" url="C:\Users\Office\Desktop\"/>
    </mc:Choice>
  </mc:AlternateContent>
  <xr:revisionPtr revIDLastSave="0" documentId="8_{E2CB8BFA-6567-4AFE-8DC7-F865E705763D}" xr6:coauthVersionLast="45" xr6:coauthVersionMax="45" xr10:uidLastSave="{00000000-0000-0000-0000-000000000000}"/>
  <workbookProtection workbookPassword="CCC8" lockStructure="1"/>
  <bookViews>
    <workbookView xWindow="-108" yWindow="-108" windowWidth="23256" windowHeight="12576" tabRatio="420" xr2:uid="{00000000-000D-0000-FFFF-FFFF00000000}"/>
  </bookViews>
  <sheets>
    <sheet name="Design PSR Flyback Converter" sheetId="1" r:id="rId1"/>
    <sheet name="BOM &amp; Schematic" sheetId="16" r:id="rId2"/>
    <sheet name="EVMs" sheetId="14" r:id="rId3"/>
    <sheet name="Variable Mgmt" sheetId="2" state="hidden" r:id="rId4"/>
    <sheet name="Calculations - Single" sheetId="24" state="hidden" r:id="rId5"/>
    <sheet name="Calculations - Dual" sheetId="25" state="hidden" r:id="rId6"/>
    <sheet name="Fsw vs VIN" sheetId="23" state="hidden" r:id="rId7"/>
    <sheet name="Parameters" sheetId="19" state="hidden" r:id="rId8"/>
    <sheet name="Efficiency Plots" sheetId="22" state="hidden" r:id="rId9"/>
    <sheet name="Fsw Plots" sheetId="28" state="hidden" r:id="rId10"/>
    <sheet name="Schematic Mgmt" sheetId="21" state="hidden" r:id="rId11"/>
    <sheet name="Standard Value Calculator" sheetId="8" state="hidden" r:id="rId12"/>
  </sheets>
  <definedNames>
    <definedName name="_Don1">'Variable Mgmt'!$B$60</definedName>
    <definedName name="BDserR">Parameters!$D$50</definedName>
    <definedName name="Cb">'Variable Mgmt'!$B$147</definedName>
    <definedName name="Cin" localSheetId="7">Parameters!$D$30</definedName>
    <definedName name="Cin">'Variable Mgmt'!$B$112</definedName>
    <definedName name="CinEsrMax">'Variable Mgmt'!$B$114</definedName>
    <definedName name="Cinmin">'Variable Mgmt'!$B$110</definedName>
    <definedName name="CONFIG">'Variable Mgmt'!$C$52</definedName>
    <definedName name="Coss">Parameters!$D$45</definedName>
    <definedName name="Cout" localSheetId="7">Parameters!$D$32</definedName>
    <definedName name="Cout">'Variable Mgmt'!$B$87</definedName>
    <definedName name="Cout_Voltage_Rating">'Variable Mgmt'!$S$53</definedName>
    <definedName name="Cout2">'Variable Mgmt'!$B$97</definedName>
    <definedName name="CoutEsr">'Variable Mgmt'!$B$89</definedName>
    <definedName name="CoutEsr2">'Variable Mgmt'!$B$99</definedName>
    <definedName name="Css">'Variable Mgmt'!$B$127</definedName>
    <definedName name="Css_u">'Variable Mgmt'!$B$128</definedName>
    <definedName name="Csw">Parameters!$D$46</definedName>
    <definedName name="Diode_TC">'Variable Mgmt'!$B$158</definedName>
    <definedName name="Don_Vinmax">'Variable Mgmt'!$B$63</definedName>
    <definedName name="Don_Vinmin">'Variable Mgmt'!$B$61</definedName>
    <definedName name="Don_Vinnom">'Variable Mgmt'!$B$62</definedName>
    <definedName name="EFF_DUAL">'Efficiency Plots'!$B$7</definedName>
    <definedName name="EFF_SINGLE">'Efficiency Plots'!$B$5</definedName>
    <definedName name="Efficiency">'Variable Mgmt'!$B$33</definedName>
    <definedName name="Fsw" localSheetId="7">Parameters!$D$20</definedName>
    <definedName name="Fsw_DCM">'Variable Mgmt'!$B$40</definedName>
    <definedName name="Fsw_DUAL">'Fsw Plots'!$B$7</definedName>
    <definedName name="Fsw_max">Parameters!$D$21</definedName>
    <definedName name="Fsw_SINGLE">'Fsw Plots'!$B$5</definedName>
    <definedName name="Icinrms">'Variable Mgmt'!$B$109</definedName>
    <definedName name="Icoutrms">'Variable Mgmt'!$B$81</definedName>
    <definedName name="Iin_Vinmax">'Variable Mgmt'!$B$37</definedName>
    <definedName name="Iin_Vinmin">'Variable Mgmt'!$B$35</definedName>
    <definedName name="Iin_Vinnom">'Variable Mgmt'!$B$36</definedName>
    <definedName name="Iout">'Variable Mgmt'!$B$12</definedName>
    <definedName name="Iout_max">Parameters!$D$10</definedName>
    <definedName name="Iout2">'Variable Mgmt'!$B$18</definedName>
    <definedName name="Iout2_actual">'Variable Mgmt'!$B$19</definedName>
    <definedName name="Ioutmax_Vinmax" localSheetId="5">'Calculations - Dual'!$Q$218</definedName>
    <definedName name="Ioutmax_Vinmax">'Calculations - Single'!$P$217</definedName>
    <definedName name="Ioutmax_Vinmin" localSheetId="5">'Calculations - Dual'!$Q$110</definedName>
    <definedName name="Ioutmax_Vinmin">'Calculations - Single'!$P$110</definedName>
    <definedName name="Ioutmax_Vinnom" localSheetId="5">'Calculations - Dual'!$Q$5</definedName>
    <definedName name="Ioutmax_Vinnom">'Calculations - Single'!$P$5</definedName>
    <definedName name="IQ">Parameters!$D$40</definedName>
    <definedName name="Iripple">Parameters!$D$19</definedName>
    <definedName name="Iripple_Vinmax" localSheetId="5">'Variable Mgmt'!#REF!</definedName>
    <definedName name="Iripple_Vinmax" localSheetId="9">'Variable Mgmt'!#REF!</definedName>
    <definedName name="Iripple_Vinmin" localSheetId="5">'Variable Mgmt'!#REF!</definedName>
    <definedName name="Iripple_Vinmin" localSheetId="9">'Variable Mgmt'!#REF!</definedName>
    <definedName name="Iripple_Vinnom" localSheetId="5">'Variable Mgmt'!#REF!</definedName>
    <definedName name="Iripple_Vinnom" localSheetId="9">'Variable Mgmt'!#REF!</definedName>
    <definedName name="Iripple1" localSheetId="5">'Variable Mgmt'!#REF!</definedName>
    <definedName name="Iripple1" localSheetId="9">'Variable Mgmt'!#REF!</definedName>
    <definedName name="Iss">'Variable Mgmt'!$B$126</definedName>
    <definedName name="Isw_max">Parameters!$D$35</definedName>
    <definedName name="Isw_min">Parameters!$D$36</definedName>
    <definedName name="Iuvlo_hys">'Variable Mgmt'!$B$137</definedName>
    <definedName name="Iuvlo1">'Variable Mgmt'!$B$135</definedName>
    <definedName name="Iuvlo2">'Variable Mgmt'!$B$136</definedName>
    <definedName name="k_core">Parameters!$D$29</definedName>
    <definedName name="L">Parameters!$D$26</definedName>
    <definedName name="Lf">'Variable Mgmt'!$B$65</definedName>
    <definedName name="Lleak">'Variable Mgmt'!$B$66</definedName>
    <definedName name="Lmin">'Variable Mgmt'!$B$76</definedName>
    <definedName name="Ltc">'Variable Mgmt'!$B$169</definedName>
    <definedName name="max_I">Parameters!$H$109</definedName>
    <definedName name="min_I">Parameters!$H$108</definedName>
    <definedName name="MODE">'Variable Mgmt'!$C$51</definedName>
    <definedName name="MODE_SS">'Variable Mgmt'!$J$56</definedName>
    <definedName name="MODE_TC">'Variable Mgmt'!$G$50</definedName>
    <definedName name="MODE_TOP">'Variable Mgmt'!$B$51</definedName>
    <definedName name="MODE_UVLO">'Variable Mgmt'!$G$56</definedName>
    <definedName name="Npri_sec1">'Variable Mgmt'!$R$41</definedName>
    <definedName name="Npri_sec2">'Variable Mgmt'!$R$43</definedName>
    <definedName name="Nps">'Variable Mgmt'!$R$40</definedName>
    <definedName name="Nsec1sec2">'Variable Mgmt'!$R$42</definedName>
    <definedName name="OffTime">Parameters!$D$18</definedName>
    <definedName name="OnTime">Parameters!$D$17</definedName>
    <definedName name="Pi">'Variable Mgmt'!$B$150</definedName>
    <definedName name="PICTURE1">INDIRECT('Schematic Mgmt'!$A$2)</definedName>
    <definedName name="PICTURE2">INDIRECT('Fsw Plots'!$A$2)</definedName>
    <definedName name="PICTURE3">INDIRECT('Efficiency Plots'!$A$2)</definedName>
    <definedName name="Pin">'Variable Mgmt'!$B$34</definedName>
    <definedName name="PLOT_TYPE">'Variable Mgmt'!$M$56</definedName>
    <definedName name="Pout">'Variable Mgmt'!$B$14</definedName>
    <definedName name="Pout_total">'Variable Mgmt'!$B$22</definedName>
    <definedName name="Pout2">'Variable Mgmt'!$B$21</definedName>
    <definedName name="_xlnm.Print_Area" localSheetId="1">'BOM &amp; Schematic'!$A$1:$I$51</definedName>
    <definedName name="_xlnm.Print_Area" localSheetId="0">'Design PSR Flyback Converter'!$A$1:$R$48</definedName>
    <definedName name="Qg">Parameters!$D$44</definedName>
    <definedName name="RCinEsr" localSheetId="7">Parameters!$D$31</definedName>
    <definedName name="RCinEsr">'Variable Mgmt'!$B$115</definedName>
    <definedName name="RCoutEsr" localSheetId="7">Parameters!$D$33</definedName>
    <definedName name="RCoutEsr">'Variable Mgmt'!$B$89</definedName>
    <definedName name="Rdcr_pri">'Variable Mgmt'!$B$67</definedName>
    <definedName name="Rdcr_sec">'Variable Mgmt'!$B$68</definedName>
    <definedName name="Rdcr_sec2">'Variable Mgmt'!$B$69</definedName>
    <definedName name="Rdson">Parameters!$D$42</definedName>
    <definedName name="Rfb">'Variable Mgmt'!$B$42</definedName>
    <definedName name="Rfb_recommend">'Variable Mgmt'!$B$154</definedName>
    <definedName name="Rfb2_u">'Variable Mgmt'!$B$156</definedName>
    <definedName name="Rout">'Variable Mgmt'!$B$13</definedName>
    <definedName name="Rout2">'Variable Mgmt'!$B$20</definedName>
    <definedName name="Rpg" localSheetId="9">'Variable Mgmt'!#REF!</definedName>
    <definedName name="Rpg">'Variable Mgmt'!#REF!</definedName>
    <definedName name="rr">Parameters!$H$110</definedName>
    <definedName name="RTC">'Variable Mgmt'!$B$160</definedName>
    <definedName name="RTC_1">'Variable Mgmt'!$B$159</definedName>
    <definedName name="Ruvlo1">'Variable Mgmt'!$B$142</definedName>
    <definedName name="Ruvlo2">'Variable Mgmt'!$B$143</definedName>
    <definedName name="SCH_BIPOLAR_UVLOadj_SSadj_TCno">'Schematic Mgmt'!$H$21</definedName>
    <definedName name="SCH_BIPOLAR_UVLOadj_SSadj_TCyes">'Schematic Mgmt'!$H$7</definedName>
    <definedName name="SCH_BIPOLAR_UVLOadj_SSint_TCno">'Schematic Mgmt'!$H$19</definedName>
    <definedName name="SCH_BIPOLAR_UVLOadj_SSint_TCyes">'Schematic Mgmt'!$H$17</definedName>
    <definedName name="SCH_BIPOLAR_UVLOint_SSadj_TCno">'Schematic Mgmt'!$H$15</definedName>
    <definedName name="SCH_BIPOLAR_UVLOint_SSadj_TCyes">'Schematic Mgmt'!$H$9</definedName>
    <definedName name="SCH_BIPOLAR_UVLOint_SSint_TCno">'Schematic Mgmt'!$H$13</definedName>
    <definedName name="SCH_BIPOLAR_UVLOint_SSint_TCyes">'Schematic Mgmt'!$H$11</definedName>
    <definedName name="SCH_DUAL_UVLOadj_SSadj_TCno">'Schematic Mgmt'!$E$21</definedName>
    <definedName name="SCH_DUAL_UVLOadj_SSadj_TCyes">'Schematic Mgmt'!$E$7</definedName>
    <definedName name="SCH_DUAL_UVLOadj_SSint_TCno">'Schematic Mgmt'!$E$19</definedName>
    <definedName name="SCH_DUAL_UVLOadj_SSint_TCyes">'Schematic Mgmt'!$E$17</definedName>
    <definedName name="SCH_DUAL_UVLOint_SSadj_TCno">'Schematic Mgmt'!$E$15</definedName>
    <definedName name="SCH_DUAL_UVLOint_SSadj_TCyes">'Schematic Mgmt'!$E$9</definedName>
    <definedName name="SCH_DUAL_UVLOint_SSint_TCno">'Schematic Mgmt'!$E$13</definedName>
    <definedName name="SCH_DUAL_UVLOint_SSint_TCyes">'Schematic Mgmt'!$E$11</definedName>
    <definedName name="SCH_SINGLE_UVLOadj_SSadj_TCno">'Schematic Mgmt'!$B$21</definedName>
    <definedName name="SCH_SINGLE_UVLOadj_SSadj_TCyes">'Schematic Mgmt'!$B$7</definedName>
    <definedName name="SCH_SINGLE_UVLOadj_SSint_TCno">'Schematic Mgmt'!$B$19</definedName>
    <definedName name="SCH_SINGLE_UVLOadj_SSint_TCyes">'Schematic Mgmt'!$B$17</definedName>
    <definedName name="SCH_SINGLE_UVLOint_SSadj_TCno">'Schematic Mgmt'!$B$15</definedName>
    <definedName name="SCH_SINGLE_UVLOint_SSadj_TCyes">'Schematic Mgmt'!$B$9</definedName>
    <definedName name="SCH_SINGLE_UVLOint_SSint_TCno">'Schematic Mgmt'!$B$13</definedName>
    <definedName name="SCH_SINGLE_UVLOint_SSint_TCyes">'Schematic Mgmt'!$B$11</definedName>
    <definedName name="Ta" localSheetId="7">Parameters!$D$12</definedName>
    <definedName name="Ta">'Variable Mgmt'!$B$167</definedName>
    <definedName name="TC">'Variable Mgmt'!$G$50</definedName>
    <definedName name="Tfall">Parameters!$D$23</definedName>
    <definedName name="ThetaCa">'Variable Mgmt'!$B$170</definedName>
    <definedName name="TL">'Variable Mgmt'!$B$77</definedName>
    <definedName name="toff_min1">Parameters!$B$37</definedName>
    <definedName name="toff_min2">Parameters!$B$38</definedName>
    <definedName name="Toff_Vinmax">'Variable Mgmt'!$B$151</definedName>
    <definedName name="Ton_Vinmin">'Variable Mgmt'!$B$152</definedName>
    <definedName name="Trise">Parameters!$D$22</definedName>
    <definedName name="TrrBot">Parameters!$D$52</definedName>
    <definedName name="Tss">'Variable Mgmt'!$B$125</definedName>
    <definedName name="Turns_Ratio">'Variable Mgmt'!$S$38</definedName>
    <definedName name="Turns_Ratio2">'Variable Mgmt'!$W$38</definedName>
    <definedName name="VARIANT">'Variable Mgmt'!$S$20</definedName>
    <definedName name="Vdd">Parameters!$D$13</definedName>
    <definedName name="Vfwd1">Parameters!$D$48</definedName>
    <definedName name="Vfwd2">Parameters!$D$49</definedName>
    <definedName name="Vin">'Design PSR Flyback Converter'!$E$7</definedName>
    <definedName name="VIN_max">'Variable Mgmt'!$B$9</definedName>
    <definedName name="VIN_min">'Variable Mgmt'!$B$7</definedName>
    <definedName name="VIN_nom">'Variable Mgmt'!$B$8</definedName>
    <definedName name="Vinripple1">'Variable Mgmt'!$B$107</definedName>
    <definedName name="Vinripple2">'Variable Mgmt'!$B$121</definedName>
    <definedName name="VINuvlo_off">'Variable Mgmt'!$B$140</definedName>
    <definedName name="VINuvlo_on">'Variable Mgmt'!$B$139</definedName>
    <definedName name="Vout">'Variable Mgmt'!$B$11</definedName>
    <definedName name="Vout_ripple">'Variable Mgmt'!$B$30</definedName>
    <definedName name="Vout_ripple2">'Variable Mgmt'!$B$31</definedName>
    <definedName name="Vout2">'Variable Mgmt'!$B$16</definedName>
    <definedName name="Vout2_actual">'Variable Mgmt'!$B$17</definedName>
    <definedName name="Vref">'Variable Mgmt'!$B$41</definedName>
    <definedName name="Vripple1_actual">'Variable Mgmt'!$B$91</definedName>
    <definedName name="Vripple1_spec">'Variable Mgmt'!$B$85</definedName>
    <definedName name="Vripple2_actual">'Variable Mgmt'!$B$101</definedName>
    <definedName name="Vripple2_spec">'Variable Mgmt'!$B$95</definedName>
    <definedName name="VRRM_DIODE">'Variable Mgmt'!$B$28</definedName>
    <definedName name="Vuvlo_hys">'Variable Mgmt'!$B$134</definedName>
    <definedName name="Vuvlo_off">'Variable Mgmt'!$B$133</definedName>
    <definedName name="Vuvlo_on">'Variable Mgmt'!$B$132</definedName>
  </definedNames>
  <calcPr calcId="181029"/>
</workbook>
</file>

<file path=xl/calcChain.xml><?xml version="1.0" encoding="utf-8"?>
<calcChain xmlns="http://schemas.openxmlformats.org/spreadsheetml/2006/main">
  <c r="M15" i="1" l="1"/>
  <c r="K15" i="1"/>
  <c r="B35" i="19" l="1"/>
  <c r="B37" i="19" l="1"/>
  <c r="D37" i="19"/>
  <c r="D38" i="19" l="1"/>
  <c r="A40" i="16"/>
  <c r="K40" i="16"/>
  <c r="J40" i="16"/>
  <c r="I40" i="16"/>
  <c r="H40" i="16"/>
  <c r="K38" i="16" l="1"/>
  <c r="J38" i="16"/>
  <c r="J36" i="16"/>
  <c r="K35" i="16"/>
  <c r="J35" i="16"/>
  <c r="D47" i="16" l="1"/>
  <c r="H47" i="16"/>
  <c r="R20" i="2"/>
  <c r="B66" i="2" l="1"/>
  <c r="M10" i="1"/>
  <c r="K10" i="1"/>
  <c r="B36" i="19" l="1"/>
  <c r="B18" i="2" l="1"/>
  <c r="B28" i="19"/>
  <c r="D28" i="19" s="1"/>
  <c r="B49" i="19"/>
  <c r="D49" i="19" s="1"/>
  <c r="BO5" i="24" l="1"/>
  <c r="BN110" i="25"/>
  <c r="BO110" i="24"/>
  <c r="BR110" i="24" s="1"/>
  <c r="M1" i="24"/>
  <c r="BN5" i="25"/>
  <c r="BO5" i="25"/>
  <c r="R41" i="2"/>
  <c r="R40" i="2"/>
  <c r="W41" i="2"/>
  <c r="R38" i="2" l="1"/>
  <c r="R32" i="2"/>
  <c r="R34" i="2"/>
  <c r="K39" i="16" l="1"/>
  <c r="K37" i="16"/>
  <c r="K36" i="16"/>
  <c r="K46" i="16"/>
  <c r="J46" i="16"/>
  <c r="K33" i="16"/>
  <c r="J33" i="16"/>
  <c r="I33" i="16"/>
  <c r="H33" i="16"/>
  <c r="I34" i="16"/>
  <c r="H34" i="16"/>
  <c r="C37" i="16"/>
  <c r="D36" i="16"/>
  <c r="D35" i="16"/>
  <c r="J39" i="16"/>
  <c r="J37" i="16"/>
  <c r="H36" i="16"/>
  <c r="J45" i="16"/>
  <c r="I45" i="16"/>
  <c r="H45" i="16"/>
  <c r="A45" i="16"/>
  <c r="D38" i="16"/>
  <c r="D37" i="16"/>
  <c r="F206" i="2"/>
  <c r="K42" i="16"/>
  <c r="J42" i="16"/>
  <c r="I36" i="16"/>
  <c r="C36" i="16"/>
  <c r="B34" i="16"/>
  <c r="A36" i="16"/>
  <c r="B212" i="2"/>
  <c r="A33" i="16"/>
  <c r="K45" i="16"/>
  <c r="K13" i="1" l="1"/>
  <c r="M13" i="1"/>
  <c r="A2" i="28"/>
  <c r="A2" i="22"/>
  <c r="B17" i="2"/>
  <c r="B16" i="2"/>
  <c r="D40" i="16" l="1"/>
  <c r="C40" i="16"/>
  <c r="I5" i="25"/>
  <c r="B51" i="2"/>
  <c r="D206" i="2" s="1"/>
  <c r="B19" i="2"/>
  <c r="BP6" i="19"/>
  <c r="BQ6" i="19"/>
  <c r="BU6" i="19"/>
  <c r="CA6" i="19" s="1"/>
  <c r="BV6" i="19"/>
  <c r="BW6" i="19"/>
  <c r="CB6" i="19"/>
  <c r="CC6" i="19"/>
  <c r="BP7" i="19"/>
  <c r="BQ7" i="19"/>
  <c r="BU7" i="19"/>
  <c r="BV7" i="19"/>
  <c r="BW7" i="19"/>
  <c r="CA7" i="19"/>
  <c r="CB7" i="19"/>
  <c r="CC7" i="19"/>
  <c r="BP8" i="19"/>
  <c r="BQ8" i="19"/>
  <c r="BU8" i="19"/>
  <c r="BV8" i="19"/>
  <c r="BW8" i="19"/>
  <c r="CA8" i="19"/>
  <c r="CB8" i="19"/>
  <c r="CC8" i="19"/>
  <c r="BP9" i="19"/>
  <c r="BQ9" i="19"/>
  <c r="BU9" i="19"/>
  <c r="BV9" i="19"/>
  <c r="BW9" i="19"/>
  <c r="CA9" i="19"/>
  <c r="CB9" i="19"/>
  <c r="CC9" i="19"/>
  <c r="D24" i="2"/>
  <c r="A24" i="2"/>
  <c r="AL218" i="25"/>
  <c r="AL110" i="25"/>
  <c r="J105" i="25"/>
  <c r="J104" i="25"/>
  <c r="J103" i="25"/>
  <c r="J102" i="25"/>
  <c r="J101" i="25"/>
  <c r="J100" i="25"/>
  <c r="J99" i="25"/>
  <c r="J98" i="25"/>
  <c r="J97" i="25"/>
  <c r="J96" i="25"/>
  <c r="J95" i="25"/>
  <c r="J94" i="25"/>
  <c r="J93" i="25"/>
  <c r="J92" i="25"/>
  <c r="J91" i="25"/>
  <c r="J90" i="25"/>
  <c r="J89" i="25"/>
  <c r="J88" i="25"/>
  <c r="J87" i="25"/>
  <c r="J86" i="25"/>
  <c r="J85" i="25"/>
  <c r="J84" i="25"/>
  <c r="J83" i="25"/>
  <c r="J82" i="25"/>
  <c r="J81" i="25"/>
  <c r="J80" i="25"/>
  <c r="J79" i="25"/>
  <c r="J78" i="25"/>
  <c r="J77" i="25"/>
  <c r="J76" i="25"/>
  <c r="J75" i="25"/>
  <c r="J74" i="25"/>
  <c r="J73" i="25"/>
  <c r="J72" i="25"/>
  <c r="J71" i="25"/>
  <c r="J70" i="25"/>
  <c r="J69" i="25"/>
  <c r="J68" i="25"/>
  <c r="J67" i="25"/>
  <c r="J66" i="25"/>
  <c r="J65" i="25"/>
  <c r="J64" i="25"/>
  <c r="J63" i="25"/>
  <c r="J62" i="25"/>
  <c r="J61" i="25"/>
  <c r="J60" i="25"/>
  <c r="J59" i="25"/>
  <c r="J58" i="25"/>
  <c r="J57" i="25"/>
  <c r="J56" i="25"/>
  <c r="J55" i="25"/>
  <c r="J54" i="25"/>
  <c r="J53" i="25"/>
  <c r="J52" i="25"/>
  <c r="J51" i="25"/>
  <c r="J50" i="25"/>
  <c r="J49" i="25"/>
  <c r="J48" i="25"/>
  <c r="J47" i="25"/>
  <c r="J46" i="25"/>
  <c r="J45" i="25"/>
  <c r="J44" i="25"/>
  <c r="J43" i="25"/>
  <c r="J42" i="25"/>
  <c r="J41" i="25"/>
  <c r="J40" i="25"/>
  <c r="J39" i="25"/>
  <c r="J38" i="25"/>
  <c r="J37" i="25"/>
  <c r="J36" i="25"/>
  <c r="J35" i="25"/>
  <c r="J34" i="25"/>
  <c r="J33" i="25"/>
  <c r="J32" i="25"/>
  <c r="J31" i="25"/>
  <c r="J30" i="25"/>
  <c r="J29" i="25"/>
  <c r="J28" i="25"/>
  <c r="J27" i="25"/>
  <c r="J26" i="25"/>
  <c r="J25" i="25"/>
  <c r="J24" i="25"/>
  <c r="J23" i="25"/>
  <c r="J22" i="25"/>
  <c r="J21" i="25"/>
  <c r="J20" i="25"/>
  <c r="J19" i="25"/>
  <c r="J18" i="25"/>
  <c r="J17" i="25"/>
  <c r="J16" i="25"/>
  <c r="J15" i="25"/>
  <c r="J14" i="25"/>
  <c r="J13" i="25"/>
  <c r="J12" i="25"/>
  <c r="J11" i="25"/>
  <c r="J10" i="25"/>
  <c r="J9" i="25"/>
  <c r="J8" i="25"/>
  <c r="J7" i="25"/>
  <c r="J6" i="25"/>
  <c r="AL5" i="25"/>
  <c r="J5" i="25"/>
  <c r="K12" i="1"/>
  <c r="V38" i="2"/>
  <c r="V36" i="2"/>
  <c r="K9" i="1"/>
  <c r="V28" i="2"/>
  <c r="V29" i="2"/>
  <c r="V35" i="2"/>
  <c r="V34" i="2"/>
  <c r="V33" i="2"/>
  <c r="V32" i="2"/>
  <c r="V31" i="2"/>
  <c r="V30" i="2"/>
  <c r="B258" i="2" l="1"/>
  <c r="R37" i="2"/>
  <c r="R36" i="2"/>
  <c r="R35" i="2"/>
  <c r="R33" i="2"/>
  <c r="R31" i="2"/>
  <c r="R30" i="2"/>
  <c r="R29" i="2"/>
  <c r="R28" i="2"/>
  <c r="B99" i="2" l="1"/>
  <c r="B97" i="2"/>
  <c r="C33" i="16" s="1"/>
  <c r="B69" i="2"/>
  <c r="B74" i="2" s="1"/>
  <c r="K23" i="1" l="1"/>
  <c r="K20" i="1"/>
  <c r="D10" i="1"/>
  <c r="D11" i="1"/>
  <c r="D35" i="1"/>
  <c r="D13" i="1"/>
  <c r="D12" i="1"/>
  <c r="D23" i="1"/>
  <c r="D20" i="1"/>
  <c r="D36" i="1"/>
  <c r="B158" i="2" l="1"/>
  <c r="I56" i="2" l="1"/>
  <c r="B256" i="2"/>
  <c r="F13" i="1"/>
  <c r="B12" i="2"/>
  <c r="CC110" i="25" l="1"/>
  <c r="B241" i="2"/>
  <c r="G111" i="25"/>
  <c r="G115" i="25"/>
  <c r="G119" i="25"/>
  <c r="G123" i="25"/>
  <c r="G127" i="25"/>
  <c r="G131" i="25"/>
  <c r="G135" i="25"/>
  <c r="G139" i="25"/>
  <c r="G143" i="25"/>
  <c r="G147" i="25"/>
  <c r="G151" i="25"/>
  <c r="G155" i="25"/>
  <c r="G159" i="25"/>
  <c r="G163" i="25"/>
  <c r="G167" i="25"/>
  <c r="G171" i="25"/>
  <c r="G175" i="25"/>
  <c r="G179" i="25"/>
  <c r="G183" i="25"/>
  <c r="G187" i="25"/>
  <c r="G191" i="25"/>
  <c r="G195" i="25"/>
  <c r="G199" i="25"/>
  <c r="G203" i="25"/>
  <c r="G207" i="25"/>
  <c r="G218" i="25"/>
  <c r="G222" i="25"/>
  <c r="G226" i="25"/>
  <c r="G230" i="25"/>
  <c r="G234" i="25"/>
  <c r="G238" i="25"/>
  <c r="G242" i="25"/>
  <c r="G246" i="25"/>
  <c r="G250" i="25"/>
  <c r="G254" i="25"/>
  <c r="G258" i="25"/>
  <c r="G262" i="25"/>
  <c r="G266" i="25"/>
  <c r="G270" i="25"/>
  <c r="G274" i="25"/>
  <c r="G278" i="25"/>
  <c r="G282" i="25"/>
  <c r="G286" i="25"/>
  <c r="G290" i="25"/>
  <c r="G294" i="25"/>
  <c r="G298" i="25"/>
  <c r="G302" i="25"/>
  <c r="G306" i="25"/>
  <c r="G310" i="25"/>
  <c r="G314" i="25"/>
  <c r="G318" i="25"/>
  <c r="G8" i="25"/>
  <c r="G12" i="25"/>
  <c r="G16" i="25"/>
  <c r="G20" i="25"/>
  <c r="G24" i="25"/>
  <c r="G28" i="25"/>
  <c r="G32" i="25"/>
  <c r="G36" i="25"/>
  <c r="G40" i="25"/>
  <c r="G44" i="25"/>
  <c r="G48" i="25"/>
  <c r="G52" i="25"/>
  <c r="G56" i="25"/>
  <c r="G60" i="25"/>
  <c r="G64" i="25"/>
  <c r="G68" i="25"/>
  <c r="G72" i="25"/>
  <c r="G76" i="25"/>
  <c r="G80" i="25"/>
  <c r="G84" i="25"/>
  <c r="G88" i="25"/>
  <c r="G92" i="25"/>
  <c r="G96" i="25"/>
  <c r="G100" i="25"/>
  <c r="G104" i="25"/>
  <c r="G118" i="25"/>
  <c r="G150" i="25"/>
  <c r="G162" i="25"/>
  <c r="G174" i="25"/>
  <c r="G112" i="25"/>
  <c r="G116" i="25"/>
  <c r="G120" i="25"/>
  <c r="G124" i="25"/>
  <c r="G128" i="25"/>
  <c r="G132" i="25"/>
  <c r="G136" i="25"/>
  <c r="G140" i="25"/>
  <c r="G144" i="25"/>
  <c r="G148" i="25"/>
  <c r="G152" i="25"/>
  <c r="G156" i="25"/>
  <c r="G160" i="25"/>
  <c r="G164" i="25"/>
  <c r="G168" i="25"/>
  <c r="G172" i="25"/>
  <c r="G176" i="25"/>
  <c r="G180" i="25"/>
  <c r="G184" i="25"/>
  <c r="G188" i="25"/>
  <c r="G192" i="25"/>
  <c r="G196" i="25"/>
  <c r="G200" i="25"/>
  <c r="G204" i="25"/>
  <c r="G208" i="25"/>
  <c r="G219" i="25"/>
  <c r="G223" i="25"/>
  <c r="G227" i="25"/>
  <c r="G231" i="25"/>
  <c r="G235" i="25"/>
  <c r="G239" i="25"/>
  <c r="G243" i="25"/>
  <c r="G247" i="25"/>
  <c r="G251" i="25"/>
  <c r="G255" i="25"/>
  <c r="G259" i="25"/>
  <c r="G263" i="25"/>
  <c r="G267" i="25"/>
  <c r="G271" i="25"/>
  <c r="G275" i="25"/>
  <c r="G279" i="25"/>
  <c r="G283" i="25"/>
  <c r="G287" i="25"/>
  <c r="G291" i="25"/>
  <c r="G295" i="25"/>
  <c r="G299" i="25"/>
  <c r="G303" i="25"/>
  <c r="G307" i="25"/>
  <c r="G311" i="25"/>
  <c r="G315" i="25"/>
  <c r="G9" i="25"/>
  <c r="G13" i="25"/>
  <c r="G17" i="25"/>
  <c r="G21" i="25"/>
  <c r="G25" i="25"/>
  <c r="G29" i="25"/>
  <c r="G33" i="25"/>
  <c r="G37" i="25"/>
  <c r="G41" i="25"/>
  <c r="G45" i="25"/>
  <c r="G49" i="25"/>
  <c r="G53" i="25"/>
  <c r="G57" i="25"/>
  <c r="G61" i="25"/>
  <c r="G65" i="25"/>
  <c r="G69" i="25"/>
  <c r="G73" i="25"/>
  <c r="G77" i="25"/>
  <c r="G81" i="25"/>
  <c r="G85" i="25"/>
  <c r="G89" i="25"/>
  <c r="G93" i="25"/>
  <c r="G97" i="25"/>
  <c r="G101" i="25"/>
  <c r="G105" i="25"/>
  <c r="G122" i="25"/>
  <c r="G154" i="25"/>
  <c r="G170" i="25"/>
  <c r="G113" i="25"/>
  <c r="G117" i="25"/>
  <c r="G121" i="25"/>
  <c r="G125" i="25"/>
  <c r="G129" i="25"/>
  <c r="G133" i="25"/>
  <c r="G137" i="25"/>
  <c r="G141" i="25"/>
  <c r="G145" i="25"/>
  <c r="G149" i="25"/>
  <c r="G153" i="25"/>
  <c r="G157" i="25"/>
  <c r="G161" i="25"/>
  <c r="G165" i="25"/>
  <c r="G169" i="25"/>
  <c r="G173" i="25"/>
  <c r="G177" i="25"/>
  <c r="G181" i="25"/>
  <c r="G185" i="25"/>
  <c r="G189" i="25"/>
  <c r="G193" i="25"/>
  <c r="G197" i="25"/>
  <c r="G201" i="25"/>
  <c r="G205" i="25"/>
  <c r="G209" i="25"/>
  <c r="G220" i="25"/>
  <c r="G224" i="25"/>
  <c r="G228" i="25"/>
  <c r="G232" i="25"/>
  <c r="G236" i="25"/>
  <c r="G240" i="25"/>
  <c r="G244" i="25"/>
  <c r="G248" i="25"/>
  <c r="G252" i="25"/>
  <c r="G256" i="25"/>
  <c r="G260" i="25"/>
  <c r="G264" i="25"/>
  <c r="G268" i="25"/>
  <c r="G272" i="25"/>
  <c r="G276" i="25"/>
  <c r="G280" i="25"/>
  <c r="G284" i="25"/>
  <c r="G288" i="25"/>
  <c r="G292" i="25"/>
  <c r="G296" i="25"/>
  <c r="G300" i="25"/>
  <c r="G304" i="25"/>
  <c r="G308" i="25"/>
  <c r="G312" i="25"/>
  <c r="G316" i="25"/>
  <c r="G10" i="25"/>
  <c r="G14" i="25"/>
  <c r="G18" i="25"/>
  <c r="G22" i="25"/>
  <c r="G26" i="25"/>
  <c r="G30" i="25"/>
  <c r="G34" i="25"/>
  <c r="G38" i="25"/>
  <c r="G42" i="25"/>
  <c r="G46" i="25"/>
  <c r="G50" i="25"/>
  <c r="G54" i="25"/>
  <c r="G58" i="25"/>
  <c r="G62" i="25"/>
  <c r="G66" i="25"/>
  <c r="G70" i="25"/>
  <c r="G74" i="25"/>
  <c r="G78" i="25"/>
  <c r="G82" i="25"/>
  <c r="G86" i="25"/>
  <c r="G90" i="25"/>
  <c r="G94" i="25"/>
  <c r="G98" i="25"/>
  <c r="G102" i="25"/>
  <c r="G7" i="25"/>
  <c r="G110" i="25"/>
  <c r="G114" i="25"/>
  <c r="G126" i="25"/>
  <c r="G130" i="25"/>
  <c r="G134" i="25"/>
  <c r="G138" i="25"/>
  <c r="G142" i="25"/>
  <c r="G146" i="25"/>
  <c r="G158" i="25"/>
  <c r="G166" i="25"/>
  <c r="G182" i="25"/>
  <c r="G198" i="25"/>
  <c r="G221" i="25"/>
  <c r="G237" i="25"/>
  <c r="G253" i="25"/>
  <c r="G269" i="25"/>
  <c r="G285" i="25"/>
  <c r="G301" i="25"/>
  <c r="G317" i="25"/>
  <c r="G11" i="25"/>
  <c r="G27" i="25"/>
  <c r="G43" i="25"/>
  <c r="G59" i="25"/>
  <c r="G75" i="25"/>
  <c r="G91" i="25"/>
  <c r="G6" i="25"/>
  <c r="G186" i="25"/>
  <c r="G257" i="25"/>
  <c r="G305" i="25"/>
  <c r="G47" i="25"/>
  <c r="G95" i="25"/>
  <c r="G190" i="25"/>
  <c r="G206" i="25"/>
  <c r="G229" i="25"/>
  <c r="G245" i="25"/>
  <c r="G261" i="25"/>
  <c r="G277" i="25"/>
  <c r="G293" i="25"/>
  <c r="G309" i="25"/>
  <c r="G19" i="25"/>
  <c r="G35" i="25"/>
  <c r="G51" i="25"/>
  <c r="G67" i="25"/>
  <c r="G83" i="25"/>
  <c r="G99" i="25"/>
  <c r="G87" i="25"/>
  <c r="G225" i="25"/>
  <c r="G241" i="25"/>
  <c r="G289" i="25"/>
  <c r="G15" i="25"/>
  <c r="G63" i="25"/>
  <c r="G178" i="25"/>
  <c r="G194" i="25"/>
  <c r="G210" i="25"/>
  <c r="G233" i="25"/>
  <c r="G249" i="25"/>
  <c r="G265" i="25"/>
  <c r="G281" i="25"/>
  <c r="G297" i="25"/>
  <c r="G313" i="25"/>
  <c r="G23" i="25"/>
  <c r="G39" i="25"/>
  <c r="G55" i="25"/>
  <c r="G71" i="25"/>
  <c r="G103" i="25"/>
  <c r="G202" i="25"/>
  <c r="G273" i="25"/>
  <c r="G31" i="25"/>
  <c r="G79" i="25"/>
  <c r="F7" i="25"/>
  <c r="F6" i="25"/>
  <c r="I300" i="25" l="1"/>
  <c r="I236" i="25"/>
  <c r="I227" i="25"/>
  <c r="I281" i="25"/>
  <c r="I229" i="25"/>
  <c r="I301" i="25"/>
  <c r="I296" i="25"/>
  <c r="I264" i="25"/>
  <c r="I232" i="25"/>
  <c r="I287" i="25"/>
  <c r="I255" i="25"/>
  <c r="I223" i="25"/>
  <c r="I318" i="25"/>
  <c r="I286" i="25"/>
  <c r="I254" i="25"/>
  <c r="I222" i="25"/>
  <c r="I273" i="25"/>
  <c r="I245" i="25"/>
  <c r="I265" i="25"/>
  <c r="I289" i="25"/>
  <c r="I285" i="25"/>
  <c r="I292" i="25"/>
  <c r="I260" i="25"/>
  <c r="I228" i="25"/>
  <c r="I315" i="25"/>
  <c r="I283" i="25"/>
  <c r="I251" i="25"/>
  <c r="I219" i="25"/>
  <c r="I314" i="25"/>
  <c r="I282" i="25"/>
  <c r="I250" i="25"/>
  <c r="I249" i="25"/>
  <c r="I241" i="25"/>
  <c r="I269" i="25"/>
  <c r="I288" i="25"/>
  <c r="I256" i="25"/>
  <c r="I224" i="25"/>
  <c r="I311" i="25"/>
  <c r="I279" i="25"/>
  <c r="I247" i="25"/>
  <c r="I310" i="25"/>
  <c r="I278" i="25"/>
  <c r="I246" i="25"/>
  <c r="I297" i="25"/>
  <c r="I317" i="25"/>
  <c r="I233" i="25"/>
  <c r="I225" i="25"/>
  <c r="I309" i="25"/>
  <c r="I253" i="25"/>
  <c r="I316" i="25"/>
  <c r="I284" i="25"/>
  <c r="I252" i="25"/>
  <c r="I220" i="25"/>
  <c r="I307" i="25"/>
  <c r="I275" i="25"/>
  <c r="I243" i="25"/>
  <c r="I306" i="25"/>
  <c r="I274" i="25"/>
  <c r="I242" i="25"/>
  <c r="I293" i="25"/>
  <c r="I237" i="25"/>
  <c r="I312" i="25"/>
  <c r="I280" i="25"/>
  <c r="I248" i="25"/>
  <c r="I303" i="25"/>
  <c r="I271" i="25"/>
  <c r="I239" i="25"/>
  <c r="I302" i="25"/>
  <c r="I270" i="25"/>
  <c r="I238" i="25"/>
  <c r="I305" i="25"/>
  <c r="I308" i="25"/>
  <c r="I244" i="25"/>
  <c r="I299" i="25"/>
  <c r="I267" i="25"/>
  <c r="I298" i="25"/>
  <c r="I266" i="25"/>
  <c r="I234" i="25"/>
  <c r="I277" i="25"/>
  <c r="I221" i="25"/>
  <c r="I276" i="25"/>
  <c r="I235" i="25"/>
  <c r="I313" i="25"/>
  <c r="I261" i="25"/>
  <c r="I257" i="25"/>
  <c r="I304" i="25"/>
  <c r="I272" i="25"/>
  <c r="I240" i="25"/>
  <c r="I295" i="25"/>
  <c r="I263" i="25"/>
  <c r="I231" i="25"/>
  <c r="I294" i="25"/>
  <c r="I262" i="25"/>
  <c r="I230" i="25"/>
  <c r="I268" i="25"/>
  <c r="I291" i="25"/>
  <c r="I259" i="25"/>
  <c r="I290" i="25"/>
  <c r="I258" i="25"/>
  <c r="I226" i="25"/>
  <c r="BO16" i="25"/>
  <c r="BO26" i="25"/>
  <c r="BO81" i="25"/>
  <c r="BO44" i="25"/>
  <c r="BO63" i="25"/>
  <c r="BO67" i="25"/>
  <c r="BO86" i="25"/>
  <c r="BO54" i="25"/>
  <c r="BO22" i="25"/>
  <c r="BO77" i="25"/>
  <c r="BO45" i="25"/>
  <c r="BO13" i="25"/>
  <c r="BO104" i="25"/>
  <c r="BO72" i="25"/>
  <c r="BO40" i="25"/>
  <c r="BO8" i="25"/>
  <c r="BO99" i="25"/>
  <c r="BO62" i="25"/>
  <c r="BO90" i="25"/>
  <c r="BO76" i="25"/>
  <c r="BO12" i="25"/>
  <c r="BO51" i="25"/>
  <c r="BO6" i="25"/>
  <c r="BO82" i="25"/>
  <c r="BO50" i="25"/>
  <c r="BO18" i="25"/>
  <c r="BO105" i="25"/>
  <c r="BO73" i="25"/>
  <c r="BO41" i="25"/>
  <c r="BO9" i="25"/>
  <c r="BO100" i="25"/>
  <c r="BO68" i="25"/>
  <c r="BO36" i="25"/>
  <c r="BO79" i="25"/>
  <c r="BO27" i="25"/>
  <c r="BO30" i="25"/>
  <c r="BO53" i="25"/>
  <c r="BO80" i="25"/>
  <c r="BO35" i="25"/>
  <c r="BO91" i="25"/>
  <c r="BO78" i="25"/>
  <c r="BO46" i="25"/>
  <c r="BO14" i="25"/>
  <c r="BO101" i="25"/>
  <c r="BO69" i="25"/>
  <c r="BO37" i="25"/>
  <c r="BO96" i="25"/>
  <c r="BO64" i="25"/>
  <c r="BO32" i="25"/>
  <c r="BO23" i="25"/>
  <c r="BO21" i="25"/>
  <c r="BO11" i="25"/>
  <c r="BO58" i="25"/>
  <c r="BO15" i="25"/>
  <c r="BO103" i="25"/>
  <c r="BO71" i="25"/>
  <c r="BO19" i="25"/>
  <c r="BO75" i="25"/>
  <c r="BO7" i="25"/>
  <c r="BO74" i="25"/>
  <c r="BO42" i="25"/>
  <c r="BO10" i="25"/>
  <c r="BO97" i="25"/>
  <c r="BO65" i="25"/>
  <c r="BO33" i="25"/>
  <c r="BO92" i="25"/>
  <c r="BO60" i="25"/>
  <c r="BO28" i="25"/>
  <c r="BO49" i="25"/>
  <c r="BO59" i="25"/>
  <c r="BO102" i="25"/>
  <c r="BO70" i="25"/>
  <c r="BO38" i="25"/>
  <c r="BO93" i="25"/>
  <c r="BO61" i="25"/>
  <c r="BO29" i="25"/>
  <c r="BO88" i="25"/>
  <c r="BO56" i="25"/>
  <c r="BO24" i="25"/>
  <c r="BO94" i="25"/>
  <c r="BO85" i="25"/>
  <c r="BO48" i="25"/>
  <c r="BO31" i="25"/>
  <c r="BO83" i="25"/>
  <c r="BO17" i="25"/>
  <c r="BO55" i="25"/>
  <c r="BO95" i="25"/>
  <c r="BO39" i="25"/>
  <c r="BO87" i="25"/>
  <c r="BO47" i="25"/>
  <c r="BO43" i="25"/>
  <c r="BO98" i="25"/>
  <c r="BO66" i="25"/>
  <c r="BO34" i="25"/>
  <c r="BO89" i="25"/>
  <c r="BO57" i="25"/>
  <c r="BO25" i="25"/>
  <c r="BO84" i="25"/>
  <c r="BO52" i="25"/>
  <c r="BO20" i="25"/>
  <c r="I158" i="25"/>
  <c r="BO158" i="25"/>
  <c r="BO110" i="25"/>
  <c r="BR110" i="25" s="1"/>
  <c r="I189" i="25"/>
  <c r="BO189" i="25"/>
  <c r="I157" i="25"/>
  <c r="BO157" i="25"/>
  <c r="I125" i="25"/>
  <c r="BO125" i="25"/>
  <c r="I170" i="25"/>
  <c r="BO170" i="25"/>
  <c r="I180" i="25"/>
  <c r="BO180" i="25"/>
  <c r="I148" i="25"/>
  <c r="BO148" i="25"/>
  <c r="I116" i="25"/>
  <c r="BO116" i="25"/>
  <c r="I150" i="25"/>
  <c r="BO150" i="25"/>
  <c r="I195" i="25"/>
  <c r="BO195" i="25"/>
  <c r="I163" i="25"/>
  <c r="BO163" i="25"/>
  <c r="I131" i="25"/>
  <c r="BO131" i="25"/>
  <c r="I190" i="25"/>
  <c r="BO190" i="25"/>
  <c r="I198" i="25"/>
  <c r="BO198" i="25"/>
  <c r="I146" i="25"/>
  <c r="BO146" i="25"/>
  <c r="I130" i="25"/>
  <c r="BO130" i="25"/>
  <c r="I201" i="25"/>
  <c r="BO201" i="25"/>
  <c r="I169" i="25"/>
  <c r="BO169" i="25"/>
  <c r="I137" i="25"/>
  <c r="BO137" i="25"/>
  <c r="I154" i="25"/>
  <c r="BO154" i="25"/>
  <c r="I192" i="25"/>
  <c r="BO192" i="25"/>
  <c r="I160" i="25"/>
  <c r="BO160" i="25"/>
  <c r="I128" i="25"/>
  <c r="BO128" i="25"/>
  <c r="I207" i="25"/>
  <c r="BO207" i="25"/>
  <c r="I175" i="25"/>
  <c r="BO175" i="25"/>
  <c r="I143" i="25"/>
  <c r="BO143" i="25"/>
  <c r="I111" i="25"/>
  <c r="BO111" i="25"/>
  <c r="I202" i="25"/>
  <c r="BO202" i="25"/>
  <c r="I210" i="25"/>
  <c r="BO210" i="25"/>
  <c r="I166" i="25"/>
  <c r="BO166" i="25"/>
  <c r="I138" i="25"/>
  <c r="BO138" i="25"/>
  <c r="I114" i="25"/>
  <c r="BO114" i="25"/>
  <c r="I209" i="25"/>
  <c r="BO209" i="25"/>
  <c r="I193" i="25"/>
  <c r="BO193" i="25"/>
  <c r="I177" i="25"/>
  <c r="BO177" i="25"/>
  <c r="I161" i="25"/>
  <c r="BO161" i="25"/>
  <c r="I145" i="25"/>
  <c r="BO145" i="25"/>
  <c r="I129" i="25"/>
  <c r="BO129" i="25"/>
  <c r="I113" i="25"/>
  <c r="BO113" i="25"/>
  <c r="I200" i="25"/>
  <c r="BO200" i="25"/>
  <c r="I184" i="25"/>
  <c r="BO184" i="25"/>
  <c r="I168" i="25"/>
  <c r="BO168" i="25"/>
  <c r="I152" i="25"/>
  <c r="BO152" i="25"/>
  <c r="I136" i="25"/>
  <c r="BO136" i="25"/>
  <c r="I120" i="25"/>
  <c r="BO120" i="25"/>
  <c r="I162" i="25"/>
  <c r="BO162" i="25"/>
  <c r="I199" i="25"/>
  <c r="BO199" i="25"/>
  <c r="I183" i="25"/>
  <c r="BO183" i="25"/>
  <c r="I167" i="25"/>
  <c r="BO167" i="25"/>
  <c r="I151" i="25"/>
  <c r="BO151" i="25"/>
  <c r="I135" i="25"/>
  <c r="BO135" i="25"/>
  <c r="I119" i="25"/>
  <c r="BO119" i="25"/>
  <c r="I194" i="25"/>
  <c r="BO194" i="25"/>
  <c r="I206" i="25"/>
  <c r="BO206" i="25"/>
  <c r="I134" i="25"/>
  <c r="BO134" i="25"/>
  <c r="I205" i="25"/>
  <c r="BO205" i="25"/>
  <c r="I173" i="25"/>
  <c r="BO173" i="25"/>
  <c r="I141" i="25"/>
  <c r="BO141" i="25"/>
  <c r="I196" i="25"/>
  <c r="BO196" i="25"/>
  <c r="I164" i="25"/>
  <c r="BO164" i="25"/>
  <c r="I132" i="25"/>
  <c r="BO132" i="25"/>
  <c r="I179" i="25"/>
  <c r="BO179" i="25"/>
  <c r="I147" i="25"/>
  <c r="BO147" i="25"/>
  <c r="I115" i="25"/>
  <c r="BO115" i="25"/>
  <c r="I178" i="25"/>
  <c r="BO178" i="25"/>
  <c r="I185" i="25"/>
  <c r="BO185" i="25"/>
  <c r="I153" i="25"/>
  <c r="BO153" i="25"/>
  <c r="I121" i="25"/>
  <c r="BO121" i="25"/>
  <c r="I208" i="25"/>
  <c r="BO208" i="25"/>
  <c r="I176" i="25"/>
  <c r="BO176" i="25"/>
  <c r="I144" i="25"/>
  <c r="BO144" i="25"/>
  <c r="I112" i="25"/>
  <c r="BO112" i="25"/>
  <c r="I118" i="25"/>
  <c r="BO118" i="25"/>
  <c r="I191" i="25"/>
  <c r="BO191" i="25"/>
  <c r="I159" i="25"/>
  <c r="BO159" i="25"/>
  <c r="I127" i="25"/>
  <c r="BO127" i="25"/>
  <c r="I186" i="25"/>
  <c r="BO186" i="25"/>
  <c r="I182" i="25"/>
  <c r="BO182" i="25"/>
  <c r="I142" i="25"/>
  <c r="BO142" i="25"/>
  <c r="I126" i="25"/>
  <c r="BO126" i="25"/>
  <c r="I197" i="25"/>
  <c r="BO197" i="25"/>
  <c r="I181" i="25"/>
  <c r="BO181" i="25"/>
  <c r="I165" i="25"/>
  <c r="BO165" i="25"/>
  <c r="I149" i="25"/>
  <c r="BO149" i="25"/>
  <c r="I133" i="25"/>
  <c r="BO133" i="25"/>
  <c r="I117" i="25"/>
  <c r="BO117" i="25"/>
  <c r="I122" i="25"/>
  <c r="BO122" i="25"/>
  <c r="I204" i="25"/>
  <c r="BO204" i="25"/>
  <c r="I188" i="25"/>
  <c r="BO188" i="25"/>
  <c r="I172" i="25"/>
  <c r="BO172" i="25"/>
  <c r="I156" i="25"/>
  <c r="BO156" i="25"/>
  <c r="I140" i="25"/>
  <c r="BO140" i="25"/>
  <c r="I124" i="25"/>
  <c r="BO124" i="25"/>
  <c r="I174" i="25"/>
  <c r="BO174" i="25"/>
  <c r="I203" i="25"/>
  <c r="BO203" i="25"/>
  <c r="I187" i="25"/>
  <c r="BO187" i="25"/>
  <c r="I171" i="25"/>
  <c r="BO171" i="25"/>
  <c r="I155" i="25"/>
  <c r="BO155" i="25"/>
  <c r="I139" i="25"/>
  <c r="BO139" i="25"/>
  <c r="I123" i="25"/>
  <c r="BO123" i="25"/>
  <c r="CC6" i="25"/>
  <c r="BN6" i="25"/>
  <c r="CC7" i="25"/>
  <c r="BN7" i="25"/>
  <c r="I6" i="25"/>
  <c r="I7" i="25"/>
  <c r="I67" i="25"/>
  <c r="I86" i="25"/>
  <c r="I54" i="25"/>
  <c r="I22" i="25"/>
  <c r="I93" i="25"/>
  <c r="I61" i="25"/>
  <c r="I29" i="25"/>
  <c r="I104" i="25"/>
  <c r="I88" i="25"/>
  <c r="I72" i="25"/>
  <c r="I56" i="25"/>
  <c r="I40" i="25"/>
  <c r="I24" i="25"/>
  <c r="I8" i="25"/>
  <c r="I39" i="25"/>
  <c r="I15" i="25"/>
  <c r="I87" i="25"/>
  <c r="I51" i="25"/>
  <c r="I47" i="25"/>
  <c r="I43" i="25"/>
  <c r="I98" i="25"/>
  <c r="I82" i="25"/>
  <c r="I66" i="25"/>
  <c r="I50" i="25"/>
  <c r="I34" i="25"/>
  <c r="I18" i="25"/>
  <c r="I105" i="25"/>
  <c r="I89" i="25"/>
  <c r="I73" i="25"/>
  <c r="I57" i="25"/>
  <c r="I41" i="25"/>
  <c r="I25" i="25"/>
  <c r="I9" i="25"/>
  <c r="I100" i="25"/>
  <c r="I84" i="25"/>
  <c r="I68" i="25"/>
  <c r="I52" i="25"/>
  <c r="I36" i="25"/>
  <c r="I20" i="25"/>
  <c r="I59" i="25"/>
  <c r="I102" i="25"/>
  <c r="I38" i="25"/>
  <c r="I77" i="25"/>
  <c r="I13" i="25"/>
  <c r="I79" i="25"/>
  <c r="I23" i="25"/>
  <c r="I99" i="25"/>
  <c r="I91" i="25"/>
  <c r="I27" i="25"/>
  <c r="I94" i="25"/>
  <c r="I78" i="25"/>
  <c r="I62" i="25"/>
  <c r="I46" i="25"/>
  <c r="I30" i="25"/>
  <c r="I14" i="25"/>
  <c r="I101" i="25"/>
  <c r="I85" i="25"/>
  <c r="I69" i="25"/>
  <c r="I53" i="25"/>
  <c r="I37" i="25"/>
  <c r="I21" i="25"/>
  <c r="I96" i="25"/>
  <c r="I80" i="25"/>
  <c r="I64" i="25"/>
  <c r="I48" i="25"/>
  <c r="I32" i="25"/>
  <c r="I16" i="25"/>
  <c r="I55" i="25"/>
  <c r="I63" i="25"/>
  <c r="I95" i="25"/>
  <c r="I70" i="25"/>
  <c r="I45" i="25"/>
  <c r="I103" i="25"/>
  <c r="I35" i="25"/>
  <c r="I31" i="25"/>
  <c r="I71" i="25"/>
  <c r="I83" i="25"/>
  <c r="I19" i="25"/>
  <c r="I75" i="25"/>
  <c r="I11" i="25"/>
  <c r="I90" i="25"/>
  <c r="I74" i="25"/>
  <c r="I58" i="25"/>
  <c r="I42" i="25"/>
  <c r="I26" i="25"/>
  <c r="I10" i="25"/>
  <c r="I97" i="25"/>
  <c r="I81" i="25"/>
  <c r="I65" i="25"/>
  <c r="I49" i="25"/>
  <c r="I33" i="25"/>
  <c r="I17" i="25"/>
  <c r="I92" i="25"/>
  <c r="I76" i="25"/>
  <c r="I60" i="25"/>
  <c r="I44" i="25"/>
  <c r="I28" i="25"/>
  <c r="I12" i="25"/>
  <c r="I110" i="25"/>
  <c r="I218" i="25"/>
  <c r="B205" i="2"/>
  <c r="A203" i="2"/>
  <c r="B52" i="2"/>
  <c r="D202" i="2" l="1"/>
  <c r="A202" i="2"/>
  <c r="D201" i="2" l="1"/>
  <c r="D257" i="2"/>
  <c r="F12" i="1"/>
  <c r="C220" i="2"/>
  <c r="C229" i="2"/>
  <c r="D229" i="2"/>
  <c r="B48" i="19"/>
  <c r="B31" i="2" l="1"/>
  <c r="B20" i="2"/>
  <c r="B21" i="2"/>
  <c r="B24" i="2"/>
  <c r="C206" i="2"/>
  <c r="C52" i="2"/>
  <c r="B68" i="2"/>
  <c r="B73" i="2" s="1"/>
  <c r="B95" i="2" l="1"/>
  <c r="B58" i="2"/>
  <c r="C58" i="2"/>
  <c r="B257" i="2"/>
  <c r="C205" i="2"/>
  <c r="F205" i="2"/>
  <c r="D205" i="2"/>
  <c r="B202" i="2"/>
  <c r="B203" i="2"/>
  <c r="B116" i="2"/>
  <c r="B112" i="2"/>
  <c r="B213" i="2" s="1"/>
  <c r="B89" i="2"/>
  <c r="B87" i="2"/>
  <c r="D32" i="1"/>
  <c r="AM5" i="24"/>
  <c r="AM217" i="24"/>
  <c r="AM110" i="24"/>
  <c r="AY2" i="24" l="1"/>
  <c r="B208" i="2"/>
  <c r="B209" i="2"/>
  <c r="C32" i="16"/>
  <c r="B211" i="2"/>
  <c r="C31" i="16"/>
  <c r="I6" i="24"/>
  <c r="I7" i="24"/>
  <c r="I8" i="24"/>
  <c r="I9" i="24"/>
  <c r="I10" i="24"/>
  <c r="I11" i="24"/>
  <c r="I12" i="24"/>
  <c r="I13" i="24"/>
  <c r="I14" i="24"/>
  <c r="I15" i="24"/>
  <c r="I16" i="24"/>
  <c r="I17" i="24"/>
  <c r="I18" i="24"/>
  <c r="I19" i="24"/>
  <c r="I20" i="24"/>
  <c r="I21" i="24"/>
  <c r="I22" i="24"/>
  <c r="I23" i="24"/>
  <c r="I24" i="24"/>
  <c r="I25" i="24"/>
  <c r="I26" i="24"/>
  <c r="I27" i="24"/>
  <c r="I28" i="24"/>
  <c r="I29" i="24"/>
  <c r="I30" i="24"/>
  <c r="I31" i="24"/>
  <c r="I32" i="24"/>
  <c r="I33" i="24"/>
  <c r="I34" i="24"/>
  <c r="I35" i="24"/>
  <c r="I36" i="24"/>
  <c r="I37" i="24"/>
  <c r="I38" i="24"/>
  <c r="I39" i="24"/>
  <c r="I40" i="24"/>
  <c r="I41" i="24"/>
  <c r="I42" i="24"/>
  <c r="I43" i="24"/>
  <c r="I44" i="24"/>
  <c r="I45" i="24"/>
  <c r="I46" i="24"/>
  <c r="I47" i="24"/>
  <c r="I48" i="24"/>
  <c r="I49" i="24"/>
  <c r="I50" i="24"/>
  <c r="I51" i="24"/>
  <c r="I52" i="24"/>
  <c r="I53" i="24"/>
  <c r="I54" i="24"/>
  <c r="I55" i="24"/>
  <c r="I56" i="24"/>
  <c r="I57" i="24"/>
  <c r="I58" i="24"/>
  <c r="I59" i="24"/>
  <c r="I60" i="24"/>
  <c r="I61" i="24"/>
  <c r="I62" i="24"/>
  <c r="I63" i="24"/>
  <c r="I64" i="24"/>
  <c r="I65" i="24"/>
  <c r="I66" i="24"/>
  <c r="I67" i="24"/>
  <c r="I68" i="24"/>
  <c r="I69" i="24"/>
  <c r="I70" i="24"/>
  <c r="I71" i="24"/>
  <c r="I72" i="24"/>
  <c r="I73" i="24"/>
  <c r="I74" i="24"/>
  <c r="I75" i="24"/>
  <c r="I76" i="24"/>
  <c r="I77" i="24"/>
  <c r="I78" i="24"/>
  <c r="I79" i="24"/>
  <c r="I80" i="24"/>
  <c r="I81" i="24"/>
  <c r="I82" i="24"/>
  <c r="I83" i="24"/>
  <c r="I84" i="24"/>
  <c r="I85" i="24"/>
  <c r="I86" i="24"/>
  <c r="I87" i="24"/>
  <c r="I88" i="24"/>
  <c r="I89" i="24"/>
  <c r="I90" i="24"/>
  <c r="I91" i="24"/>
  <c r="I92" i="24"/>
  <c r="I93" i="24"/>
  <c r="I94" i="24"/>
  <c r="I95" i="24"/>
  <c r="I96" i="24"/>
  <c r="I97" i="24"/>
  <c r="I98" i="24"/>
  <c r="I99" i="24"/>
  <c r="I100" i="24"/>
  <c r="I101" i="24"/>
  <c r="I102" i="24"/>
  <c r="I103" i="24"/>
  <c r="I104" i="24"/>
  <c r="I105" i="24"/>
  <c r="I5" i="24"/>
  <c r="D21" i="19"/>
  <c r="D36" i="19"/>
  <c r="F12" i="19"/>
  <c r="D39" i="19"/>
  <c r="D35" i="19"/>
  <c r="B42" i="2"/>
  <c r="C42" i="16" s="1"/>
  <c r="D42" i="16" s="1"/>
  <c r="B33" i="19"/>
  <c r="F56" i="2"/>
  <c r="F50" i="2"/>
  <c r="D29" i="1"/>
  <c r="G230" i="2"/>
  <c r="C225" i="2"/>
  <c r="C226" i="2"/>
  <c r="A234" i="2"/>
  <c r="G51" i="2"/>
  <c r="A192" i="2"/>
  <c r="C238" i="2"/>
  <c r="P2" i="24" l="1"/>
  <c r="U2" i="24"/>
  <c r="B155" i="2"/>
  <c r="B159" i="2" s="1"/>
  <c r="I9" i="8" s="1"/>
  <c r="I10" i="8"/>
  <c r="B140" i="2"/>
  <c r="B137" i="2"/>
  <c r="B56" i="2" l="1"/>
  <c r="C182" i="2"/>
  <c r="K44" i="2"/>
  <c r="K34" i="16" l="1"/>
  <c r="J34" i="16"/>
  <c r="K44" i="16"/>
  <c r="K43" i="16"/>
  <c r="J44" i="16"/>
  <c r="J43" i="16"/>
  <c r="I44" i="16" l="1"/>
  <c r="I43" i="16"/>
  <c r="H44" i="16"/>
  <c r="H43" i="16"/>
  <c r="J41" i="16"/>
  <c r="K41" i="16"/>
  <c r="K32" i="16"/>
  <c r="J32" i="16"/>
  <c r="K31" i="16"/>
  <c r="J31" i="16" l="1"/>
  <c r="T61" i="2"/>
  <c r="R61" i="2"/>
  <c r="B11" i="2" l="1"/>
  <c r="B26" i="19"/>
  <c r="D26" i="19" s="1"/>
  <c r="AY1" i="24" s="1"/>
  <c r="B20" i="19"/>
  <c r="D20" i="19" s="1"/>
  <c r="B27" i="19"/>
  <c r="D27" i="19" s="1"/>
  <c r="B8" i="2"/>
  <c r="B67" i="2"/>
  <c r="B72" i="2" s="1"/>
  <c r="B65" i="2"/>
  <c r="B115" i="2"/>
  <c r="BP106" i="19"/>
  <c r="D46" i="19"/>
  <c r="A34" i="16"/>
  <c r="A44" i="16"/>
  <c r="A43" i="16"/>
  <c r="C239" i="2"/>
  <c r="B254" i="2"/>
  <c r="B229" i="2"/>
  <c r="B225" i="2"/>
  <c r="J50" i="2"/>
  <c r="C222" i="2"/>
  <c r="B222" i="2"/>
  <c r="B32" i="19"/>
  <c r="D32" i="19" s="1"/>
  <c r="B31" i="19"/>
  <c r="D31" i="19" s="1"/>
  <c r="B30" i="19"/>
  <c r="D30" i="19" s="1"/>
  <c r="B8" i="19"/>
  <c r="D8" i="19" s="1"/>
  <c r="F91" i="19"/>
  <c r="F90" i="19"/>
  <c r="F89" i="19"/>
  <c r="D53" i="19"/>
  <c r="D52" i="19"/>
  <c r="D51" i="19"/>
  <c r="D50" i="19"/>
  <c r="D48" i="19"/>
  <c r="D45" i="19"/>
  <c r="D44" i="19"/>
  <c r="D42" i="19"/>
  <c r="D40" i="19"/>
  <c r="D33" i="19"/>
  <c r="D29" i="19"/>
  <c r="D23" i="19"/>
  <c r="D22" i="19"/>
  <c r="A58" i="19" s="1"/>
  <c r="D13" i="19"/>
  <c r="B174" i="2" s="1"/>
  <c r="D12" i="19"/>
  <c r="A31" i="16"/>
  <c r="B207" i="2"/>
  <c r="A206" i="2"/>
  <c r="B9" i="2"/>
  <c r="I6" i="8"/>
  <c r="J6" i="8" s="1"/>
  <c r="D41" i="16"/>
  <c r="C46" i="16"/>
  <c r="B139" i="2"/>
  <c r="B142" i="2" s="1"/>
  <c r="B134" i="2"/>
  <c r="B192" i="2"/>
  <c r="B206" i="2"/>
  <c r="B7" i="2"/>
  <c r="I212" i="24" s="1"/>
  <c r="B125" i="2"/>
  <c r="B127" i="2" s="1"/>
  <c r="B169" i="2"/>
  <c r="A34" i="8"/>
  <c r="A35" i="8"/>
  <c r="A36" i="8"/>
  <c r="A37" i="8"/>
  <c r="A38" i="8"/>
  <c r="A50" i="8" s="1"/>
  <c r="A62" i="8" s="1"/>
  <c r="A74" i="8" s="1"/>
  <c r="A86" i="8" s="1"/>
  <c r="A98" i="8" s="1"/>
  <c r="A110" i="8" s="1"/>
  <c r="A122" i="8" s="1"/>
  <c r="A134" i="8" s="1"/>
  <c r="A146" i="8" s="1"/>
  <c r="A158" i="8" s="1"/>
  <c r="A39" i="8"/>
  <c r="A51" i="8" s="1"/>
  <c r="A63" i="8" s="1"/>
  <c r="A75" i="8" s="1"/>
  <c r="A87" i="8" s="1"/>
  <c r="A99" i="8" s="1"/>
  <c r="A111" i="8" s="1"/>
  <c r="A123" i="8" s="1"/>
  <c r="A135" i="8" s="1"/>
  <c r="A147" i="8" s="1"/>
  <c r="A159" i="8" s="1"/>
  <c r="A40" i="8"/>
  <c r="A52" i="8" s="1"/>
  <c r="A64" i="8" s="1"/>
  <c r="A76" i="8" s="1"/>
  <c r="A88" i="8" s="1"/>
  <c r="A100" i="8" s="1"/>
  <c r="A112" i="8" s="1"/>
  <c r="A124" i="8" s="1"/>
  <c r="A136" i="8" s="1"/>
  <c r="A148" i="8" s="1"/>
  <c r="A41" i="8"/>
  <c r="A53" i="8" s="1"/>
  <c r="A65" i="8" s="1"/>
  <c r="A77" i="8" s="1"/>
  <c r="A89" i="8" s="1"/>
  <c r="A101" i="8" s="1"/>
  <c r="A113" i="8" s="1"/>
  <c r="A125" i="8" s="1"/>
  <c r="A137" i="8" s="1"/>
  <c r="A149" i="8" s="1"/>
  <c r="A42" i="8"/>
  <c r="A43" i="8"/>
  <c r="A44" i="8"/>
  <c r="A45" i="8"/>
  <c r="A46" i="8"/>
  <c r="A58" i="8" s="1"/>
  <c r="A70" i="8" s="1"/>
  <c r="A82" i="8" s="1"/>
  <c r="A94" i="8" s="1"/>
  <c r="A106" i="8" s="1"/>
  <c r="A118" i="8" s="1"/>
  <c r="A130" i="8" s="1"/>
  <c r="A142" i="8" s="1"/>
  <c r="A154" i="8" s="1"/>
  <c r="A47" i="8"/>
  <c r="A59" i="8" s="1"/>
  <c r="A71" i="8" s="1"/>
  <c r="A83" i="8" s="1"/>
  <c r="A95" i="8" s="1"/>
  <c r="A107" i="8" s="1"/>
  <c r="A119" i="8" s="1"/>
  <c r="A131" i="8" s="1"/>
  <c r="A143" i="8" s="1"/>
  <c r="A155" i="8" s="1"/>
  <c r="A48" i="8"/>
  <c r="A60" i="8" s="1"/>
  <c r="A72" i="8" s="1"/>
  <c r="A84" i="8" s="1"/>
  <c r="A96" i="8" s="1"/>
  <c r="A108" i="8" s="1"/>
  <c r="A120" i="8" s="1"/>
  <c r="A132" i="8" s="1"/>
  <c r="A144" i="8" s="1"/>
  <c r="A156" i="8" s="1"/>
  <c r="A49" i="8"/>
  <c r="A61" i="8" s="1"/>
  <c r="A73" i="8" s="1"/>
  <c r="A85" i="8" s="1"/>
  <c r="A97" i="8" s="1"/>
  <c r="A109" i="8" s="1"/>
  <c r="A121" i="8" s="1"/>
  <c r="A133" i="8" s="1"/>
  <c r="A145" i="8" s="1"/>
  <c r="A157" i="8" s="1"/>
  <c r="A54" i="8"/>
  <c r="A66" i="8" s="1"/>
  <c r="A78" i="8" s="1"/>
  <c r="A90" i="8" s="1"/>
  <c r="A102" i="8" s="1"/>
  <c r="A114" i="8" s="1"/>
  <c r="A126" i="8" s="1"/>
  <c r="A138" i="8" s="1"/>
  <c r="A150" i="8" s="1"/>
  <c r="A55" i="8"/>
  <c r="A67" i="8" s="1"/>
  <c r="A79" i="8" s="1"/>
  <c r="A91" i="8" s="1"/>
  <c r="A103" i="8" s="1"/>
  <c r="A115" i="8" s="1"/>
  <c r="A127" i="8" s="1"/>
  <c r="A139" i="8" s="1"/>
  <c r="A151" i="8" s="1"/>
  <c r="A56" i="8"/>
  <c r="A68" i="8" s="1"/>
  <c r="A80" i="8" s="1"/>
  <c r="A92" i="8" s="1"/>
  <c r="A104" i="8" s="1"/>
  <c r="A116" i="8" s="1"/>
  <c r="A128" i="8" s="1"/>
  <c r="A140" i="8" s="1"/>
  <c r="A152" i="8" s="1"/>
  <c r="A57" i="8"/>
  <c r="A69" i="8" s="1"/>
  <c r="A81" i="8" s="1"/>
  <c r="A93" i="8" s="1"/>
  <c r="A105" i="8" s="1"/>
  <c r="A117" i="8" s="1"/>
  <c r="A129" i="8" s="1"/>
  <c r="A141" i="8" s="1"/>
  <c r="A153" i="8" s="1"/>
  <c r="E3" i="8"/>
  <c r="A201" i="2"/>
  <c r="B201" i="2"/>
  <c r="I14" i="8"/>
  <c r="B179" i="2"/>
  <c r="I13" i="8"/>
  <c r="J13" i="8" s="1"/>
  <c r="I7" i="8"/>
  <c r="J7" i="8" s="1"/>
  <c r="J14" i="8"/>
  <c r="B107" i="2" l="1"/>
  <c r="BC2" i="24" s="1"/>
  <c r="B118" i="2"/>
  <c r="B76" i="2"/>
  <c r="D76" i="2" s="1"/>
  <c r="F76" i="2"/>
  <c r="C39" i="16"/>
  <c r="M212" i="24"/>
  <c r="N212" i="24" s="1"/>
  <c r="P212" i="24" s="1"/>
  <c r="K212" i="24"/>
  <c r="G11" i="2"/>
  <c r="B61" i="2"/>
  <c r="M2" i="24"/>
  <c r="S5" i="24"/>
  <c r="T5" i="24" s="1"/>
  <c r="D39" i="16"/>
  <c r="K12" i="2"/>
  <c r="K11" i="2"/>
  <c r="BL9" i="25"/>
  <c r="BL69" i="25"/>
  <c r="BL15" i="25"/>
  <c r="BL31" i="25"/>
  <c r="BL47" i="25"/>
  <c r="BL63" i="25"/>
  <c r="BL79" i="25"/>
  <c r="BL29" i="25"/>
  <c r="BL65" i="25"/>
  <c r="BL8" i="25"/>
  <c r="BL24" i="25"/>
  <c r="BL40" i="25"/>
  <c r="BL56" i="25"/>
  <c r="BL72" i="25"/>
  <c r="BL88" i="25"/>
  <c r="BL49" i="25"/>
  <c r="BL6" i="25"/>
  <c r="BL22" i="25"/>
  <c r="BL38" i="25"/>
  <c r="BL54" i="25"/>
  <c r="BL70" i="25"/>
  <c r="BL86" i="25"/>
  <c r="BL102" i="25"/>
  <c r="BL104" i="25"/>
  <c r="BL97" i="25"/>
  <c r="BL105" i="25"/>
  <c r="BL42" i="25"/>
  <c r="BL74" i="25"/>
  <c r="BL92" i="25"/>
  <c r="BL99" i="25"/>
  <c r="BL27" i="25"/>
  <c r="BL75" i="25"/>
  <c r="BL5" i="25"/>
  <c r="BL68" i="25"/>
  <c r="BL85" i="25"/>
  <c r="BL34" i="25"/>
  <c r="BL82" i="25"/>
  <c r="BL95" i="25"/>
  <c r="BL21" i="25"/>
  <c r="BL81" i="25"/>
  <c r="BL19" i="25"/>
  <c r="BL35" i="25"/>
  <c r="BL51" i="25"/>
  <c r="BL67" i="25"/>
  <c r="BL83" i="25"/>
  <c r="BL33" i="25"/>
  <c r="BL77" i="25"/>
  <c r="BL12" i="25"/>
  <c r="BL28" i="25"/>
  <c r="BL44" i="25"/>
  <c r="BL60" i="25"/>
  <c r="BL76" i="25"/>
  <c r="BL13" i="25"/>
  <c r="BL61" i="25"/>
  <c r="BL10" i="25"/>
  <c r="BL26" i="25"/>
  <c r="BL58" i="25"/>
  <c r="BL90" i="25"/>
  <c r="BL91" i="25"/>
  <c r="BL11" i="25"/>
  <c r="BL17" i="25"/>
  <c r="BL36" i="25"/>
  <c r="BL37" i="25"/>
  <c r="BL50" i="25"/>
  <c r="BL96" i="25"/>
  <c r="BL41" i="25"/>
  <c r="BL7" i="25"/>
  <c r="BL23" i="25"/>
  <c r="BL39" i="25"/>
  <c r="BL55" i="25"/>
  <c r="BL71" i="25"/>
  <c r="BL87" i="25"/>
  <c r="BL45" i="25"/>
  <c r="BL89" i="25"/>
  <c r="BL16" i="25"/>
  <c r="BL32" i="25"/>
  <c r="BL48" i="25"/>
  <c r="BL64" i="25"/>
  <c r="BL80" i="25"/>
  <c r="BL25" i="25"/>
  <c r="BL73" i="25"/>
  <c r="BL14" i="25"/>
  <c r="BL30" i="25"/>
  <c r="BL46" i="25"/>
  <c r="BL62" i="25"/>
  <c r="BL78" i="25"/>
  <c r="BL98" i="25"/>
  <c r="BL100" i="25"/>
  <c r="BL93" i="25"/>
  <c r="BL101" i="25"/>
  <c r="BL53" i="25"/>
  <c r="BL43" i="25"/>
  <c r="BL59" i="25"/>
  <c r="BL57" i="25"/>
  <c r="BL20" i="25"/>
  <c r="BL52" i="25"/>
  <c r="BL84" i="25"/>
  <c r="BL18" i="25"/>
  <c r="BL66" i="25"/>
  <c r="BL94" i="25"/>
  <c r="BL103" i="25"/>
  <c r="BR5" i="24"/>
  <c r="B28" i="2"/>
  <c r="R42" i="2"/>
  <c r="J210" i="25"/>
  <c r="J206" i="25"/>
  <c r="J202" i="25"/>
  <c r="J198" i="25"/>
  <c r="J194" i="25"/>
  <c r="J190" i="25"/>
  <c r="J186" i="25"/>
  <c r="J182" i="25"/>
  <c r="J178" i="25"/>
  <c r="J174" i="25"/>
  <c r="J170" i="25"/>
  <c r="J166" i="25"/>
  <c r="J162" i="25"/>
  <c r="J158" i="25"/>
  <c r="J154" i="25"/>
  <c r="J150" i="25"/>
  <c r="J146" i="25"/>
  <c r="J142" i="25"/>
  <c r="J138" i="25"/>
  <c r="J134" i="25"/>
  <c r="J130" i="25"/>
  <c r="J126" i="25"/>
  <c r="J122" i="25"/>
  <c r="J118" i="25"/>
  <c r="J114" i="25"/>
  <c r="J207" i="25"/>
  <c r="J179" i="25"/>
  <c r="J167" i="25"/>
  <c r="J155" i="25"/>
  <c r="J147" i="25"/>
  <c r="J135" i="25"/>
  <c r="J119" i="25"/>
  <c r="J111" i="25"/>
  <c r="J209" i="25"/>
  <c r="J205" i="25"/>
  <c r="J201" i="25"/>
  <c r="J197" i="25"/>
  <c r="J193" i="25"/>
  <c r="J189" i="25"/>
  <c r="J185" i="25"/>
  <c r="J181" i="25"/>
  <c r="J177" i="25"/>
  <c r="J173" i="25"/>
  <c r="J169" i="25"/>
  <c r="J165" i="25"/>
  <c r="J161" i="25"/>
  <c r="J157" i="25"/>
  <c r="J153" i="25"/>
  <c r="J149" i="25"/>
  <c r="J145" i="25"/>
  <c r="J141" i="25"/>
  <c r="J137" i="25"/>
  <c r="J133" i="25"/>
  <c r="J129" i="25"/>
  <c r="J125" i="25"/>
  <c r="J121" i="25"/>
  <c r="J117" i="25"/>
  <c r="J113" i="25"/>
  <c r="J110" i="25"/>
  <c r="BL110" i="25" s="1"/>
  <c r="J203" i="25"/>
  <c r="J195" i="25"/>
  <c r="J191" i="25"/>
  <c r="J187" i="25"/>
  <c r="J175" i="25"/>
  <c r="J159" i="25"/>
  <c r="J139" i="25"/>
  <c r="J127" i="25"/>
  <c r="J208" i="25"/>
  <c r="J204" i="25"/>
  <c r="J200" i="25"/>
  <c r="J196" i="25"/>
  <c r="J192" i="25"/>
  <c r="J188" i="25"/>
  <c r="J184" i="25"/>
  <c r="J180" i="25"/>
  <c r="J176" i="25"/>
  <c r="J172" i="25"/>
  <c r="J168" i="25"/>
  <c r="J164" i="25"/>
  <c r="J160" i="25"/>
  <c r="J156" i="25"/>
  <c r="J152" i="25"/>
  <c r="J148" i="25"/>
  <c r="J144" i="25"/>
  <c r="J140" i="25"/>
  <c r="J136" i="25"/>
  <c r="J132" i="25"/>
  <c r="J128" i="25"/>
  <c r="J124" i="25"/>
  <c r="J120" i="25"/>
  <c r="J116" i="25"/>
  <c r="J112" i="25"/>
  <c r="J199" i="25"/>
  <c r="J183" i="25"/>
  <c r="J171" i="25"/>
  <c r="J163" i="25"/>
  <c r="J151" i="25"/>
  <c r="J143" i="25"/>
  <c r="J131" i="25"/>
  <c r="J123" i="25"/>
  <c r="J115" i="25"/>
  <c r="B14" i="2"/>
  <c r="H110" i="25"/>
  <c r="H5" i="25"/>
  <c r="H218" i="25"/>
  <c r="L105" i="25"/>
  <c r="L101" i="25"/>
  <c r="L97" i="25"/>
  <c r="L93" i="25"/>
  <c r="N104" i="25"/>
  <c r="N96" i="25"/>
  <c r="N93" i="25"/>
  <c r="N83" i="25"/>
  <c r="N75" i="25"/>
  <c r="N67" i="25"/>
  <c r="N59" i="25"/>
  <c r="N51" i="25"/>
  <c r="N43" i="25"/>
  <c r="L37" i="25"/>
  <c r="N31" i="25"/>
  <c r="N23" i="25"/>
  <c r="N15" i="25"/>
  <c r="L84" i="25"/>
  <c r="L64" i="25"/>
  <c r="L48" i="25"/>
  <c r="L28" i="25"/>
  <c r="L12" i="25"/>
  <c r="L8" i="25"/>
  <c r="N99" i="25"/>
  <c r="N86" i="25"/>
  <c r="N78" i="25"/>
  <c r="N70" i="25"/>
  <c r="N50" i="25"/>
  <c r="N38" i="25"/>
  <c r="N34" i="25"/>
  <c r="N18" i="25"/>
  <c r="N95" i="25"/>
  <c r="L83" i="25"/>
  <c r="L75" i="25"/>
  <c r="L67" i="25"/>
  <c r="L104" i="25"/>
  <c r="L100" i="25"/>
  <c r="L96" i="25"/>
  <c r="L92" i="25"/>
  <c r="N102" i="25"/>
  <c r="N94" i="25"/>
  <c r="L90" i="25"/>
  <c r="L82" i="25"/>
  <c r="L74" i="25"/>
  <c r="L66" i="25"/>
  <c r="L58" i="25"/>
  <c r="L50" i="25"/>
  <c r="L42" i="25"/>
  <c r="L36" i="25"/>
  <c r="L30" i="25"/>
  <c r="L22" i="25"/>
  <c r="L14" i="25"/>
  <c r="N81" i="25"/>
  <c r="L60" i="25"/>
  <c r="N45" i="25"/>
  <c r="N21" i="25"/>
  <c r="L11" i="25"/>
  <c r="L7" i="25"/>
  <c r="N91" i="25"/>
  <c r="L102" i="25"/>
  <c r="L98" i="25"/>
  <c r="L94" i="25"/>
  <c r="N98" i="25"/>
  <c r="N101" i="25"/>
  <c r="L86" i="25"/>
  <c r="L78" i="25"/>
  <c r="L70" i="25"/>
  <c r="L62" i="25"/>
  <c r="L54" i="25"/>
  <c r="L46" i="25"/>
  <c r="L38" i="25"/>
  <c r="L34" i="25"/>
  <c r="L26" i="25"/>
  <c r="L18" i="25"/>
  <c r="N89" i="25"/>
  <c r="N69" i="25"/>
  <c r="L52" i="25"/>
  <c r="N41" i="25"/>
  <c r="N13" i="25"/>
  <c r="L9" i="25"/>
  <c r="L5" i="25"/>
  <c r="L89" i="25"/>
  <c r="L99" i="25"/>
  <c r="N71" i="25"/>
  <c r="N39" i="25"/>
  <c r="N97" i="25"/>
  <c r="L16" i="25"/>
  <c r="L85" i="25"/>
  <c r="N74" i="25"/>
  <c r="L53" i="25"/>
  <c r="N37" i="25"/>
  <c r="N26" i="25"/>
  <c r="L87" i="25"/>
  <c r="N76" i="25"/>
  <c r="N64" i="25"/>
  <c r="N56" i="25"/>
  <c r="N48" i="25"/>
  <c r="N40" i="25"/>
  <c r="N28" i="25"/>
  <c r="N20" i="25"/>
  <c r="N12" i="25"/>
  <c r="N8" i="25"/>
  <c r="N105" i="25"/>
  <c r="N77" i="25"/>
  <c r="N65" i="25"/>
  <c r="N49" i="25"/>
  <c r="N29" i="25"/>
  <c r="N17" i="25"/>
  <c r="L61" i="25"/>
  <c r="L41" i="25"/>
  <c r="L21" i="25"/>
  <c r="N11" i="25"/>
  <c r="L88" i="25"/>
  <c r="N61" i="25"/>
  <c r="N25" i="25"/>
  <c r="N66" i="25"/>
  <c r="L57" i="25"/>
  <c r="L17" i="25"/>
  <c r="L91" i="25"/>
  <c r="N100" i="25"/>
  <c r="N27" i="25"/>
  <c r="N53" i="25"/>
  <c r="L81" i="25"/>
  <c r="N35" i="25"/>
  <c r="N14" i="25"/>
  <c r="N80" i="25"/>
  <c r="N60" i="25"/>
  <c r="N44" i="25"/>
  <c r="N24" i="25"/>
  <c r="N10" i="25"/>
  <c r="N85" i="25"/>
  <c r="N33" i="25"/>
  <c r="L65" i="25"/>
  <c r="L29" i="25"/>
  <c r="L95" i="25"/>
  <c r="N63" i="25"/>
  <c r="L35" i="25"/>
  <c r="L72" i="25"/>
  <c r="L10" i="25"/>
  <c r="N82" i="25"/>
  <c r="L73" i="25"/>
  <c r="N46" i="25"/>
  <c r="N36" i="25"/>
  <c r="N22" i="25"/>
  <c r="N84" i="25"/>
  <c r="N72" i="25"/>
  <c r="L63" i="25"/>
  <c r="L55" i="25"/>
  <c r="L47" i="25"/>
  <c r="L39" i="25"/>
  <c r="L27" i="25"/>
  <c r="L19" i="25"/>
  <c r="N7" i="25"/>
  <c r="L76" i="25"/>
  <c r="L40" i="25"/>
  <c r="L33" i="25"/>
  <c r="N87" i="25"/>
  <c r="L6" i="25"/>
  <c r="L45" i="25"/>
  <c r="N103" i="25"/>
  <c r="N52" i="25"/>
  <c r="N16" i="25"/>
  <c r="N73" i="25"/>
  <c r="L24" i="25"/>
  <c r="L13" i="25"/>
  <c r="L103" i="25"/>
  <c r="N92" i="25"/>
  <c r="N79" i="25"/>
  <c r="N47" i="25"/>
  <c r="N19" i="25"/>
  <c r="L44" i="25"/>
  <c r="N90" i="25"/>
  <c r="L77" i="25"/>
  <c r="N58" i="25"/>
  <c r="N42" i="25"/>
  <c r="N30" i="25"/>
  <c r="N88" i="25"/>
  <c r="L79" i="25"/>
  <c r="N68" i="25"/>
  <c r="L59" i="25"/>
  <c r="L51" i="25"/>
  <c r="L43" i="25"/>
  <c r="L31" i="25"/>
  <c r="L23" i="25"/>
  <c r="L15" i="25"/>
  <c r="N9" i="25"/>
  <c r="N5" i="25"/>
  <c r="L80" i="25"/>
  <c r="L68" i="25"/>
  <c r="L56" i="25"/>
  <c r="L32" i="25"/>
  <c r="L20" i="25"/>
  <c r="N62" i="25"/>
  <c r="L49" i="25"/>
  <c r="L25" i="25"/>
  <c r="N55" i="25"/>
  <c r="L69" i="25"/>
  <c r="L71" i="25"/>
  <c r="N32" i="25"/>
  <c r="N6" i="25"/>
  <c r="N57" i="25"/>
  <c r="N54" i="25"/>
  <c r="J315" i="25"/>
  <c r="J311" i="25"/>
  <c r="J307" i="25"/>
  <c r="J303" i="25"/>
  <c r="J299" i="25"/>
  <c r="J295" i="25"/>
  <c r="J291" i="25"/>
  <c r="J287" i="25"/>
  <c r="J283" i="25"/>
  <c r="J279" i="25"/>
  <c r="J275" i="25"/>
  <c r="J271" i="25"/>
  <c r="J267" i="25"/>
  <c r="J263" i="25"/>
  <c r="J259" i="25"/>
  <c r="J255" i="25"/>
  <c r="J251" i="25"/>
  <c r="J247" i="25"/>
  <c r="J243" i="25"/>
  <c r="J239" i="25"/>
  <c r="J235" i="25"/>
  <c r="J231" i="25"/>
  <c r="J227" i="25"/>
  <c r="J223" i="25"/>
  <c r="J219" i="25"/>
  <c r="J318" i="25"/>
  <c r="J314" i="25"/>
  <c r="J310" i="25"/>
  <c r="J306" i="25"/>
  <c r="J302" i="25"/>
  <c r="J298" i="25"/>
  <c r="J294" i="25"/>
  <c r="J290" i="25"/>
  <c r="J286" i="25"/>
  <c r="J282" i="25"/>
  <c r="J278" i="25"/>
  <c r="J274" i="25"/>
  <c r="J270" i="25"/>
  <c r="J266" i="25"/>
  <c r="J262" i="25"/>
  <c r="J258" i="25"/>
  <c r="J254" i="25"/>
  <c r="J250" i="25"/>
  <c r="J246" i="25"/>
  <c r="J242" i="25"/>
  <c r="J238" i="25"/>
  <c r="J234" i="25"/>
  <c r="J230" i="25"/>
  <c r="J226" i="25"/>
  <c r="J222" i="25"/>
  <c r="J317" i="25"/>
  <c r="J313" i="25"/>
  <c r="J309" i="25"/>
  <c r="J305" i="25"/>
  <c r="J301" i="25"/>
  <c r="J297" i="25"/>
  <c r="J293" i="25"/>
  <c r="J289" i="25"/>
  <c r="J285" i="25"/>
  <c r="J281" i="25"/>
  <c r="J277" i="25"/>
  <c r="J273" i="25"/>
  <c r="J269" i="25"/>
  <c r="J265" i="25"/>
  <c r="J261" i="25"/>
  <c r="J257" i="25"/>
  <c r="J253" i="25"/>
  <c r="J249" i="25"/>
  <c r="J245" i="25"/>
  <c r="J241" i="25"/>
  <c r="J237" i="25"/>
  <c r="J233" i="25"/>
  <c r="J229" i="25"/>
  <c r="J225" i="25"/>
  <c r="J221" i="25"/>
  <c r="J218" i="25"/>
  <c r="J316" i="25"/>
  <c r="J312" i="25"/>
  <c r="J308" i="25"/>
  <c r="J304" i="25"/>
  <c r="J300" i="25"/>
  <c r="J296" i="25"/>
  <c r="J292" i="25"/>
  <c r="J288" i="25"/>
  <c r="J284" i="25"/>
  <c r="J268" i="25"/>
  <c r="J252" i="25"/>
  <c r="J236" i="25"/>
  <c r="J220" i="25"/>
  <c r="J280" i="25"/>
  <c r="J264" i="25"/>
  <c r="J248" i="25"/>
  <c r="J232" i="25"/>
  <c r="J276" i="25"/>
  <c r="J260" i="25"/>
  <c r="J244" i="25"/>
  <c r="J228" i="25"/>
  <c r="J272" i="25"/>
  <c r="J256" i="25"/>
  <c r="J240" i="25"/>
  <c r="J224" i="25"/>
  <c r="B63" i="2"/>
  <c r="B62" i="2"/>
  <c r="B154" i="2"/>
  <c r="E26" i="1" s="1"/>
  <c r="BM105" i="24"/>
  <c r="BM65" i="24"/>
  <c r="BM25" i="24"/>
  <c r="BM100" i="24"/>
  <c r="BM84" i="24"/>
  <c r="BM68" i="24"/>
  <c r="BM52" i="24"/>
  <c r="BM36" i="24"/>
  <c r="BM20" i="24"/>
  <c r="BM97" i="24"/>
  <c r="BM37" i="24"/>
  <c r="BM95" i="24"/>
  <c r="BM79" i="24"/>
  <c r="BM63" i="24"/>
  <c r="BM47" i="24"/>
  <c r="BM31" i="24"/>
  <c r="BM15" i="24"/>
  <c r="BM89" i="24"/>
  <c r="BM45" i="24"/>
  <c r="BM98" i="24"/>
  <c r="BM82" i="24"/>
  <c r="BM66" i="24"/>
  <c r="BM50" i="24"/>
  <c r="BM34" i="24"/>
  <c r="BM18" i="24"/>
  <c r="BM78" i="24"/>
  <c r="BM46" i="24"/>
  <c r="BM30" i="24"/>
  <c r="BM83" i="24"/>
  <c r="BM19" i="24"/>
  <c r="BM102" i="24"/>
  <c r="BM70" i="24"/>
  <c r="BM22" i="24"/>
  <c r="BM93" i="24"/>
  <c r="BM49" i="24"/>
  <c r="BM13" i="24"/>
  <c r="BM96" i="24"/>
  <c r="BM80" i="24"/>
  <c r="BM64" i="24"/>
  <c r="BM48" i="24"/>
  <c r="BM32" i="24"/>
  <c r="BM16" i="24"/>
  <c r="BM81" i="24"/>
  <c r="BM21" i="24"/>
  <c r="BM91" i="24"/>
  <c r="BM75" i="24"/>
  <c r="BM59" i="24"/>
  <c r="BM43" i="24"/>
  <c r="BM27" i="24"/>
  <c r="BM11" i="24"/>
  <c r="BM77" i="24"/>
  <c r="BM33" i="24"/>
  <c r="BM94" i="24"/>
  <c r="BM62" i="24"/>
  <c r="BM14" i="24"/>
  <c r="BM51" i="24"/>
  <c r="BM53" i="24"/>
  <c r="BM54" i="24"/>
  <c r="BM85" i="24"/>
  <c r="BM41" i="24"/>
  <c r="BM9" i="24"/>
  <c r="BM92" i="24"/>
  <c r="BM76" i="24"/>
  <c r="BM60" i="24"/>
  <c r="BM44" i="24"/>
  <c r="BM28" i="24"/>
  <c r="BM12" i="24"/>
  <c r="BM69" i="24"/>
  <c r="BM103" i="24"/>
  <c r="BM87" i="24"/>
  <c r="BM71" i="24"/>
  <c r="BM55" i="24"/>
  <c r="BM39" i="24"/>
  <c r="BM23" i="24"/>
  <c r="BM7" i="24"/>
  <c r="BM61" i="24"/>
  <c r="BM17" i="24"/>
  <c r="BM90" i="24"/>
  <c r="BM74" i="24"/>
  <c r="BM58" i="24"/>
  <c r="BM42" i="24"/>
  <c r="BM26" i="24"/>
  <c r="BM10" i="24"/>
  <c r="BM73" i="24"/>
  <c r="BM29" i="24"/>
  <c r="BM104" i="24"/>
  <c r="BM88" i="24"/>
  <c r="BM72" i="24"/>
  <c r="BM56" i="24"/>
  <c r="BM40" i="24"/>
  <c r="BM24" i="24"/>
  <c r="BM8" i="24"/>
  <c r="BM57" i="24"/>
  <c r="BM99" i="24"/>
  <c r="BM67" i="24"/>
  <c r="BM35" i="24"/>
  <c r="BM101" i="24"/>
  <c r="BM86" i="24"/>
  <c r="BM38" i="24"/>
  <c r="BM6" i="24"/>
  <c r="B175" i="2"/>
  <c r="BM5" i="24"/>
  <c r="B171" i="2"/>
  <c r="B30" i="2"/>
  <c r="I113" i="24"/>
  <c r="I117" i="24"/>
  <c r="I121" i="24"/>
  <c r="I125" i="24"/>
  <c r="I129" i="24"/>
  <c r="I133" i="24"/>
  <c r="I137" i="24"/>
  <c r="I141" i="24"/>
  <c r="I145" i="24"/>
  <c r="I149" i="24"/>
  <c r="I153" i="24"/>
  <c r="I157" i="24"/>
  <c r="I161" i="24"/>
  <c r="I165" i="24"/>
  <c r="I169" i="24"/>
  <c r="I173" i="24"/>
  <c r="I177" i="24"/>
  <c r="I181" i="24"/>
  <c r="I185" i="24"/>
  <c r="I189" i="24"/>
  <c r="I193" i="24"/>
  <c r="I197" i="24"/>
  <c r="I201" i="24"/>
  <c r="I205" i="24"/>
  <c r="I209" i="24"/>
  <c r="I114" i="24"/>
  <c r="I118" i="24"/>
  <c r="I122" i="24"/>
  <c r="I126" i="24"/>
  <c r="I130" i="24"/>
  <c r="I134" i="24"/>
  <c r="I138" i="24"/>
  <c r="I116" i="24"/>
  <c r="I124" i="24"/>
  <c r="I132" i="24"/>
  <c r="I140" i="24"/>
  <c r="I146" i="24"/>
  <c r="I151" i="24"/>
  <c r="I156" i="24"/>
  <c r="I162" i="24"/>
  <c r="I167" i="24"/>
  <c r="I172" i="24"/>
  <c r="I178" i="24"/>
  <c r="I183" i="24"/>
  <c r="I188" i="24"/>
  <c r="I194" i="24"/>
  <c r="I199" i="24"/>
  <c r="I204" i="24"/>
  <c r="I210" i="24"/>
  <c r="I111" i="24"/>
  <c r="I119" i="24"/>
  <c r="I127" i="24"/>
  <c r="I135" i="24"/>
  <c r="I142" i="24"/>
  <c r="I147" i="24"/>
  <c r="I152" i="24"/>
  <c r="I158" i="24"/>
  <c r="I163" i="24"/>
  <c r="I168" i="24"/>
  <c r="I174" i="24"/>
  <c r="I179" i="24"/>
  <c r="I184" i="24"/>
  <c r="I190" i="24"/>
  <c r="I195" i="24"/>
  <c r="I200" i="24"/>
  <c r="I206" i="24"/>
  <c r="I110" i="24"/>
  <c r="I112" i="24"/>
  <c r="I120" i="24"/>
  <c r="I128" i="24"/>
  <c r="I136" i="24"/>
  <c r="I143" i="24"/>
  <c r="I148" i="24"/>
  <c r="I154" i="24"/>
  <c r="I159" i="24"/>
  <c r="I164" i="24"/>
  <c r="I170" i="24"/>
  <c r="I175" i="24"/>
  <c r="I180" i="24"/>
  <c r="I186" i="24"/>
  <c r="I191" i="24"/>
  <c r="I196" i="24"/>
  <c r="I202" i="24"/>
  <c r="I207" i="24"/>
  <c r="I115" i="24"/>
  <c r="I123" i="24"/>
  <c r="I131" i="24"/>
  <c r="I139" i="24"/>
  <c r="I144" i="24"/>
  <c r="I150" i="24"/>
  <c r="I155" i="24"/>
  <c r="I160" i="24"/>
  <c r="I166" i="24"/>
  <c r="I171" i="24"/>
  <c r="I176" i="24"/>
  <c r="I182" i="24"/>
  <c r="I187" i="24"/>
  <c r="I192" i="24"/>
  <c r="I198" i="24"/>
  <c r="I203" i="24"/>
  <c r="I208" i="24"/>
  <c r="H217" i="24"/>
  <c r="H110" i="24"/>
  <c r="I218" i="24"/>
  <c r="I222" i="24"/>
  <c r="I226" i="24"/>
  <c r="I230" i="24"/>
  <c r="I234" i="24"/>
  <c r="I238" i="24"/>
  <c r="I242" i="24"/>
  <c r="I246" i="24"/>
  <c r="I250" i="24"/>
  <c r="I254" i="24"/>
  <c r="I258" i="24"/>
  <c r="I262" i="24"/>
  <c r="I266" i="24"/>
  <c r="I270" i="24"/>
  <c r="I274" i="24"/>
  <c r="I278" i="24"/>
  <c r="I282" i="24"/>
  <c r="I286" i="24"/>
  <c r="I290" i="24"/>
  <c r="I294" i="24"/>
  <c r="I298" i="24"/>
  <c r="I302" i="24"/>
  <c r="I306" i="24"/>
  <c r="I310" i="24"/>
  <c r="I314" i="24"/>
  <c r="I217" i="24"/>
  <c r="I220" i="24"/>
  <c r="I236" i="24"/>
  <c r="I244" i="24"/>
  <c r="I252" i="24"/>
  <c r="I260" i="24"/>
  <c r="I268" i="24"/>
  <c r="I276" i="24"/>
  <c r="I284" i="24"/>
  <c r="I292" i="24"/>
  <c r="I300" i="24"/>
  <c r="I304" i="24"/>
  <c r="I312" i="24"/>
  <c r="I225" i="24"/>
  <c r="I233" i="24"/>
  <c r="I241" i="24"/>
  <c r="I249" i="24"/>
  <c r="I257" i="24"/>
  <c r="I265" i="24"/>
  <c r="I273" i="24"/>
  <c r="I281" i="24"/>
  <c r="I289" i="24"/>
  <c r="I297" i="24"/>
  <c r="I301" i="24"/>
  <c r="I309" i="24"/>
  <c r="I219" i="24"/>
  <c r="I223" i="24"/>
  <c r="I227" i="24"/>
  <c r="I231" i="24"/>
  <c r="I235" i="24"/>
  <c r="I239" i="24"/>
  <c r="I243" i="24"/>
  <c r="I247" i="24"/>
  <c r="I251" i="24"/>
  <c r="I255" i="24"/>
  <c r="I259" i="24"/>
  <c r="I263" i="24"/>
  <c r="I267" i="24"/>
  <c r="I271" i="24"/>
  <c r="I275" i="24"/>
  <c r="I279" i="24"/>
  <c r="I283" i="24"/>
  <c r="I287" i="24"/>
  <c r="I291" i="24"/>
  <c r="I295" i="24"/>
  <c r="I299" i="24"/>
  <c r="I303" i="24"/>
  <c r="I307" i="24"/>
  <c r="I311" i="24"/>
  <c r="I315" i="24"/>
  <c r="I224" i="24"/>
  <c r="I228" i="24"/>
  <c r="I232" i="24"/>
  <c r="I240" i="24"/>
  <c r="I248" i="24"/>
  <c r="I256" i="24"/>
  <c r="I264" i="24"/>
  <c r="I272" i="24"/>
  <c r="I280" i="24"/>
  <c r="I288" i="24"/>
  <c r="I296" i="24"/>
  <c r="I308" i="24"/>
  <c r="I316" i="24"/>
  <c r="I221" i="24"/>
  <c r="I229" i="24"/>
  <c r="I237" i="24"/>
  <c r="I245" i="24"/>
  <c r="I253" i="24"/>
  <c r="I261" i="24"/>
  <c r="I269" i="24"/>
  <c r="I277" i="24"/>
  <c r="I285" i="24"/>
  <c r="I293" i="24"/>
  <c r="I305" i="24"/>
  <c r="I313" i="24"/>
  <c r="I317" i="24"/>
  <c r="E15" i="23"/>
  <c r="R15" i="23" s="1"/>
  <c r="E23" i="23"/>
  <c r="R23" i="23" s="1"/>
  <c r="E31" i="23"/>
  <c r="R31" i="23" s="1"/>
  <c r="E39" i="23"/>
  <c r="R39" i="23" s="1"/>
  <c r="E47" i="23"/>
  <c r="R47" i="23" s="1"/>
  <c r="E55" i="23"/>
  <c r="R55" i="23" s="1"/>
  <c r="E63" i="23"/>
  <c r="R63" i="23" s="1"/>
  <c r="E71" i="23"/>
  <c r="R71" i="23" s="1"/>
  <c r="E79" i="23"/>
  <c r="R79" i="23" s="1"/>
  <c r="E87" i="23"/>
  <c r="R87" i="23" s="1"/>
  <c r="E95" i="23"/>
  <c r="R95" i="23" s="1"/>
  <c r="E103" i="23"/>
  <c r="R103" i="23" s="1"/>
  <c r="E20" i="23"/>
  <c r="R20" i="23" s="1"/>
  <c r="E44" i="23"/>
  <c r="R44" i="23" s="1"/>
  <c r="E68" i="23"/>
  <c r="R68" i="23" s="1"/>
  <c r="E84" i="23"/>
  <c r="R84" i="23" s="1"/>
  <c r="E7" i="23"/>
  <c r="R7" i="23" s="1"/>
  <c r="E16" i="23"/>
  <c r="R16" i="23" s="1"/>
  <c r="E24" i="23"/>
  <c r="R24" i="23" s="1"/>
  <c r="E32" i="23"/>
  <c r="R32" i="23" s="1"/>
  <c r="E40" i="23"/>
  <c r="R40" i="23" s="1"/>
  <c r="E48" i="23"/>
  <c r="R48" i="23" s="1"/>
  <c r="E56" i="23"/>
  <c r="R56" i="23" s="1"/>
  <c r="E64" i="23"/>
  <c r="R64" i="23" s="1"/>
  <c r="E72" i="23"/>
  <c r="R72" i="23" s="1"/>
  <c r="E80" i="23"/>
  <c r="R80" i="23" s="1"/>
  <c r="E88" i="23"/>
  <c r="R88" i="23" s="1"/>
  <c r="E96" i="23"/>
  <c r="R96" i="23" s="1"/>
  <c r="E104" i="23"/>
  <c r="R104" i="23" s="1"/>
  <c r="E28" i="23"/>
  <c r="R28" i="23" s="1"/>
  <c r="E60" i="23"/>
  <c r="R60" i="23" s="1"/>
  <c r="E92" i="23"/>
  <c r="R92" i="23" s="1"/>
  <c r="E11" i="23"/>
  <c r="R11" i="23" s="1"/>
  <c r="E19" i="23"/>
  <c r="R19" i="23" s="1"/>
  <c r="E27" i="23"/>
  <c r="R27" i="23" s="1"/>
  <c r="E35" i="23"/>
  <c r="R35" i="23" s="1"/>
  <c r="E43" i="23"/>
  <c r="R43" i="23" s="1"/>
  <c r="E51" i="23"/>
  <c r="R51" i="23" s="1"/>
  <c r="E59" i="23"/>
  <c r="R59" i="23" s="1"/>
  <c r="E67" i="23"/>
  <c r="R67" i="23" s="1"/>
  <c r="E75" i="23"/>
  <c r="R75" i="23" s="1"/>
  <c r="E83" i="23"/>
  <c r="R83" i="23" s="1"/>
  <c r="E91" i="23"/>
  <c r="R91" i="23" s="1"/>
  <c r="E99" i="23"/>
  <c r="R99" i="23" s="1"/>
  <c r="E6" i="23"/>
  <c r="R6" i="23" s="1"/>
  <c r="E12" i="23"/>
  <c r="R12" i="23" s="1"/>
  <c r="E36" i="23"/>
  <c r="R36" i="23" s="1"/>
  <c r="E52" i="23"/>
  <c r="R52" i="23" s="1"/>
  <c r="E76" i="23"/>
  <c r="R76" i="23" s="1"/>
  <c r="E100" i="23"/>
  <c r="R100" i="23" s="1"/>
  <c r="K16" i="24"/>
  <c r="M58" i="24"/>
  <c r="BA58" i="24" s="1"/>
  <c r="M42" i="24"/>
  <c r="M26" i="24"/>
  <c r="K10" i="24"/>
  <c r="K45" i="24"/>
  <c r="K29" i="24"/>
  <c r="M7" i="24"/>
  <c r="M54" i="24"/>
  <c r="BA54" i="24" s="1"/>
  <c r="M38" i="24"/>
  <c r="BA38" i="24" s="1"/>
  <c r="K22" i="24"/>
  <c r="M6" i="24"/>
  <c r="BA6" i="24" s="1"/>
  <c r="K57" i="24"/>
  <c r="K41" i="24"/>
  <c r="K25" i="24"/>
  <c r="K20" i="24"/>
  <c r="M34" i="24"/>
  <c r="BA34" i="24" s="1"/>
  <c r="K12" i="24"/>
  <c r="K53" i="24"/>
  <c r="E94" i="23"/>
  <c r="R94" i="23" s="1"/>
  <c r="E78" i="23"/>
  <c r="R78" i="23" s="1"/>
  <c r="E62" i="23"/>
  <c r="R62" i="23" s="1"/>
  <c r="E46" i="23"/>
  <c r="R46" i="23" s="1"/>
  <c r="E30" i="23"/>
  <c r="R30" i="23" s="1"/>
  <c r="E14" i="23"/>
  <c r="R14" i="23" s="1"/>
  <c r="M103" i="24"/>
  <c r="BA103" i="24" s="1"/>
  <c r="K98" i="24"/>
  <c r="M87" i="24"/>
  <c r="BA87" i="24" s="1"/>
  <c r="K82" i="24"/>
  <c r="M96" i="24"/>
  <c r="BA96" i="24" s="1"/>
  <c r="K91" i="24"/>
  <c r="K81" i="24"/>
  <c r="K101" i="24"/>
  <c r="K93" i="24"/>
  <c r="K85" i="24"/>
  <c r="M94" i="24"/>
  <c r="BA94" i="24" s="1"/>
  <c r="M85" i="24"/>
  <c r="BA85" i="24" s="1"/>
  <c r="K75" i="24"/>
  <c r="K70" i="24"/>
  <c r="M80" i="24"/>
  <c r="BA80" i="24" s="1"/>
  <c r="K67" i="24"/>
  <c r="M89" i="24"/>
  <c r="BA89" i="24" s="1"/>
  <c r="K69" i="24"/>
  <c r="K61" i="24"/>
  <c r="M55" i="24"/>
  <c r="BA55" i="24" s="1"/>
  <c r="K50" i="24"/>
  <c r="M5" i="24"/>
  <c r="BB5" i="24" s="1"/>
  <c r="M30" i="24"/>
  <c r="BA30" i="24" s="1"/>
  <c r="K49" i="24"/>
  <c r="E106" i="23"/>
  <c r="R106" i="23" s="1"/>
  <c r="E90" i="23"/>
  <c r="R90" i="23" s="1"/>
  <c r="E74" i="23"/>
  <c r="R74" i="23" s="1"/>
  <c r="E58" i="23"/>
  <c r="R58" i="23" s="1"/>
  <c r="E42" i="23"/>
  <c r="R42" i="23" s="1"/>
  <c r="E26" i="23"/>
  <c r="R26" i="23" s="1"/>
  <c r="E9" i="23"/>
  <c r="R9" i="23" s="1"/>
  <c r="K102" i="24"/>
  <c r="M91" i="24"/>
  <c r="BA91" i="24" s="1"/>
  <c r="K86" i="24"/>
  <c r="M100" i="24"/>
  <c r="BA100" i="24" s="1"/>
  <c r="K95" i="24"/>
  <c r="M84" i="24"/>
  <c r="BA84" i="24" s="1"/>
  <c r="M74" i="24"/>
  <c r="BA74" i="24" s="1"/>
  <c r="K100" i="24"/>
  <c r="K92" i="24"/>
  <c r="K84" i="24"/>
  <c r="M75" i="24"/>
  <c r="BA75" i="24" s="1"/>
  <c r="M102" i="24"/>
  <c r="BA102" i="24" s="1"/>
  <c r="M93" i="24"/>
  <c r="BA93" i="24" s="1"/>
  <c r="K80" i="24"/>
  <c r="M73" i="24"/>
  <c r="BA73" i="24" s="1"/>
  <c r="M63" i="24"/>
  <c r="BA63" i="24" s="1"/>
  <c r="M77" i="24"/>
  <c r="BA77" i="24" s="1"/>
  <c r="K71" i="24"/>
  <c r="M105" i="24"/>
  <c r="BA105" i="24" s="1"/>
  <c r="K68" i="24"/>
  <c r="M59" i="24"/>
  <c r="BA59" i="24" s="1"/>
  <c r="K54" i="24"/>
  <c r="M50" i="24"/>
  <c r="BA50" i="24" s="1"/>
  <c r="E102" i="23"/>
  <c r="R102" i="23" s="1"/>
  <c r="E70" i="23"/>
  <c r="R70" i="23" s="1"/>
  <c r="E38" i="23"/>
  <c r="R38" i="23" s="1"/>
  <c r="K8" i="24"/>
  <c r="M95" i="24"/>
  <c r="BA95" i="24" s="1"/>
  <c r="K99" i="24"/>
  <c r="M88" i="24"/>
  <c r="BA88" i="24" s="1"/>
  <c r="M78" i="24"/>
  <c r="BA78" i="24" s="1"/>
  <c r="K97" i="24"/>
  <c r="M79" i="24"/>
  <c r="BA79" i="24" s="1"/>
  <c r="M101" i="24"/>
  <c r="BA101" i="24" s="1"/>
  <c r="K79" i="24"/>
  <c r="M67" i="24"/>
  <c r="BA67" i="24" s="1"/>
  <c r="K58" i="24"/>
  <c r="M47" i="24"/>
  <c r="BA47" i="24" s="1"/>
  <c r="M35" i="24"/>
  <c r="BA35" i="24" s="1"/>
  <c r="K30" i="24"/>
  <c r="K72" i="24"/>
  <c r="M57" i="24"/>
  <c r="BA57" i="24" s="1"/>
  <c r="K52" i="24"/>
  <c r="M41" i="24"/>
  <c r="BA41" i="24" s="1"/>
  <c r="K36" i="24"/>
  <c r="M25" i="24"/>
  <c r="BA25" i="24" s="1"/>
  <c r="K21" i="24"/>
  <c r="M10" i="24"/>
  <c r="BA10" i="24" s="1"/>
  <c r="K23" i="24"/>
  <c r="M12" i="24"/>
  <c r="BA12" i="24" s="1"/>
  <c r="K7" i="24"/>
  <c r="E101" i="23"/>
  <c r="R101" i="23" s="1"/>
  <c r="E85" i="23"/>
  <c r="R85" i="23" s="1"/>
  <c r="E69" i="23"/>
  <c r="R69" i="23" s="1"/>
  <c r="E53" i="23"/>
  <c r="R53" i="23" s="1"/>
  <c r="E37" i="23"/>
  <c r="R37" i="23" s="1"/>
  <c r="E21" i="23"/>
  <c r="R21" i="23" s="1"/>
  <c r="K5" i="24"/>
  <c r="M28" i="24"/>
  <c r="BA28" i="24" s="1"/>
  <c r="M36" i="24"/>
  <c r="BA36" i="24" s="1"/>
  <c r="M44" i="24"/>
  <c r="BA44" i="24" s="1"/>
  <c r="M52" i="24"/>
  <c r="BA52" i="24" s="1"/>
  <c r="M60" i="24"/>
  <c r="BA60" i="24" s="1"/>
  <c r="K18" i="24"/>
  <c r="E86" i="23"/>
  <c r="R86" i="23" s="1"/>
  <c r="E22" i="23"/>
  <c r="R22" i="23" s="1"/>
  <c r="M104" i="24"/>
  <c r="BA104" i="24" s="1"/>
  <c r="K83" i="24"/>
  <c r="K105" i="24"/>
  <c r="K74" i="24"/>
  <c r="M72" i="24"/>
  <c r="BA72" i="24" s="1"/>
  <c r="M64" i="24"/>
  <c r="BA64" i="24" s="1"/>
  <c r="K65" i="24"/>
  <c r="M43" i="24"/>
  <c r="BA43" i="24" s="1"/>
  <c r="K60" i="24"/>
  <c r="M49" i="24"/>
  <c r="BA49" i="24" s="1"/>
  <c r="K28" i="24"/>
  <c r="M62" i="24"/>
  <c r="BA62" i="24" s="1"/>
  <c r="K13" i="24"/>
  <c r="M20" i="24"/>
  <c r="BA20" i="24" s="1"/>
  <c r="E93" i="23"/>
  <c r="R93" i="23" s="1"/>
  <c r="E77" i="23"/>
  <c r="R77" i="23" s="1"/>
  <c r="E45" i="23"/>
  <c r="R45" i="23" s="1"/>
  <c r="E13" i="23"/>
  <c r="R13" i="23" s="1"/>
  <c r="M24" i="24"/>
  <c r="BA24" i="24" s="1"/>
  <c r="M40" i="24"/>
  <c r="BA40" i="24" s="1"/>
  <c r="M56" i="24"/>
  <c r="BA56" i="24" s="1"/>
  <c r="K14" i="24"/>
  <c r="E82" i="23"/>
  <c r="R82" i="23" s="1"/>
  <c r="E50" i="23"/>
  <c r="R50" i="23" s="1"/>
  <c r="M92" i="24"/>
  <c r="BA92" i="24" s="1"/>
  <c r="K104" i="24"/>
  <c r="M86" i="24"/>
  <c r="BA86" i="24" s="1"/>
  <c r="K64" i="24"/>
  <c r="K42" i="24"/>
  <c r="K26" i="24"/>
  <c r="M53" i="24"/>
  <c r="BA53" i="24" s="1"/>
  <c r="M37" i="24"/>
  <c r="BA37" i="24" s="1"/>
  <c r="K17" i="24"/>
  <c r="M66" i="24"/>
  <c r="BA66" i="24" s="1"/>
  <c r="M8" i="24"/>
  <c r="BA8" i="24" s="1"/>
  <c r="E89" i="23"/>
  <c r="R89" i="23" s="1"/>
  <c r="E57" i="23"/>
  <c r="R57" i="23" s="1"/>
  <c r="E25" i="23"/>
  <c r="R25" i="23" s="1"/>
  <c r="M9" i="24"/>
  <c r="BA9" i="24" s="1"/>
  <c r="M17" i="24"/>
  <c r="BA17" i="24" s="1"/>
  <c r="K27" i="24"/>
  <c r="K43" i="24"/>
  <c r="M69" i="24"/>
  <c r="BA69" i="24" s="1"/>
  <c r="M46" i="24"/>
  <c r="BA46" i="24" s="1"/>
  <c r="E98" i="23"/>
  <c r="R98" i="23" s="1"/>
  <c r="E66" i="23"/>
  <c r="R66" i="23" s="1"/>
  <c r="E34" i="23"/>
  <c r="R34" i="23" s="1"/>
  <c r="K94" i="24"/>
  <c r="M83" i="24"/>
  <c r="BA83" i="24" s="1"/>
  <c r="K87" i="24"/>
  <c r="K77" i="24"/>
  <c r="K96" i="24"/>
  <c r="K78" i="24"/>
  <c r="K76" i="24"/>
  <c r="K66" i="24"/>
  <c r="M81" i="24"/>
  <c r="BA81" i="24" s="1"/>
  <c r="M68" i="24"/>
  <c r="BA68" i="24" s="1"/>
  <c r="M98" i="24"/>
  <c r="BA98" i="24" s="1"/>
  <c r="K73" i="24"/>
  <c r="K46" i="24"/>
  <c r="M39" i="24"/>
  <c r="BA39" i="24" s="1"/>
  <c r="K34" i="24"/>
  <c r="M97" i="24"/>
  <c r="BA97" i="24" s="1"/>
  <c r="K56" i="24"/>
  <c r="M45" i="24"/>
  <c r="BA45" i="24" s="1"/>
  <c r="K40" i="24"/>
  <c r="M29" i="24"/>
  <c r="BA29" i="24" s="1"/>
  <c r="K24" i="24"/>
  <c r="M70" i="24"/>
  <c r="BA70" i="24" s="1"/>
  <c r="M14" i="24"/>
  <c r="BA14" i="24" s="1"/>
  <c r="K9" i="24"/>
  <c r="M16" i="24"/>
  <c r="BA16" i="24" s="1"/>
  <c r="K11" i="24"/>
  <c r="E97" i="23"/>
  <c r="R97" i="23" s="1"/>
  <c r="E81" i="23"/>
  <c r="R81" i="23" s="1"/>
  <c r="E65" i="23"/>
  <c r="R65" i="23" s="1"/>
  <c r="E49" i="23"/>
  <c r="R49" i="23" s="1"/>
  <c r="E33" i="23"/>
  <c r="R33" i="23" s="1"/>
  <c r="E17" i="23"/>
  <c r="R17" i="23" s="1"/>
  <c r="K6" i="24"/>
  <c r="M11" i="24"/>
  <c r="BA11" i="24" s="1"/>
  <c r="M15" i="24"/>
  <c r="BA15" i="24" s="1"/>
  <c r="M19" i="24"/>
  <c r="BA19" i="24" s="1"/>
  <c r="M23" i="24"/>
  <c r="BA23" i="24" s="1"/>
  <c r="K31" i="24"/>
  <c r="K39" i="24"/>
  <c r="K47" i="24"/>
  <c r="K55" i="24"/>
  <c r="M61" i="24"/>
  <c r="BA61" i="24" s="1"/>
  <c r="K37" i="24"/>
  <c r="E54" i="23"/>
  <c r="R54" i="23" s="1"/>
  <c r="K90" i="24"/>
  <c r="K89" i="24"/>
  <c r="K62" i="24"/>
  <c r="M76" i="24"/>
  <c r="BA76" i="24" s="1"/>
  <c r="M82" i="24"/>
  <c r="BA82" i="24" s="1"/>
  <c r="K38" i="24"/>
  <c r="M27" i="24"/>
  <c r="BA27" i="24" s="1"/>
  <c r="K44" i="24"/>
  <c r="M33" i="24"/>
  <c r="BA33" i="24" s="1"/>
  <c r="M18" i="24"/>
  <c r="BA18" i="24" s="1"/>
  <c r="K15" i="24"/>
  <c r="E10" i="23"/>
  <c r="R10" i="23" s="1"/>
  <c r="E61" i="23"/>
  <c r="R61" i="23" s="1"/>
  <c r="E29" i="23"/>
  <c r="R29" i="23" s="1"/>
  <c r="M32" i="24"/>
  <c r="BA32" i="24" s="1"/>
  <c r="M48" i="24"/>
  <c r="BA48" i="24" s="1"/>
  <c r="M65" i="24"/>
  <c r="BA65" i="24" s="1"/>
  <c r="K33" i="24"/>
  <c r="E18" i="23"/>
  <c r="R18" i="23" s="1"/>
  <c r="M99" i="24"/>
  <c r="BA99" i="24" s="1"/>
  <c r="K103" i="24"/>
  <c r="K88" i="24"/>
  <c r="M71" i="24"/>
  <c r="BA71" i="24" s="1"/>
  <c r="K63" i="24"/>
  <c r="M51" i="24"/>
  <c r="BA51" i="24" s="1"/>
  <c r="M31" i="24"/>
  <c r="BA31" i="24" s="1"/>
  <c r="M90" i="24"/>
  <c r="BA90" i="24" s="1"/>
  <c r="K48" i="24"/>
  <c r="K32" i="24"/>
  <c r="M22" i="24"/>
  <c r="BA22" i="24" s="1"/>
  <c r="K19" i="24"/>
  <c r="E105" i="23"/>
  <c r="R105" i="23" s="1"/>
  <c r="E73" i="23"/>
  <c r="R73" i="23" s="1"/>
  <c r="E41" i="23"/>
  <c r="R41" i="23" s="1"/>
  <c r="E8" i="23"/>
  <c r="R8" i="23" s="1"/>
  <c r="M13" i="24"/>
  <c r="BA13" i="24" s="1"/>
  <c r="M21" i="24"/>
  <c r="BA21" i="24" s="1"/>
  <c r="K35" i="24"/>
  <c r="K51" i="24"/>
  <c r="K59" i="24"/>
  <c r="D9" i="23"/>
  <c r="F9" i="23" s="1"/>
  <c r="D13" i="23"/>
  <c r="I13" i="23" s="1"/>
  <c r="D17" i="23"/>
  <c r="I17" i="23" s="1"/>
  <c r="D21" i="23"/>
  <c r="D25" i="23"/>
  <c r="I25" i="23" s="1"/>
  <c r="D29" i="23"/>
  <c r="D33" i="23"/>
  <c r="F33" i="23" s="1"/>
  <c r="D37" i="23"/>
  <c r="D41" i="23"/>
  <c r="F41" i="23" s="1"/>
  <c r="D45" i="23"/>
  <c r="D49" i="23"/>
  <c r="I49" i="23" s="1"/>
  <c r="D10" i="23"/>
  <c r="I10" i="23" s="1"/>
  <c r="D14" i="23"/>
  <c r="I14" i="23" s="1"/>
  <c r="D18" i="23"/>
  <c r="D22" i="23"/>
  <c r="I22" i="23" s="1"/>
  <c r="D26" i="23"/>
  <c r="D30" i="23"/>
  <c r="I30" i="23" s="1"/>
  <c r="D34" i="23"/>
  <c r="D38" i="23"/>
  <c r="F38" i="23" s="1"/>
  <c r="D42" i="23"/>
  <c r="D46" i="23"/>
  <c r="I46" i="23" s="1"/>
  <c r="D50" i="23"/>
  <c r="D54" i="23"/>
  <c r="I54" i="23" s="1"/>
  <c r="D58" i="23"/>
  <c r="D62" i="23"/>
  <c r="F62" i="23" s="1"/>
  <c r="D66" i="23"/>
  <c r="D70" i="23"/>
  <c r="F70" i="23" s="1"/>
  <c r="D74" i="23"/>
  <c r="D78" i="23"/>
  <c r="F78" i="23" s="1"/>
  <c r="D82" i="23"/>
  <c r="D86" i="23"/>
  <c r="F86" i="23" s="1"/>
  <c r="D90" i="23"/>
  <c r="D94" i="23"/>
  <c r="I94" i="23" s="1"/>
  <c r="D98" i="23"/>
  <c r="F98" i="23" s="1"/>
  <c r="D102" i="23"/>
  <c r="I102" i="23" s="1"/>
  <c r="D106" i="23"/>
  <c r="F106" i="23" s="1"/>
  <c r="D16" i="23"/>
  <c r="F16" i="23" s="1"/>
  <c r="D24" i="23"/>
  <c r="D32" i="23"/>
  <c r="I32" i="23" s="1"/>
  <c r="D40" i="23"/>
  <c r="D48" i="23"/>
  <c r="F48" i="23" s="1"/>
  <c r="D55" i="23"/>
  <c r="D60" i="23"/>
  <c r="I60" i="23" s="1"/>
  <c r="D65" i="23"/>
  <c r="I65" i="23" s="1"/>
  <c r="D71" i="23"/>
  <c r="I71" i="23" s="1"/>
  <c r="D76" i="23"/>
  <c r="F76" i="23" s="1"/>
  <c r="D81" i="23"/>
  <c r="I81" i="23" s="1"/>
  <c r="D87" i="23"/>
  <c r="D92" i="23"/>
  <c r="I92" i="23" s="1"/>
  <c r="D97" i="23"/>
  <c r="D103" i="23"/>
  <c r="I103" i="23" s="1"/>
  <c r="D7" i="23"/>
  <c r="F7" i="23" s="1"/>
  <c r="D23" i="23"/>
  <c r="F23" i="23" s="1"/>
  <c r="D39" i="23"/>
  <c r="F39" i="23" s="1"/>
  <c r="D53" i="23"/>
  <c r="I53" i="23" s="1"/>
  <c r="D64" i="23"/>
  <c r="D75" i="23"/>
  <c r="F75" i="23" s="1"/>
  <c r="D85" i="23"/>
  <c r="D96" i="23"/>
  <c r="F96" i="23" s="1"/>
  <c r="D8" i="23"/>
  <c r="D11" i="23"/>
  <c r="F11" i="23" s="1"/>
  <c r="D19" i="23"/>
  <c r="D27" i="23"/>
  <c r="F27" i="23" s="1"/>
  <c r="D35" i="23"/>
  <c r="D43" i="23"/>
  <c r="F43" i="23" s="1"/>
  <c r="D51" i="23"/>
  <c r="D56" i="23"/>
  <c r="F56" i="23" s="1"/>
  <c r="D61" i="23"/>
  <c r="I61" i="23" s="1"/>
  <c r="D67" i="23"/>
  <c r="I67" i="23" s="1"/>
  <c r="D72" i="23"/>
  <c r="D77" i="23"/>
  <c r="I77" i="23" s="1"/>
  <c r="D83" i="23"/>
  <c r="D88" i="23"/>
  <c r="I88" i="23" s="1"/>
  <c r="D93" i="23"/>
  <c r="D99" i="23"/>
  <c r="F99" i="23" s="1"/>
  <c r="D104" i="23"/>
  <c r="D6" i="23"/>
  <c r="I6" i="23" s="1"/>
  <c r="D12" i="23"/>
  <c r="I12" i="23" s="1"/>
  <c r="D20" i="23"/>
  <c r="I20" i="23" s="1"/>
  <c r="D28" i="23"/>
  <c r="D36" i="23"/>
  <c r="F36" i="23" s="1"/>
  <c r="D44" i="23"/>
  <c r="F44" i="23" s="1"/>
  <c r="D52" i="23"/>
  <c r="I52" i="23" s="1"/>
  <c r="D57" i="23"/>
  <c r="D63" i="23"/>
  <c r="I63" i="23" s="1"/>
  <c r="D68" i="23"/>
  <c r="D73" i="23"/>
  <c r="I73" i="23" s="1"/>
  <c r="D79" i="23"/>
  <c r="F79" i="23" s="1"/>
  <c r="D84" i="23"/>
  <c r="I84" i="23" s="1"/>
  <c r="D89" i="23"/>
  <c r="F89" i="23" s="1"/>
  <c r="D95" i="23"/>
  <c r="I95" i="23" s="1"/>
  <c r="D100" i="23"/>
  <c r="D105" i="23"/>
  <c r="I105" i="23" s="1"/>
  <c r="D15" i="23"/>
  <c r="D31" i="23"/>
  <c r="F31" i="23" s="1"/>
  <c r="D47" i="23"/>
  <c r="D59" i="23"/>
  <c r="F59" i="23" s="1"/>
  <c r="D69" i="23"/>
  <c r="F69" i="23" s="1"/>
  <c r="D80" i="23"/>
  <c r="I80" i="23" s="1"/>
  <c r="D91" i="23"/>
  <c r="D101" i="23"/>
  <c r="I101" i="23" s="1"/>
  <c r="B10" i="19"/>
  <c r="D10" i="19" s="1"/>
  <c r="I16" i="8"/>
  <c r="J16" i="8" s="1"/>
  <c r="D142" i="2" s="1"/>
  <c r="B143" i="2" s="1"/>
  <c r="B180" i="2"/>
  <c r="B183" i="2" s="1"/>
  <c r="D11" i="19"/>
  <c r="I4" i="8" s="1"/>
  <c r="J4" i="8" s="1"/>
  <c r="B198" i="2"/>
  <c r="B3" i="8"/>
  <c r="B159" i="8" s="1"/>
  <c r="B158" i="8" s="1"/>
  <c r="B157" i="8" s="1"/>
  <c r="B156" i="8" s="1"/>
  <c r="B155" i="8" s="1"/>
  <c r="B154" i="8" s="1"/>
  <c r="B153" i="8" s="1"/>
  <c r="B152" i="8" s="1"/>
  <c r="B151" i="8" s="1"/>
  <c r="B150" i="8" s="1"/>
  <c r="B149" i="8" s="1"/>
  <c r="B148" i="8" s="1"/>
  <c r="B147" i="8" s="1"/>
  <c r="B146" i="8" s="1"/>
  <c r="B145" i="8" s="1"/>
  <c r="B144" i="8" s="1"/>
  <c r="B143" i="8" s="1"/>
  <c r="B142" i="8" s="1"/>
  <c r="B141" i="8" s="1"/>
  <c r="B140" i="8" s="1"/>
  <c r="B139" i="8" s="1"/>
  <c r="B138" i="8" s="1"/>
  <c r="B137" i="8" s="1"/>
  <c r="B136" i="8" s="1"/>
  <c r="B135" i="8" s="1"/>
  <c r="B134" i="8" s="1"/>
  <c r="B133" i="8" s="1"/>
  <c r="B132" i="8" s="1"/>
  <c r="B131" i="8" s="1"/>
  <c r="B130" i="8" s="1"/>
  <c r="B129" i="8" s="1"/>
  <c r="B128" i="8" s="1"/>
  <c r="B127" i="8" s="1"/>
  <c r="B126" i="8" s="1"/>
  <c r="B125" i="8" s="1"/>
  <c r="B124" i="8" s="1"/>
  <c r="B123" i="8" s="1"/>
  <c r="B122" i="8" s="1"/>
  <c r="B121" i="8" s="1"/>
  <c r="B120" i="8" s="1"/>
  <c r="B119" i="8" s="1"/>
  <c r="B118" i="8" s="1"/>
  <c r="B117" i="8" s="1"/>
  <c r="B116" i="8" s="1"/>
  <c r="B115" i="8" s="1"/>
  <c r="B114" i="8" s="1"/>
  <c r="B113" i="8" s="1"/>
  <c r="B112" i="8" s="1"/>
  <c r="B111" i="8" s="1"/>
  <c r="B110" i="8" s="1"/>
  <c r="B109" i="8" s="1"/>
  <c r="B108" i="8" s="1"/>
  <c r="B107" i="8" s="1"/>
  <c r="B106" i="8" s="1"/>
  <c r="B105" i="8" s="1"/>
  <c r="B104" i="8" s="1"/>
  <c r="B103" i="8" s="1"/>
  <c r="B102" i="8" s="1"/>
  <c r="B101" i="8" s="1"/>
  <c r="B100" i="8" s="1"/>
  <c r="B99" i="8" s="1"/>
  <c r="B98" i="8" s="1"/>
  <c r="B97" i="8" s="1"/>
  <c r="B96" i="8" s="1"/>
  <c r="B95" i="8" s="1"/>
  <c r="B94" i="8" s="1"/>
  <c r="B93" i="8" s="1"/>
  <c r="B92" i="8" s="1"/>
  <c r="B91" i="8" s="1"/>
  <c r="B90" i="8" s="1"/>
  <c r="B89" i="8" s="1"/>
  <c r="B88" i="8" s="1"/>
  <c r="B87" i="8" s="1"/>
  <c r="B86" i="8" s="1"/>
  <c r="B85" i="8" s="1"/>
  <c r="B84" i="8" s="1"/>
  <c r="B83" i="8" s="1"/>
  <c r="B82" i="8" s="1"/>
  <c r="B81" i="8" s="1"/>
  <c r="B80" i="8" s="1"/>
  <c r="B79" i="8" s="1"/>
  <c r="B78" i="8" s="1"/>
  <c r="B77" i="8" s="1"/>
  <c r="B76" i="8" s="1"/>
  <c r="B75" i="8" s="1"/>
  <c r="B74" i="8" s="1"/>
  <c r="B73" i="8" s="1"/>
  <c r="B72" i="8" s="1"/>
  <c r="B71" i="8" s="1"/>
  <c r="B70" i="8" s="1"/>
  <c r="B69" i="8" s="1"/>
  <c r="B68" i="8" s="1"/>
  <c r="B67" i="8" s="1"/>
  <c r="B66" i="8" s="1"/>
  <c r="B65" i="8" s="1"/>
  <c r="B64" i="8" s="1"/>
  <c r="B63" i="8" s="1"/>
  <c r="B62" i="8" s="1"/>
  <c r="B61" i="8" s="1"/>
  <c r="B60" i="8" s="1"/>
  <c r="B59" i="8" s="1"/>
  <c r="B58" i="8" s="1"/>
  <c r="B57" i="8" s="1"/>
  <c r="B56" i="8" s="1"/>
  <c r="B55" i="8" s="1"/>
  <c r="B54" i="8" s="1"/>
  <c r="B53" i="8" s="1"/>
  <c r="B52" i="8" s="1"/>
  <c r="B51" i="8" s="1"/>
  <c r="B50" i="8" s="1"/>
  <c r="B49" i="8" s="1"/>
  <c r="B48" i="8" s="1"/>
  <c r="B47" i="8" s="1"/>
  <c r="B46" i="8" s="1"/>
  <c r="B45" i="8" s="1"/>
  <c r="B44" i="8" s="1"/>
  <c r="B43" i="8" s="1"/>
  <c r="B42" i="8" s="1"/>
  <c r="B41" i="8" s="1"/>
  <c r="B40" i="8" s="1"/>
  <c r="B39" i="8" s="1"/>
  <c r="B38" i="8" s="1"/>
  <c r="B37" i="8" s="1"/>
  <c r="B36" i="8" s="1"/>
  <c r="B35" i="8" s="1"/>
  <c r="B34" i="8" s="1"/>
  <c r="B33" i="8" s="1"/>
  <c r="B32" i="8" s="1"/>
  <c r="B31" i="8" s="1"/>
  <c r="B30" i="8" s="1"/>
  <c r="B29" i="8" s="1"/>
  <c r="B28" i="8" s="1"/>
  <c r="B27" i="8" s="1"/>
  <c r="B26" i="8" s="1"/>
  <c r="B25" i="8" s="1"/>
  <c r="B24" i="8" s="1"/>
  <c r="B23" i="8" s="1"/>
  <c r="B22" i="8" s="1"/>
  <c r="B21" i="8" s="1"/>
  <c r="B20" i="8" s="1"/>
  <c r="B19" i="8" s="1"/>
  <c r="B18" i="8" s="1"/>
  <c r="B17" i="8" s="1"/>
  <c r="B16" i="8" s="1"/>
  <c r="B15" i="8" s="1"/>
  <c r="B14" i="8" s="1"/>
  <c r="B13" i="8" s="1"/>
  <c r="B12" i="8" s="1"/>
  <c r="B11" i="8" s="1"/>
  <c r="B10" i="8" s="1"/>
  <c r="B9" i="8" s="1"/>
  <c r="B8" i="8" s="1"/>
  <c r="B7" i="8" s="1"/>
  <c r="B6" i="8" s="1"/>
  <c r="B4" i="8" s="1"/>
  <c r="D31" i="16"/>
  <c r="D3" i="8"/>
  <c r="D159" i="8" s="1"/>
  <c r="D158" i="8" s="1"/>
  <c r="D157" i="8" s="1"/>
  <c r="D156" i="8" s="1"/>
  <c r="D155" i="8" s="1"/>
  <c r="D154" i="8" s="1"/>
  <c r="D153" i="8" s="1"/>
  <c r="D152" i="8" s="1"/>
  <c r="D151" i="8" s="1"/>
  <c r="D150" i="8" s="1"/>
  <c r="D149" i="8" s="1"/>
  <c r="D148" i="8" s="1"/>
  <c r="D147" i="8" s="1"/>
  <c r="D146" i="8" s="1"/>
  <c r="D145" i="8" s="1"/>
  <c r="D144" i="8" s="1"/>
  <c r="D143" i="8" s="1"/>
  <c r="D142" i="8" s="1"/>
  <c r="D141" i="8" s="1"/>
  <c r="D140" i="8" s="1"/>
  <c r="D139" i="8" s="1"/>
  <c r="D138" i="8" s="1"/>
  <c r="D137" i="8" s="1"/>
  <c r="D136" i="8" s="1"/>
  <c r="D135" i="8" s="1"/>
  <c r="D134" i="8" s="1"/>
  <c r="D133" i="8" s="1"/>
  <c r="D132" i="8" s="1"/>
  <c r="D131" i="8" s="1"/>
  <c r="D130" i="8" s="1"/>
  <c r="D129" i="8" s="1"/>
  <c r="D128" i="8" s="1"/>
  <c r="D127" i="8" s="1"/>
  <c r="D126" i="8" s="1"/>
  <c r="D125" i="8" s="1"/>
  <c r="D124" i="8" s="1"/>
  <c r="D123" i="8" s="1"/>
  <c r="D122" i="8" s="1"/>
  <c r="D121" i="8" s="1"/>
  <c r="D120" i="8" s="1"/>
  <c r="D119" i="8" s="1"/>
  <c r="D118" i="8" s="1"/>
  <c r="D117" i="8" s="1"/>
  <c r="D116" i="8" s="1"/>
  <c r="D115" i="8" s="1"/>
  <c r="D114" i="8" s="1"/>
  <c r="D113" i="8" s="1"/>
  <c r="D112" i="8" s="1"/>
  <c r="D111" i="8" s="1"/>
  <c r="D110" i="8" s="1"/>
  <c r="D109" i="8" s="1"/>
  <c r="D108" i="8" s="1"/>
  <c r="D107" i="8" s="1"/>
  <c r="D106" i="8" s="1"/>
  <c r="D105" i="8" s="1"/>
  <c r="D104" i="8" s="1"/>
  <c r="D103" i="8" s="1"/>
  <c r="D102" i="8" s="1"/>
  <c r="D101" i="8" s="1"/>
  <c r="D100" i="8" s="1"/>
  <c r="D99" i="8" s="1"/>
  <c r="D98" i="8" s="1"/>
  <c r="D97" i="8" s="1"/>
  <c r="D96" i="8" s="1"/>
  <c r="D95" i="8" s="1"/>
  <c r="D94" i="8" s="1"/>
  <c r="D93" i="8" s="1"/>
  <c r="D92" i="8" s="1"/>
  <c r="D91" i="8" s="1"/>
  <c r="D90" i="8" s="1"/>
  <c r="D89" i="8" s="1"/>
  <c r="D88" i="8" s="1"/>
  <c r="D87" i="8" s="1"/>
  <c r="D86" i="8" s="1"/>
  <c r="D85" i="8" s="1"/>
  <c r="D84" i="8" s="1"/>
  <c r="D83" i="8" s="1"/>
  <c r="D82" i="8" s="1"/>
  <c r="D81" i="8" s="1"/>
  <c r="D80" i="8" s="1"/>
  <c r="D79" i="8" s="1"/>
  <c r="D78" i="8" s="1"/>
  <c r="D77" i="8" s="1"/>
  <c r="D76" i="8" s="1"/>
  <c r="D75" i="8" s="1"/>
  <c r="D74" i="8" s="1"/>
  <c r="D73" i="8" s="1"/>
  <c r="D72" i="8" s="1"/>
  <c r="D71" i="8" s="1"/>
  <c r="D70" i="8" s="1"/>
  <c r="D69" i="8" s="1"/>
  <c r="D68" i="8" s="1"/>
  <c r="D67" i="8" s="1"/>
  <c r="D66" i="8" s="1"/>
  <c r="D65" i="8" s="1"/>
  <c r="D64" i="8" s="1"/>
  <c r="D63" i="8" s="1"/>
  <c r="D62" i="8" s="1"/>
  <c r="D61" i="8" s="1"/>
  <c r="D60" i="8" s="1"/>
  <c r="D59" i="8" s="1"/>
  <c r="D58" i="8" s="1"/>
  <c r="D57" i="8" s="1"/>
  <c r="D56" i="8" s="1"/>
  <c r="D55" i="8" s="1"/>
  <c r="D54" i="8" s="1"/>
  <c r="D53" i="8" s="1"/>
  <c r="D52" i="8" s="1"/>
  <c r="D51" i="8" s="1"/>
  <c r="D50" i="8" s="1"/>
  <c r="D49" i="8" s="1"/>
  <c r="D48" i="8" s="1"/>
  <c r="D47" i="8" s="1"/>
  <c r="D46" i="8" s="1"/>
  <c r="D45" i="8" s="1"/>
  <c r="D44" i="8" s="1"/>
  <c r="D43" i="8" s="1"/>
  <c r="D42" i="8" s="1"/>
  <c r="D41" i="8" s="1"/>
  <c r="D40" i="8" s="1"/>
  <c r="D39" i="8" s="1"/>
  <c r="D38" i="8" s="1"/>
  <c r="D37" i="8" s="1"/>
  <c r="D36" i="8" s="1"/>
  <c r="D35" i="8" s="1"/>
  <c r="D34" i="8" s="1"/>
  <c r="D33" i="8" s="1"/>
  <c r="D32" i="8" s="1"/>
  <c r="D31" i="8" s="1"/>
  <c r="D30" i="8" s="1"/>
  <c r="D29" i="8" s="1"/>
  <c r="D28" i="8" s="1"/>
  <c r="D27" i="8" s="1"/>
  <c r="D26" i="8" s="1"/>
  <c r="D25" i="8" s="1"/>
  <c r="D24" i="8" s="1"/>
  <c r="D23" i="8" s="1"/>
  <c r="D22" i="8" s="1"/>
  <c r="D21" i="8" s="1"/>
  <c r="D20" i="8" s="1"/>
  <c r="D19" i="8" s="1"/>
  <c r="D18" i="8" s="1"/>
  <c r="D17" i="8" s="1"/>
  <c r="D16" i="8" s="1"/>
  <c r="D15" i="8" s="1"/>
  <c r="D14" i="8" s="1"/>
  <c r="D13" i="8" s="1"/>
  <c r="D12" i="8" s="1"/>
  <c r="D11" i="8" s="1"/>
  <c r="D10" i="8" s="1"/>
  <c r="D9" i="8" s="1"/>
  <c r="D8" i="8" s="1"/>
  <c r="D7" i="8" s="1"/>
  <c r="D6" i="8" s="1"/>
  <c r="D4" i="8" s="1"/>
  <c r="E159" i="8"/>
  <c r="E158" i="8" s="1"/>
  <c r="E157" i="8" s="1"/>
  <c r="E156" i="8" s="1"/>
  <c r="E155" i="8" s="1"/>
  <c r="E154" i="8" s="1"/>
  <c r="E153" i="8" s="1"/>
  <c r="E152" i="8" s="1"/>
  <c r="E151" i="8" s="1"/>
  <c r="E150" i="8" s="1"/>
  <c r="E149" i="8" s="1"/>
  <c r="E148" i="8" s="1"/>
  <c r="E147" i="8" s="1"/>
  <c r="E146" i="8" s="1"/>
  <c r="E145" i="8" s="1"/>
  <c r="E144" i="8" s="1"/>
  <c r="E143" i="8" s="1"/>
  <c r="E142" i="8" s="1"/>
  <c r="E141" i="8" s="1"/>
  <c r="E140" i="8" s="1"/>
  <c r="E139" i="8" s="1"/>
  <c r="E138" i="8" s="1"/>
  <c r="E137" i="8" s="1"/>
  <c r="E136" i="8" s="1"/>
  <c r="E135" i="8" s="1"/>
  <c r="E134" i="8" s="1"/>
  <c r="E133" i="8" s="1"/>
  <c r="E132" i="8" s="1"/>
  <c r="E131" i="8" s="1"/>
  <c r="E130" i="8" s="1"/>
  <c r="E129" i="8" s="1"/>
  <c r="E128" i="8" s="1"/>
  <c r="E127" i="8" s="1"/>
  <c r="E126" i="8" s="1"/>
  <c r="E125" i="8" s="1"/>
  <c r="E124" i="8" s="1"/>
  <c r="E123" i="8" s="1"/>
  <c r="E122" i="8" s="1"/>
  <c r="E121" i="8" s="1"/>
  <c r="E120" i="8" s="1"/>
  <c r="E119" i="8" s="1"/>
  <c r="E118" i="8" s="1"/>
  <c r="E117" i="8" s="1"/>
  <c r="E116" i="8" s="1"/>
  <c r="E115" i="8" s="1"/>
  <c r="E114" i="8" s="1"/>
  <c r="E113" i="8" s="1"/>
  <c r="E112" i="8" s="1"/>
  <c r="E111" i="8" s="1"/>
  <c r="E110" i="8" s="1"/>
  <c r="E109" i="8" s="1"/>
  <c r="E108" i="8" s="1"/>
  <c r="E107" i="8" s="1"/>
  <c r="E106" i="8" s="1"/>
  <c r="E105" i="8" s="1"/>
  <c r="E104" i="8" s="1"/>
  <c r="E103" i="8" s="1"/>
  <c r="E102" i="8" s="1"/>
  <c r="E101" i="8" s="1"/>
  <c r="E100" i="8" s="1"/>
  <c r="E99" i="8" s="1"/>
  <c r="E98" i="8" s="1"/>
  <c r="E97" i="8" s="1"/>
  <c r="E96" i="8" s="1"/>
  <c r="E95" i="8" s="1"/>
  <c r="E94" i="8" s="1"/>
  <c r="E93" i="8" s="1"/>
  <c r="E92" i="8" s="1"/>
  <c r="E91" i="8" s="1"/>
  <c r="E90" i="8" s="1"/>
  <c r="E89" i="8" s="1"/>
  <c r="E88" i="8" s="1"/>
  <c r="E87" i="8" s="1"/>
  <c r="E86" i="8" s="1"/>
  <c r="E85" i="8" s="1"/>
  <c r="E84" i="8" s="1"/>
  <c r="E83" i="8" s="1"/>
  <c r="E82" i="8" s="1"/>
  <c r="E81" i="8" s="1"/>
  <c r="E80" i="8" s="1"/>
  <c r="E79" i="8" s="1"/>
  <c r="E78" i="8" s="1"/>
  <c r="E77" i="8" s="1"/>
  <c r="E76" i="8" s="1"/>
  <c r="E75" i="8" s="1"/>
  <c r="E74" i="8" s="1"/>
  <c r="E73" i="8" s="1"/>
  <c r="E72" i="8" s="1"/>
  <c r="E71" i="8" s="1"/>
  <c r="E70" i="8" s="1"/>
  <c r="E69" i="8" s="1"/>
  <c r="E68" i="8" s="1"/>
  <c r="E67" i="8" s="1"/>
  <c r="E66" i="8" s="1"/>
  <c r="E65" i="8" s="1"/>
  <c r="E64" i="8" s="1"/>
  <c r="E63" i="8" s="1"/>
  <c r="E62" i="8" s="1"/>
  <c r="E61" i="8" s="1"/>
  <c r="E60" i="8" s="1"/>
  <c r="E59" i="8" s="1"/>
  <c r="E58" i="8" s="1"/>
  <c r="E57" i="8" s="1"/>
  <c r="E56" i="8" s="1"/>
  <c r="E55" i="8" s="1"/>
  <c r="E54" i="8" s="1"/>
  <c r="E53" i="8" s="1"/>
  <c r="E52" i="8" s="1"/>
  <c r="E51" i="8" s="1"/>
  <c r="E50" i="8" s="1"/>
  <c r="E49" i="8" s="1"/>
  <c r="E48" i="8" s="1"/>
  <c r="E47" i="8" s="1"/>
  <c r="E46" i="8" s="1"/>
  <c r="E45" i="8" s="1"/>
  <c r="E44" i="8" s="1"/>
  <c r="E43" i="8" s="1"/>
  <c r="E42" i="8" s="1"/>
  <c r="E41" i="8" s="1"/>
  <c r="E40" i="8" s="1"/>
  <c r="E39" i="8" s="1"/>
  <c r="E38" i="8" s="1"/>
  <c r="E37" i="8" s="1"/>
  <c r="E36" i="8" s="1"/>
  <c r="E35" i="8" s="1"/>
  <c r="E34" i="8" s="1"/>
  <c r="E33" i="8" s="1"/>
  <c r="E32" i="8" s="1"/>
  <c r="E31" i="8" s="1"/>
  <c r="E30" i="8" s="1"/>
  <c r="E29" i="8" s="1"/>
  <c r="E28" i="8" s="1"/>
  <c r="E27" i="8" s="1"/>
  <c r="E26" i="8" s="1"/>
  <c r="E25" i="8" s="1"/>
  <c r="E24" i="8" s="1"/>
  <c r="E23" i="8" s="1"/>
  <c r="E22" i="8" s="1"/>
  <c r="E21" i="8" s="1"/>
  <c r="E20" i="8" s="1"/>
  <c r="E19" i="8" s="1"/>
  <c r="E18" i="8" s="1"/>
  <c r="E17" i="8" s="1"/>
  <c r="E16" i="8" s="1"/>
  <c r="E15" i="8" s="1"/>
  <c r="E14" i="8" s="1"/>
  <c r="E13" i="8" s="1"/>
  <c r="E12" i="8" s="1"/>
  <c r="E11" i="8" s="1"/>
  <c r="E10" i="8" s="1"/>
  <c r="E9" i="8" s="1"/>
  <c r="E8" i="8" s="1"/>
  <c r="E7" i="8" s="1"/>
  <c r="E6" i="8" s="1"/>
  <c r="E4" i="8" s="1"/>
  <c r="B199" i="2"/>
  <c r="S53" i="2"/>
  <c r="D33" i="16" s="1"/>
  <c r="B193" i="2"/>
  <c r="I50" i="2"/>
  <c r="C3" i="8"/>
  <c r="C159" i="8" s="1"/>
  <c r="C158" i="8" s="1"/>
  <c r="G35" i="16"/>
  <c r="A193" i="2"/>
  <c r="F27" i="1"/>
  <c r="B9" i="19"/>
  <c r="D9" i="19" s="1"/>
  <c r="B17" i="19"/>
  <c r="D17" i="19" s="1"/>
  <c r="B182" i="2"/>
  <c r="B181" i="2"/>
  <c r="B13" i="2"/>
  <c r="BA7" i="24" l="1"/>
  <c r="BA26" i="24"/>
  <c r="BA42" i="24"/>
  <c r="BM110" i="24"/>
  <c r="L6" i="1"/>
  <c r="AH218" i="25"/>
  <c r="AH5" i="25"/>
  <c r="AH110" i="25"/>
  <c r="AX7" i="25"/>
  <c r="AX6" i="25"/>
  <c r="AX5" i="25"/>
  <c r="N76" i="24"/>
  <c r="N53" i="24"/>
  <c r="N64" i="24"/>
  <c r="N63" i="24"/>
  <c r="N31" i="24"/>
  <c r="N18" i="24"/>
  <c r="N70" i="24"/>
  <c r="N39" i="24"/>
  <c r="N56" i="24"/>
  <c r="N72" i="24"/>
  <c r="N60" i="24"/>
  <c r="N35" i="24"/>
  <c r="N78" i="24"/>
  <c r="N50" i="24"/>
  <c r="N73" i="24"/>
  <c r="N74" i="24"/>
  <c r="N5" i="24"/>
  <c r="Q5" i="24" s="1"/>
  <c r="BA5" i="24"/>
  <c r="T6" i="25"/>
  <c r="N80" i="24"/>
  <c r="N33" i="24"/>
  <c r="N23" i="24"/>
  <c r="N46" i="24"/>
  <c r="N40" i="24"/>
  <c r="N62" i="24"/>
  <c r="N52" i="24"/>
  <c r="N25" i="24"/>
  <c r="N47" i="24"/>
  <c r="N88" i="24"/>
  <c r="N84" i="24"/>
  <c r="N96" i="24"/>
  <c r="N99" i="24"/>
  <c r="N7" i="24"/>
  <c r="N51" i="24"/>
  <c r="N65" i="24"/>
  <c r="N48" i="24"/>
  <c r="N19" i="24"/>
  <c r="N29" i="24"/>
  <c r="N69" i="24"/>
  <c r="N8" i="24"/>
  <c r="N86" i="24"/>
  <c r="N24" i="24"/>
  <c r="N44" i="24"/>
  <c r="N59" i="24"/>
  <c r="N93" i="24"/>
  <c r="N55" i="24"/>
  <c r="N85" i="24"/>
  <c r="N13" i="24"/>
  <c r="N90" i="24"/>
  <c r="N20" i="24"/>
  <c r="N32" i="24"/>
  <c r="N98" i="24"/>
  <c r="N66" i="24"/>
  <c r="N49" i="24"/>
  <c r="N36" i="24"/>
  <c r="N41" i="24"/>
  <c r="N67" i="24"/>
  <c r="N95" i="24"/>
  <c r="N102" i="24"/>
  <c r="N100" i="24"/>
  <c r="N94" i="24"/>
  <c r="N87" i="24"/>
  <c r="N6" i="24"/>
  <c r="N26" i="24"/>
  <c r="N97" i="24"/>
  <c r="N79" i="24"/>
  <c r="N34" i="24"/>
  <c r="N14" i="24"/>
  <c r="N30" i="24"/>
  <c r="N27" i="24"/>
  <c r="N22" i="24"/>
  <c r="N61" i="24"/>
  <c r="N11" i="24"/>
  <c r="N45" i="24"/>
  <c r="N68" i="24"/>
  <c r="N83" i="24"/>
  <c r="N92" i="24"/>
  <c r="N104" i="24"/>
  <c r="N28" i="24"/>
  <c r="N105" i="24"/>
  <c r="N75" i="24"/>
  <c r="N42" i="24"/>
  <c r="N9" i="24"/>
  <c r="N77" i="24"/>
  <c r="N54" i="24"/>
  <c r="N10" i="24"/>
  <c r="T7" i="25"/>
  <c r="N71" i="24"/>
  <c r="N15" i="24"/>
  <c r="N21" i="24"/>
  <c r="N82" i="24"/>
  <c r="N16" i="24"/>
  <c r="N81" i="24"/>
  <c r="N17" i="24"/>
  <c r="N37" i="24"/>
  <c r="N43" i="24"/>
  <c r="N12" i="24"/>
  <c r="N57" i="24"/>
  <c r="N101" i="24"/>
  <c r="N91" i="24"/>
  <c r="N89" i="24"/>
  <c r="N103" i="24"/>
  <c r="N38" i="24"/>
  <c r="N58" i="24"/>
  <c r="L14" i="1"/>
  <c r="D61" i="2"/>
  <c r="N131" i="25"/>
  <c r="BL131" i="25"/>
  <c r="L116" i="25"/>
  <c r="BL116" i="25"/>
  <c r="L164" i="25"/>
  <c r="BL164" i="25"/>
  <c r="N157" i="25"/>
  <c r="BL157" i="25"/>
  <c r="N189" i="25"/>
  <c r="BL189" i="25"/>
  <c r="N138" i="25"/>
  <c r="BL138" i="25"/>
  <c r="L143" i="25"/>
  <c r="BL143" i="25"/>
  <c r="N183" i="25"/>
  <c r="BL183" i="25"/>
  <c r="L120" i="25"/>
  <c r="BL120" i="25"/>
  <c r="L136" i="25"/>
  <c r="BL136" i="25"/>
  <c r="N152" i="25"/>
  <c r="BL152" i="25"/>
  <c r="L168" i="25"/>
  <c r="BL168" i="25"/>
  <c r="N184" i="25"/>
  <c r="BL184" i="25"/>
  <c r="N200" i="25"/>
  <c r="BL200" i="25"/>
  <c r="N139" i="25"/>
  <c r="BL139" i="25"/>
  <c r="L191" i="25"/>
  <c r="BL191" i="25"/>
  <c r="N113" i="25"/>
  <c r="BL113" i="25"/>
  <c r="L129" i="25"/>
  <c r="BL129" i="25"/>
  <c r="N145" i="25"/>
  <c r="BL145" i="25"/>
  <c r="N177" i="25"/>
  <c r="BL177" i="25"/>
  <c r="L193" i="25"/>
  <c r="BL193" i="25"/>
  <c r="L209" i="25"/>
  <c r="BL209" i="25"/>
  <c r="L147" i="25"/>
  <c r="BL147" i="25"/>
  <c r="N207" i="25"/>
  <c r="BL207" i="25"/>
  <c r="N126" i="25"/>
  <c r="BL126" i="25"/>
  <c r="N142" i="25"/>
  <c r="BL142" i="25"/>
  <c r="N158" i="25"/>
  <c r="BL158" i="25"/>
  <c r="L174" i="25"/>
  <c r="BL174" i="25"/>
  <c r="N190" i="25"/>
  <c r="BL190" i="25"/>
  <c r="L206" i="25"/>
  <c r="BL206" i="25"/>
  <c r="L115" i="25"/>
  <c r="BL115" i="25"/>
  <c r="N151" i="25"/>
  <c r="BL151" i="25"/>
  <c r="L199" i="25"/>
  <c r="BL199" i="25"/>
  <c r="N124" i="25"/>
  <c r="BL124" i="25"/>
  <c r="L140" i="25"/>
  <c r="BL140" i="25"/>
  <c r="L156" i="25"/>
  <c r="BL156" i="25"/>
  <c r="N172" i="25"/>
  <c r="BL172" i="25"/>
  <c r="N188" i="25"/>
  <c r="BL188" i="25"/>
  <c r="N204" i="25"/>
  <c r="BL204" i="25"/>
  <c r="L159" i="25"/>
  <c r="BL159" i="25"/>
  <c r="N195" i="25"/>
  <c r="BL195" i="25"/>
  <c r="N117" i="25"/>
  <c r="BL117" i="25"/>
  <c r="N133" i="25"/>
  <c r="BL133" i="25"/>
  <c r="L149" i="25"/>
  <c r="BL149" i="25"/>
  <c r="N165" i="25"/>
  <c r="BL165" i="25"/>
  <c r="N181" i="25"/>
  <c r="BL181" i="25"/>
  <c r="N197" i="25"/>
  <c r="BL197" i="25"/>
  <c r="L111" i="25"/>
  <c r="BL111" i="25"/>
  <c r="N155" i="25"/>
  <c r="BL155" i="25"/>
  <c r="L114" i="25"/>
  <c r="BL114" i="25"/>
  <c r="L130" i="25"/>
  <c r="BL130" i="25"/>
  <c r="N146" i="25"/>
  <c r="BL146" i="25"/>
  <c r="N162" i="25"/>
  <c r="BL162" i="25"/>
  <c r="L178" i="25"/>
  <c r="BL178" i="25"/>
  <c r="L194" i="25"/>
  <c r="BL194" i="25"/>
  <c r="L210" i="25"/>
  <c r="BL210" i="25"/>
  <c r="N171" i="25"/>
  <c r="BL171" i="25"/>
  <c r="L132" i="25"/>
  <c r="BL132" i="25"/>
  <c r="N148" i="25"/>
  <c r="BL148" i="25"/>
  <c r="N180" i="25"/>
  <c r="BL180" i="25"/>
  <c r="L196" i="25"/>
  <c r="BL196" i="25"/>
  <c r="N127" i="25"/>
  <c r="BL127" i="25"/>
  <c r="L187" i="25"/>
  <c r="BL187" i="25"/>
  <c r="N125" i="25"/>
  <c r="BL125" i="25"/>
  <c r="N141" i="25"/>
  <c r="BL141" i="25"/>
  <c r="N173" i="25"/>
  <c r="BL173" i="25"/>
  <c r="N205" i="25"/>
  <c r="BL205" i="25"/>
  <c r="L135" i="25"/>
  <c r="BL135" i="25"/>
  <c r="L179" i="25"/>
  <c r="BL179" i="25"/>
  <c r="N122" i="25"/>
  <c r="BL122" i="25"/>
  <c r="L154" i="25"/>
  <c r="BL154" i="25"/>
  <c r="N170" i="25"/>
  <c r="BL170" i="25"/>
  <c r="L186" i="25"/>
  <c r="BL186" i="25"/>
  <c r="N202" i="25"/>
  <c r="BL202" i="25"/>
  <c r="L161" i="25"/>
  <c r="BL161" i="25"/>
  <c r="L123" i="25"/>
  <c r="BL123" i="25"/>
  <c r="N163" i="25"/>
  <c r="BL163" i="25"/>
  <c r="L112" i="25"/>
  <c r="BL112" i="25"/>
  <c r="N128" i="25"/>
  <c r="BL128" i="25"/>
  <c r="L144" i="25"/>
  <c r="BL144" i="25"/>
  <c r="L160" i="25"/>
  <c r="BL160" i="25"/>
  <c r="N176" i="25"/>
  <c r="BL176" i="25"/>
  <c r="L192" i="25"/>
  <c r="BL192" i="25"/>
  <c r="N208" i="25"/>
  <c r="BL208" i="25"/>
  <c r="L175" i="25"/>
  <c r="BL175" i="25"/>
  <c r="N203" i="25"/>
  <c r="BL203" i="25"/>
  <c r="N121" i="25"/>
  <c r="BL121" i="25"/>
  <c r="L137" i="25"/>
  <c r="BL137" i="25"/>
  <c r="L153" i="25"/>
  <c r="BL153" i="25"/>
  <c r="L169" i="25"/>
  <c r="BL169" i="25"/>
  <c r="L185" i="25"/>
  <c r="BL185" i="25"/>
  <c r="L201" i="25"/>
  <c r="BL201" i="25"/>
  <c r="L119" i="25"/>
  <c r="BL119" i="25"/>
  <c r="L167" i="25"/>
  <c r="BL167" i="25"/>
  <c r="N118" i="25"/>
  <c r="BL118" i="25"/>
  <c r="L134" i="25"/>
  <c r="BL134" i="25"/>
  <c r="N150" i="25"/>
  <c r="BL150" i="25"/>
  <c r="L166" i="25"/>
  <c r="BL166" i="25"/>
  <c r="L182" i="25"/>
  <c r="BL182" i="25"/>
  <c r="L198" i="25"/>
  <c r="BL198" i="25"/>
  <c r="K171" i="24"/>
  <c r="BM171" i="24"/>
  <c r="M123" i="24"/>
  <c r="BA123" i="24" s="1"/>
  <c r="BM123" i="24"/>
  <c r="K175" i="24"/>
  <c r="BM175" i="24"/>
  <c r="M128" i="24"/>
  <c r="BA128" i="24" s="1"/>
  <c r="BM128" i="24"/>
  <c r="K184" i="24"/>
  <c r="BM184" i="24"/>
  <c r="M142" i="24"/>
  <c r="BA142" i="24" s="1"/>
  <c r="BM142" i="24"/>
  <c r="M194" i="24"/>
  <c r="BA194" i="24" s="1"/>
  <c r="BM194" i="24"/>
  <c r="K151" i="24"/>
  <c r="BM151" i="24"/>
  <c r="K124" i="24"/>
  <c r="BM124" i="24"/>
  <c r="K114" i="24"/>
  <c r="BM114" i="24"/>
  <c r="M181" i="24"/>
  <c r="BA181" i="24" s="1"/>
  <c r="BM181" i="24"/>
  <c r="M165" i="24"/>
  <c r="BA165" i="24" s="1"/>
  <c r="BM165" i="24"/>
  <c r="K133" i="24"/>
  <c r="BM133" i="24"/>
  <c r="M208" i="24"/>
  <c r="BA208" i="24" s="1"/>
  <c r="BM208" i="24"/>
  <c r="K166" i="24"/>
  <c r="BM166" i="24"/>
  <c r="M115" i="24"/>
  <c r="BA115" i="24" s="1"/>
  <c r="BM115" i="24"/>
  <c r="M170" i="24"/>
  <c r="BA170" i="24" s="1"/>
  <c r="BM170" i="24"/>
  <c r="K120" i="24"/>
  <c r="BM120" i="24"/>
  <c r="M179" i="24"/>
  <c r="BA179" i="24" s="1"/>
  <c r="BM179" i="24"/>
  <c r="K135" i="24"/>
  <c r="BM135" i="24"/>
  <c r="M210" i="24"/>
  <c r="BA210" i="24" s="1"/>
  <c r="BM210" i="24"/>
  <c r="M167" i="24"/>
  <c r="BA167" i="24" s="1"/>
  <c r="BM167" i="24"/>
  <c r="K146" i="24"/>
  <c r="BM146" i="24"/>
  <c r="K126" i="24"/>
  <c r="BM126" i="24"/>
  <c r="K193" i="24"/>
  <c r="BM193" i="24"/>
  <c r="M161" i="24"/>
  <c r="BA161" i="24" s="1"/>
  <c r="BM161" i="24"/>
  <c r="K113" i="24"/>
  <c r="BM113" i="24"/>
  <c r="K198" i="24"/>
  <c r="BM198" i="24"/>
  <c r="K176" i="24"/>
  <c r="BM176" i="24"/>
  <c r="M155" i="24"/>
  <c r="BA155" i="24" s="1"/>
  <c r="BM155" i="24"/>
  <c r="M131" i="24"/>
  <c r="BA131" i="24" s="1"/>
  <c r="BM131" i="24"/>
  <c r="K202" i="24"/>
  <c r="BM202" i="24"/>
  <c r="K180" i="24"/>
  <c r="BM180" i="24"/>
  <c r="M159" i="24"/>
  <c r="BA159" i="24" s="1"/>
  <c r="BM159" i="24"/>
  <c r="M136" i="24"/>
  <c r="BA136" i="24" s="1"/>
  <c r="BM136" i="24"/>
  <c r="K190" i="24"/>
  <c r="BM190" i="24"/>
  <c r="K168" i="24"/>
  <c r="BM168" i="24"/>
  <c r="K147" i="24"/>
  <c r="BM147" i="24"/>
  <c r="M119" i="24"/>
  <c r="BA119" i="24" s="1"/>
  <c r="BM119" i="24"/>
  <c r="M199" i="24"/>
  <c r="BA199" i="24" s="1"/>
  <c r="BM199" i="24"/>
  <c r="K178" i="24"/>
  <c r="BM178" i="24"/>
  <c r="K156" i="24"/>
  <c r="BM156" i="24"/>
  <c r="K132" i="24"/>
  <c r="BM132" i="24"/>
  <c r="M134" i="24"/>
  <c r="BA134" i="24" s="1"/>
  <c r="BM134" i="24"/>
  <c r="K118" i="24"/>
  <c r="BM118" i="24"/>
  <c r="M201" i="24"/>
  <c r="BA201" i="24" s="1"/>
  <c r="BM201" i="24"/>
  <c r="K185" i="24"/>
  <c r="BM185" i="24"/>
  <c r="M169" i="24"/>
  <c r="BA169" i="24" s="1"/>
  <c r="BM169" i="24"/>
  <c r="K153" i="24"/>
  <c r="BM153" i="24"/>
  <c r="M137" i="24"/>
  <c r="BA137" i="24" s="1"/>
  <c r="BM137" i="24"/>
  <c r="K121" i="24"/>
  <c r="BM121" i="24"/>
  <c r="M192" i="24"/>
  <c r="BA192" i="24" s="1"/>
  <c r="BM192" i="24"/>
  <c r="M150" i="24"/>
  <c r="BA150" i="24" s="1"/>
  <c r="BM150" i="24"/>
  <c r="M196" i="24"/>
  <c r="BA196" i="24" s="1"/>
  <c r="BM196" i="24"/>
  <c r="M154" i="24"/>
  <c r="BA154" i="24" s="1"/>
  <c r="BM154" i="24"/>
  <c r="M206" i="24"/>
  <c r="BA206" i="24" s="1"/>
  <c r="BM206" i="24"/>
  <c r="M163" i="24"/>
  <c r="BA163" i="24" s="1"/>
  <c r="BM163" i="24"/>
  <c r="K111" i="24"/>
  <c r="BM111" i="24"/>
  <c r="M172" i="24"/>
  <c r="BA172" i="24" s="1"/>
  <c r="BM172" i="24"/>
  <c r="K130" i="24"/>
  <c r="BM130" i="24"/>
  <c r="K197" i="24"/>
  <c r="BM197" i="24"/>
  <c r="M149" i="24"/>
  <c r="BA149" i="24" s="1"/>
  <c r="BM149" i="24"/>
  <c r="K117" i="24"/>
  <c r="BM117" i="24"/>
  <c r="M187" i="24"/>
  <c r="BA187" i="24" s="1"/>
  <c r="BM187" i="24"/>
  <c r="K144" i="24"/>
  <c r="BM144" i="24"/>
  <c r="K191" i="24"/>
  <c r="BM191" i="24"/>
  <c r="M148" i="24"/>
  <c r="BA148" i="24" s="1"/>
  <c r="BM148" i="24"/>
  <c r="K200" i="24"/>
  <c r="BM200" i="24"/>
  <c r="K158" i="24"/>
  <c r="BM158" i="24"/>
  <c r="M188" i="24"/>
  <c r="BA188" i="24" s="1"/>
  <c r="BM188" i="24"/>
  <c r="M116" i="24"/>
  <c r="BA116" i="24" s="1"/>
  <c r="BM116" i="24"/>
  <c r="K209" i="24"/>
  <c r="BM209" i="24"/>
  <c r="M177" i="24"/>
  <c r="BA177" i="24" s="1"/>
  <c r="BM177" i="24"/>
  <c r="M145" i="24"/>
  <c r="BA145" i="24" s="1"/>
  <c r="BM145" i="24"/>
  <c r="K129" i="24"/>
  <c r="BM129" i="24"/>
  <c r="M203" i="24"/>
  <c r="BA203" i="24" s="1"/>
  <c r="BM203" i="24"/>
  <c r="M182" i="24"/>
  <c r="BA182" i="24" s="1"/>
  <c r="BM182" i="24"/>
  <c r="K160" i="24"/>
  <c r="BM160" i="24"/>
  <c r="K139" i="24"/>
  <c r="BM139" i="24"/>
  <c r="M207" i="24"/>
  <c r="BA207" i="24" s="1"/>
  <c r="BM207" i="24"/>
  <c r="M186" i="24"/>
  <c r="BA186" i="24" s="1"/>
  <c r="BM186" i="24"/>
  <c r="K164" i="24"/>
  <c r="BM164" i="24"/>
  <c r="K143" i="24"/>
  <c r="BM143" i="24"/>
  <c r="M112" i="24"/>
  <c r="BA112" i="24" s="1"/>
  <c r="BM112" i="24"/>
  <c r="K195" i="24"/>
  <c r="BM195" i="24"/>
  <c r="K174" i="24"/>
  <c r="BM174" i="24"/>
  <c r="M152" i="24"/>
  <c r="BA152" i="24" s="1"/>
  <c r="BM152" i="24"/>
  <c r="K127" i="24"/>
  <c r="BM127" i="24"/>
  <c r="K204" i="24"/>
  <c r="BM204" i="24"/>
  <c r="M183" i="24"/>
  <c r="BA183" i="24" s="1"/>
  <c r="BM183" i="24"/>
  <c r="M162" i="24"/>
  <c r="BA162" i="24" s="1"/>
  <c r="BM162" i="24"/>
  <c r="K140" i="24"/>
  <c r="BM140" i="24"/>
  <c r="K138" i="24"/>
  <c r="BM138" i="24"/>
  <c r="M122" i="24"/>
  <c r="BA122" i="24" s="1"/>
  <c r="BM122" i="24"/>
  <c r="M205" i="24"/>
  <c r="BA205" i="24" s="1"/>
  <c r="BM205" i="24"/>
  <c r="K189" i="24"/>
  <c r="BM189" i="24"/>
  <c r="K173" i="24"/>
  <c r="BM173" i="24"/>
  <c r="M157" i="24"/>
  <c r="BA157" i="24" s="1"/>
  <c r="BM157" i="24"/>
  <c r="K141" i="24"/>
  <c r="BM141" i="24"/>
  <c r="M125" i="24"/>
  <c r="BA125" i="24" s="1"/>
  <c r="BM125" i="24"/>
  <c r="N187" i="25"/>
  <c r="L200" i="25"/>
  <c r="B242" i="2"/>
  <c r="L13" i="1"/>
  <c r="J5" i="24"/>
  <c r="O5" i="24"/>
  <c r="S217" i="24"/>
  <c r="T217" i="24" s="1"/>
  <c r="S110" i="24"/>
  <c r="T110" i="24" s="1"/>
  <c r="A28" i="16"/>
  <c r="U5" i="24"/>
  <c r="T5" i="25"/>
  <c r="U5" i="25" s="1"/>
  <c r="N110" i="25"/>
  <c r="M110" i="24"/>
  <c r="BB110" i="24" s="1"/>
  <c r="BR5" i="25"/>
  <c r="L176" i="25"/>
  <c r="B238" i="2"/>
  <c r="D238" i="2" s="1"/>
  <c r="D34" i="16"/>
  <c r="L155" i="25"/>
  <c r="N149" i="25"/>
  <c r="N115" i="25"/>
  <c r="L172" i="25"/>
  <c r="N199" i="25"/>
  <c r="L124" i="25"/>
  <c r="N156" i="25"/>
  <c r="N114" i="25"/>
  <c r="N130" i="25"/>
  <c r="L195" i="25"/>
  <c r="N194" i="25"/>
  <c r="L162" i="25"/>
  <c r="L151" i="25"/>
  <c r="N143" i="25"/>
  <c r="L145" i="25"/>
  <c r="O9" i="25"/>
  <c r="R9" i="25" s="1"/>
  <c r="O10" i="25"/>
  <c r="Q10" i="25" s="1"/>
  <c r="O80" i="25"/>
  <c r="Q80" i="25" s="1"/>
  <c r="O53" i="25"/>
  <c r="R53" i="25" s="1"/>
  <c r="L113" i="25"/>
  <c r="N161" i="25"/>
  <c r="W42" i="2"/>
  <c r="W43" i="2" s="1"/>
  <c r="R43" i="2"/>
  <c r="N111" i="25"/>
  <c r="N159" i="25"/>
  <c r="L133" i="25"/>
  <c r="L197" i="25"/>
  <c r="N140" i="25"/>
  <c r="N178" i="25"/>
  <c r="N210" i="25"/>
  <c r="L146" i="25"/>
  <c r="L204" i="25"/>
  <c r="L117" i="25"/>
  <c r="L165" i="25"/>
  <c r="L188" i="25"/>
  <c r="L181" i="25"/>
  <c r="L184" i="25"/>
  <c r="L177" i="25"/>
  <c r="N193" i="25"/>
  <c r="N147" i="25"/>
  <c r="L139" i="25"/>
  <c r="L142" i="25"/>
  <c r="L183" i="25"/>
  <c r="N168" i="25"/>
  <c r="N174" i="25"/>
  <c r="O57" i="25"/>
  <c r="R57" i="25" s="1"/>
  <c r="O89" i="25"/>
  <c r="R89" i="25" s="1"/>
  <c r="O94" i="25"/>
  <c r="R94" i="25" s="1"/>
  <c r="O55" i="25"/>
  <c r="Q55" i="25" s="1"/>
  <c r="O65" i="25"/>
  <c r="Q65" i="25" s="1"/>
  <c r="O12" i="25"/>
  <c r="R12" i="25" s="1"/>
  <c r="O104" i="25"/>
  <c r="Q104" i="25" s="1"/>
  <c r="O13" i="25"/>
  <c r="R13" i="25" s="1"/>
  <c r="O32" i="25"/>
  <c r="Q32" i="25" s="1"/>
  <c r="O52" i="25"/>
  <c r="Q52" i="25" s="1"/>
  <c r="O18" i="25"/>
  <c r="R18" i="25" s="1"/>
  <c r="O31" i="25"/>
  <c r="Q31" i="25" s="1"/>
  <c r="O59" i="25"/>
  <c r="Q59" i="25" s="1"/>
  <c r="O93" i="25"/>
  <c r="Q93" i="25" s="1"/>
  <c r="R44" i="2"/>
  <c r="B26" i="2"/>
  <c r="L118" i="25"/>
  <c r="N175" i="25"/>
  <c r="L148" i="25"/>
  <c r="L122" i="25"/>
  <c r="N136" i="25"/>
  <c r="L180" i="25"/>
  <c r="N120" i="25"/>
  <c r="L163" i="25"/>
  <c r="N129" i="25"/>
  <c r="N119" i="25"/>
  <c r="L128" i="25"/>
  <c r="L158" i="25"/>
  <c r="L152" i="25"/>
  <c r="N191" i="25"/>
  <c r="N192" i="25"/>
  <c r="N185" i="25"/>
  <c r="N166" i="25"/>
  <c r="L203" i="25"/>
  <c r="N167" i="25"/>
  <c r="L207" i="25"/>
  <c r="N209" i="25"/>
  <c r="L126" i="25"/>
  <c r="N206" i="25"/>
  <c r="N160" i="25"/>
  <c r="N153" i="25"/>
  <c r="N134" i="25"/>
  <c r="N198" i="25"/>
  <c r="N201" i="25"/>
  <c r="N112" i="25"/>
  <c r="L121" i="25"/>
  <c r="N123" i="25"/>
  <c r="L150" i="25"/>
  <c r="N144" i="25"/>
  <c r="N137" i="25"/>
  <c r="N169" i="25"/>
  <c r="N182" i="25"/>
  <c r="L208" i="25"/>
  <c r="L190" i="25"/>
  <c r="L127" i="25"/>
  <c r="N116" i="25"/>
  <c r="O87" i="25"/>
  <c r="Q87" i="25" s="1"/>
  <c r="O29" i="25"/>
  <c r="R29" i="25" s="1"/>
  <c r="O64" i="25"/>
  <c r="R64" i="25" s="1"/>
  <c r="O35" i="25"/>
  <c r="R35" i="25" s="1"/>
  <c r="O62" i="25"/>
  <c r="R62" i="25" s="1"/>
  <c r="O81" i="25"/>
  <c r="R81" i="25" s="1"/>
  <c r="O72" i="25"/>
  <c r="Q72" i="25" s="1"/>
  <c r="O22" i="25"/>
  <c r="Q22" i="25" s="1"/>
  <c r="O82" i="25"/>
  <c r="Q82" i="25" s="1"/>
  <c r="O63" i="25"/>
  <c r="R63" i="25" s="1"/>
  <c r="O41" i="25"/>
  <c r="Q41" i="25" s="1"/>
  <c r="O67" i="25"/>
  <c r="R67" i="25" s="1"/>
  <c r="O86" i="25"/>
  <c r="Q86" i="25" s="1"/>
  <c r="O44" i="25"/>
  <c r="Q44" i="25" s="1"/>
  <c r="O79" i="25"/>
  <c r="R79" i="25" s="1"/>
  <c r="O100" i="25"/>
  <c r="Q100" i="25" s="1"/>
  <c r="O90" i="25"/>
  <c r="Q90" i="25" s="1"/>
  <c r="O58" i="25"/>
  <c r="Q58" i="25" s="1"/>
  <c r="O30" i="25"/>
  <c r="R30" i="25" s="1"/>
  <c r="O73" i="25"/>
  <c r="R73" i="25" s="1"/>
  <c r="O15" i="25"/>
  <c r="Q15" i="25" s="1"/>
  <c r="O25" i="25"/>
  <c r="R25" i="25" s="1"/>
  <c r="O24" i="25"/>
  <c r="R24" i="25" s="1"/>
  <c r="O6" i="25"/>
  <c r="Q6" i="25" s="1"/>
  <c r="O88" i="25"/>
  <c r="Q88" i="25" s="1"/>
  <c r="O47" i="25"/>
  <c r="Q47" i="25" s="1"/>
  <c r="O16" i="25"/>
  <c r="R16" i="25" s="1"/>
  <c r="O85" i="25"/>
  <c r="Q85" i="25" s="1"/>
  <c r="O60" i="25"/>
  <c r="R60" i="25" s="1"/>
  <c r="O61" i="25"/>
  <c r="R61" i="25" s="1"/>
  <c r="O49" i="25"/>
  <c r="R49" i="25" s="1"/>
  <c r="O8" i="25"/>
  <c r="Q8" i="25" s="1"/>
  <c r="O40" i="25"/>
  <c r="Q40" i="25" s="1"/>
  <c r="O76" i="25"/>
  <c r="Q76" i="25" s="1"/>
  <c r="O26" i="25"/>
  <c r="Q26" i="25" s="1"/>
  <c r="O71" i="25"/>
  <c r="R71" i="25" s="1"/>
  <c r="O69" i="25"/>
  <c r="Q69" i="25" s="1"/>
  <c r="O101" i="25"/>
  <c r="R101" i="25" s="1"/>
  <c r="O21" i="25"/>
  <c r="Q21" i="25" s="1"/>
  <c r="O50" i="25"/>
  <c r="R50" i="25" s="1"/>
  <c r="O99" i="25"/>
  <c r="R99" i="25" s="1"/>
  <c r="O23" i="25"/>
  <c r="Q23" i="25" s="1"/>
  <c r="O51" i="25"/>
  <c r="Q51" i="25" s="1"/>
  <c r="O83" i="25"/>
  <c r="Q83" i="25" s="1"/>
  <c r="O96" i="25"/>
  <c r="Q96" i="25" s="1"/>
  <c r="O91" i="25"/>
  <c r="Q91" i="25" s="1"/>
  <c r="O43" i="25"/>
  <c r="Q43" i="25" s="1"/>
  <c r="O38" i="25"/>
  <c r="Q38" i="25" s="1"/>
  <c r="O70" i="25"/>
  <c r="Q70" i="25" s="1"/>
  <c r="O39" i="25"/>
  <c r="R39" i="25" s="1"/>
  <c r="O37" i="25"/>
  <c r="R37" i="25" s="1"/>
  <c r="O36" i="25"/>
  <c r="Q36" i="25" s="1"/>
  <c r="O84" i="25"/>
  <c r="Q84" i="25" s="1"/>
  <c r="O75" i="25"/>
  <c r="Q75" i="25" s="1"/>
  <c r="O19" i="25"/>
  <c r="R19" i="25" s="1"/>
  <c r="O74" i="25"/>
  <c r="Q74" i="25" s="1"/>
  <c r="O46" i="25"/>
  <c r="R46" i="25" s="1"/>
  <c r="O48" i="25"/>
  <c r="R48" i="25" s="1"/>
  <c r="O105" i="25"/>
  <c r="Q105" i="25" s="1"/>
  <c r="O45" i="25"/>
  <c r="Q45" i="25" s="1"/>
  <c r="O7" i="25"/>
  <c r="R7" i="25" s="1"/>
  <c r="O33" i="25"/>
  <c r="Q33" i="25" s="1"/>
  <c r="O28" i="25"/>
  <c r="Q28" i="25" s="1"/>
  <c r="O54" i="25"/>
  <c r="Q54" i="25" s="1"/>
  <c r="O68" i="25"/>
  <c r="R68" i="25" s="1"/>
  <c r="O42" i="25"/>
  <c r="R42" i="25" s="1"/>
  <c r="O92" i="25"/>
  <c r="Q92" i="25" s="1"/>
  <c r="O103" i="25"/>
  <c r="Q103" i="25" s="1"/>
  <c r="O14" i="25"/>
  <c r="Q14" i="25" s="1"/>
  <c r="O27" i="25"/>
  <c r="R27" i="25" s="1"/>
  <c r="O66" i="25"/>
  <c r="R66" i="25" s="1"/>
  <c r="O11" i="25"/>
  <c r="Q11" i="25" s="1"/>
  <c r="O17" i="25"/>
  <c r="R17" i="25" s="1"/>
  <c r="O77" i="25"/>
  <c r="Q77" i="25" s="1"/>
  <c r="O20" i="25"/>
  <c r="R20" i="25" s="1"/>
  <c r="O56" i="25"/>
  <c r="Q56" i="25" s="1"/>
  <c r="O97" i="25"/>
  <c r="Q97" i="25" s="1"/>
  <c r="O98" i="25"/>
  <c r="R98" i="25" s="1"/>
  <c r="O102" i="25"/>
  <c r="R102" i="25" s="1"/>
  <c r="O95" i="25"/>
  <c r="R95" i="25" s="1"/>
  <c r="O34" i="25"/>
  <c r="R34" i="25" s="1"/>
  <c r="O78" i="25"/>
  <c r="Q78" i="25" s="1"/>
  <c r="L171" i="25"/>
  <c r="L110" i="25"/>
  <c r="L141" i="25"/>
  <c r="L173" i="25"/>
  <c r="L205" i="25"/>
  <c r="N154" i="25"/>
  <c r="N186" i="25"/>
  <c r="N179" i="25"/>
  <c r="L138" i="25"/>
  <c r="L170" i="25"/>
  <c r="L202" i="25"/>
  <c r="N135" i="25"/>
  <c r="L131" i="25"/>
  <c r="L125" i="25"/>
  <c r="L157" i="25"/>
  <c r="L189" i="25"/>
  <c r="N132" i="25"/>
  <c r="N164" i="25"/>
  <c r="N196" i="25"/>
  <c r="I9" i="19"/>
  <c r="I8" i="19"/>
  <c r="I7" i="19"/>
  <c r="I6" i="19"/>
  <c r="N240" i="25"/>
  <c r="L240" i="25"/>
  <c r="N244" i="25"/>
  <c r="L244" i="25"/>
  <c r="N248" i="25"/>
  <c r="L248" i="25"/>
  <c r="N236" i="25"/>
  <c r="L236" i="25"/>
  <c r="N288" i="25"/>
  <c r="L288" i="25"/>
  <c r="N304" i="25"/>
  <c r="L304" i="25"/>
  <c r="N218" i="25"/>
  <c r="L218" i="25"/>
  <c r="N233" i="25"/>
  <c r="L233" i="25"/>
  <c r="L249" i="25"/>
  <c r="N249" i="25"/>
  <c r="L265" i="25"/>
  <c r="N265" i="25"/>
  <c r="L281" i="25"/>
  <c r="N281" i="25"/>
  <c r="L297" i="25"/>
  <c r="N297" i="25"/>
  <c r="N313" i="25"/>
  <c r="L313" i="25"/>
  <c r="L230" i="25"/>
  <c r="N230" i="25"/>
  <c r="L246" i="25"/>
  <c r="N246" i="25"/>
  <c r="L262" i="25"/>
  <c r="N262" i="25"/>
  <c r="N278" i="25"/>
  <c r="L278" i="25"/>
  <c r="L294" i="25"/>
  <c r="N294" i="25"/>
  <c r="N310" i="25"/>
  <c r="L310" i="25"/>
  <c r="N223" i="25"/>
  <c r="L223" i="25"/>
  <c r="L239" i="25"/>
  <c r="N239" i="25"/>
  <c r="L255" i="25"/>
  <c r="N255" i="25"/>
  <c r="L271" i="25"/>
  <c r="N271" i="25"/>
  <c r="N287" i="25"/>
  <c r="L287" i="25"/>
  <c r="L303" i="25"/>
  <c r="N303" i="25"/>
  <c r="N256" i="25"/>
  <c r="L256" i="25"/>
  <c r="N260" i="25"/>
  <c r="L260" i="25"/>
  <c r="N264" i="25"/>
  <c r="L264" i="25"/>
  <c r="N252" i="25"/>
  <c r="L252" i="25"/>
  <c r="N292" i="25"/>
  <c r="L292" i="25"/>
  <c r="N308" i="25"/>
  <c r="L308" i="25"/>
  <c r="L221" i="25"/>
  <c r="N221" i="25"/>
  <c r="L237" i="25"/>
  <c r="N237" i="25"/>
  <c r="L253" i="25"/>
  <c r="N253" i="25"/>
  <c r="L269" i="25"/>
  <c r="N269" i="25"/>
  <c r="N285" i="25"/>
  <c r="L285" i="25"/>
  <c r="N301" i="25"/>
  <c r="L301" i="25"/>
  <c r="N317" i="25"/>
  <c r="L317" i="25"/>
  <c r="N234" i="25"/>
  <c r="L234" i="25"/>
  <c r="N250" i="25"/>
  <c r="L250" i="25"/>
  <c r="N266" i="25"/>
  <c r="L266" i="25"/>
  <c r="N282" i="25"/>
  <c r="L282" i="25"/>
  <c r="L298" i="25"/>
  <c r="N298" i="25"/>
  <c r="N314" i="25"/>
  <c r="L314" i="25"/>
  <c r="N227" i="25"/>
  <c r="L227" i="25"/>
  <c r="N243" i="25"/>
  <c r="L243" i="25"/>
  <c r="N259" i="25"/>
  <c r="L259" i="25"/>
  <c r="N275" i="25"/>
  <c r="L275" i="25"/>
  <c r="N291" i="25"/>
  <c r="L291" i="25"/>
  <c r="L307" i="25"/>
  <c r="N307" i="25"/>
  <c r="N272" i="25"/>
  <c r="L272" i="25"/>
  <c r="L276" i="25"/>
  <c r="N276" i="25"/>
  <c r="N280" i="25"/>
  <c r="L280" i="25"/>
  <c r="N268" i="25"/>
  <c r="L268" i="25"/>
  <c r="N296" i="25"/>
  <c r="L296" i="25"/>
  <c r="L312" i="25"/>
  <c r="N312" i="25"/>
  <c r="L225" i="25"/>
  <c r="N225" i="25"/>
  <c r="L241" i="25"/>
  <c r="N241" i="25"/>
  <c r="L257" i="25"/>
  <c r="N257" i="25"/>
  <c r="L273" i="25"/>
  <c r="N273" i="25"/>
  <c r="L289" i="25"/>
  <c r="N289" i="25"/>
  <c r="L305" i="25"/>
  <c r="N305" i="25"/>
  <c r="N222" i="25"/>
  <c r="L222" i="25"/>
  <c r="N238" i="25"/>
  <c r="L238" i="25"/>
  <c r="N254" i="25"/>
  <c r="L254" i="25"/>
  <c r="N270" i="25"/>
  <c r="L270" i="25"/>
  <c r="N286" i="25"/>
  <c r="L286" i="25"/>
  <c r="L302" i="25"/>
  <c r="N302" i="25"/>
  <c r="N318" i="25"/>
  <c r="L318" i="25"/>
  <c r="N231" i="25"/>
  <c r="L231" i="25"/>
  <c r="N247" i="25"/>
  <c r="L247" i="25"/>
  <c r="N263" i="25"/>
  <c r="L263" i="25"/>
  <c r="L279" i="25"/>
  <c r="N279" i="25"/>
  <c r="N295" i="25"/>
  <c r="L295" i="25"/>
  <c r="L311" i="25"/>
  <c r="N311" i="25"/>
  <c r="L224" i="25"/>
  <c r="N224" i="25"/>
  <c r="L228" i="25"/>
  <c r="N228" i="25"/>
  <c r="L232" i="25"/>
  <c r="N232" i="25"/>
  <c r="L220" i="25"/>
  <c r="N220" i="25"/>
  <c r="N284" i="25"/>
  <c r="L284" i="25"/>
  <c r="N300" i="25"/>
  <c r="L300" i="25"/>
  <c r="N316" i="25"/>
  <c r="L316" i="25"/>
  <c r="N229" i="25"/>
  <c r="L229" i="25"/>
  <c r="L245" i="25"/>
  <c r="N245" i="25"/>
  <c r="L261" i="25"/>
  <c r="N261" i="25"/>
  <c r="N277" i="25"/>
  <c r="L277" i="25"/>
  <c r="L293" i="25"/>
  <c r="N293" i="25"/>
  <c r="N309" i="25"/>
  <c r="L309" i="25"/>
  <c r="N226" i="25"/>
  <c r="L226" i="25"/>
  <c r="L242" i="25"/>
  <c r="N242" i="25"/>
  <c r="L258" i="25"/>
  <c r="N258" i="25"/>
  <c r="N274" i="25"/>
  <c r="L274" i="25"/>
  <c r="N290" i="25"/>
  <c r="L290" i="25"/>
  <c r="L306" i="25"/>
  <c r="N306" i="25"/>
  <c r="N219" i="25"/>
  <c r="L219" i="25"/>
  <c r="N235" i="25"/>
  <c r="L235" i="25"/>
  <c r="N251" i="25"/>
  <c r="L251" i="25"/>
  <c r="N267" i="25"/>
  <c r="L267" i="25"/>
  <c r="N283" i="25"/>
  <c r="L283" i="25"/>
  <c r="N299" i="25"/>
  <c r="L299" i="25"/>
  <c r="L315" i="25"/>
  <c r="N315" i="25"/>
  <c r="F316" i="25"/>
  <c r="AX316" i="25" s="1"/>
  <c r="F312" i="25"/>
  <c r="F308" i="25"/>
  <c r="AX308" i="25" s="1"/>
  <c r="F306" i="25"/>
  <c r="F305" i="25"/>
  <c r="F304" i="25"/>
  <c r="F303" i="25"/>
  <c r="F317" i="25"/>
  <c r="F313" i="25"/>
  <c r="F309" i="25"/>
  <c r="F307" i="25"/>
  <c r="F302" i="25"/>
  <c r="F298" i="25"/>
  <c r="F294" i="25"/>
  <c r="F290" i="25"/>
  <c r="AX290" i="25" s="1"/>
  <c r="F286" i="25"/>
  <c r="F315" i="25"/>
  <c r="F314" i="25"/>
  <c r="F299" i="25"/>
  <c r="F295" i="25"/>
  <c r="F291" i="25"/>
  <c r="F287" i="25"/>
  <c r="F283" i="25"/>
  <c r="F281" i="25"/>
  <c r="F277" i="25"/>
  <c r="AX277" i="25" s="1"/>
  <c r="F273" i="25"/>
  <c r="F318" i="25"/>
  <c r="F311" i="25"/>
  <c r="AX311" i="25" s="1"/>
  <c r="F282" i="25"/>
  <c r="F278" i="25"/>
  <c r="F274" i="25"/>
  <c r="F296" i="25"/>
  <c r="F288" i="25"/>
  <c r="F267" i="25"/>
  <c r="F263" i="25"/>
  <c r="F259" i="25"/>
  <c r="F255" i="25"/>
  <c r="F251" i="25"/>
  <c r="F247" i="25"/>
  <c r="F243" i="25"/>
  <c r="F239" i="25"/>
  <c r="F235" i="25"/>
  <c r="F208" i="25"/>
  <c r="F204" i="25"/>
  <c r="AX204" i="25" s="1"/>
  <c r="F200" i="25"/>
  <c r="F301" i="25"/>
  <c r="F293" i="25"/>
  <c r="F285" i="25"/>
  <c r="F268" i="25"/>
  <c r="AX268" i="25" s="1"/>
  <c r="F264" i="25"/>
  <c r="F260" i="25"/>
  <c r="AX260" i="25" s="1"/>
  <c r="F256" i="25"/>
  <c r="F252" i="25"/>
  <c r="F248" i="25"/>
  <c r="F244" i="25"/>
  <c r="F240" i="25"/>
  <c r="F236" i="25"/>
  <c r="F207" i="25"/>
  <c r="F203" i="25"/>
  <c r="F310" i="25"/>
  <c r="AX310" i="25" s="1"/>
  <c r="F300" i="25"/>
  <c r="F284" i="25"/>
  <c r="F230" i="25"/>
  <c r="F226" i="25"/>
  <c r="F222" i="25"/>
  <c r="F210" i="25"/>
  <c r="F209" i="25"/>
  <c r="F206" i="25"/>
  <c r="AX206" i="25" s="1"/>
  <c r="F205" i="25"/>
  <c r="F202" i="25"/>
  <c r="F201" i="25"/>
  <c r="F199" i="25"/>
  <c r="F195" i="25"/>
  <c r="F191" i="25"/>
  <c r="F187" i="25"/>
  <c r="F183" i="25"/>
  <c r="F179" i="25"/>
  <c r="F175" i="25"/>
  <c r="F171" i="25"/>
  <c r="F167" i="25"/>
  <c r="AX167" i="25" s="1"/>
  <c r="F163" i="25"/>
  <c r="F159" i="25"/>
  <c r="F155" i="25"/>
  <c r="F151" i="25"/>
  <c r="F147" i="25"/>
  <c r="F143" i="25"/>
  <c r="AX143" i="25" s="1"/>
  <c r="F139" i="25"/>
  <c r="F135" i="25"/>
  <c r="F131" i="25"/>
  <c r="F289" i="25"/>
  <c r="F280" i="25"/>
  <c r="F276" i="25"/>
  <c r="F272" i="25"/>
  <c r="F270" i="25"/>
  <c r="F269" i="25"/>
  <c r="F266" i="25"/>
  <c r="F265" i="25"/>
  <c r="F262" i="25"/>
  <c r="F261" i="25"/>
  <c r="F258" i="25"/>
  <c r="AX258" i="25" s="1"/>
  <c r="F257" i="25"/>
  <c r="F254" i="25"/>
  <c r="F253" i="25"/>
  <c r="F250" i="25"/>
  <c r="F249" i="25"/>
  <c r="F246" i="25"/>
  <c r="F245" i="25"/>
  <c r="F242" i="25"/>
  <c r="F241" i="25"/>
  <c r="F238" i="25"/>
  <c r="F237" i="25"/>
  <c r="F234" i="25"/>
  <c r="F231" i="25"/>
  <c r="AX231" i="25" s="1"/>
  <c r="F227" i="25"/>
  <c r="F223" i="25"/>
  <c r="F219" i="25"/>
  <c r="AX219" i="25" s="1"/>
  <c r="F198" i="25"/>
  <c r="F194" i="25"/>
  <c r="F190" i="25"/>
  <c r="F186" i="25"/>
  <c r="F182" i="25"/>
  <c r="AX182" i="25" s="1"/>
  <c r="F178" i="25"/>
  <c r="F174" i="25"/>
  <c r="F170" i="25"/>
  <c r="F166" i="25"/>
  <c r="F162" i="25"/>
  <c r="F158" i="25"/>
  <c r="F154" i="25"/>
  <c r="F150" i="25"/>
  <c r="F146" i="25"/>
  <c r="F142" i="25"/>
  <c r="F138" i="25"/>
  <c r="F134" i="25"/>
  <c r="F130" i="25"/>
  <c r="F197" i="25"/>
  <c r="F196" i="25"/>
  <c r="F193" i="25"/>
  <c r="F192" i="25"/>
  <c r="F189" i="25"/>
  <c r="F188" i="25"/>
  <c r="F185" i="25"/>
  <c r="AX185" i="25" s="1"/>
  <c r="F184" i="25"/>
  <c r="F181" i="25"/>
  <c r="F180" i="25"/>
  <c r="F177" i="25"/>
  <c r="F176" i="25"/>
  <c r="AX176" i="25" s="1"/>
  <c r="F173" i="25"/>
  <c r="F172" i="25"/>
  <c r="F169" i="25"/>
  <c r="F168" i="25"/>
  <c r="F165" i="25"/>
  <c r="F164" i="25"/>
  <c r="F161" i="25"/>
  <c r="F160" i="25"/>
  <c r="F157" i="25"/>
  <c r="F156" i="25"/>
  <c r="F153" i="25"/>
  <c r="F152" i="25"/>
  <c r="F149" i="25"/>
  <c r="F148" i="25"/>
  <c r="F145" i="25"/>
  <c r="F144" i="25"/>
  <c r="F141" i="25"/>
  <c r="F140" i="25"/>
  <c r="AX140" i="25" s="1"/>
  <c r="F137" i="25"/>
  <c r="F136" i="25"/>
  <c r="F133" i="25"/>
  <c r="F132" i="25"/>
  <c r="AX132" i="25" s="1"/>
  <c r="F129" i="25"/>
  <c r="F128" i="25"/>
  <c r="F127" i="25"/>
  <c r="F123" i="25"/>
  <c r="AX123" i="25" s="1"/>
  <c r="F119" i="25"/>
  <c r="F115" i="25"/>
  <c r="F111" i="25"/>
  <c r="F105" i="25"/>
  <c r="AX105" i="25" s="1"/>
  <c r="F104" i="25"/>
  <c r="AX104" i="25" s="1"/>
  <c r="F103" i="25"/>
  <c r="AX103" i="25" s="1"/>
  <c r="F102" i="25"/>
  <c r="AX102" i="25" s="1"/>
  <c r="F101" i="25"/>
  <c r="AX101" i="25" s="1"/>
  <c r="F100" i="25"/>
  <c r="AX100" i="25" s="1"/>
  <c r="F99" i="25"/>
  <c r="AX99" i="25" s="1"/>
  <c r="F98" i="25"/>
  <c r="AX98" i="25" s="1"/>
  <c r="F97" i="25"/>
  <c r="AX97" i="25" s="1"/>
  <c r="F96" i="25"/>
  <c r="AX96" i="25" s="1"/>
  <c r="F95" i="25"/>
  <c r="AX95" i="25" s="1"/>
  <c r="F94" i="25"/>
  <c r="AX94" i="25" s="1"/>
  <c r="F93" i="25"/>
  <c r="AX93" i="25" s="1"/>
  <c r="F92" i="25"/>
  <c r="AX92" i="25" s="1"/>
  <c r="F91" i="25"/>
  <c r="AX91" i="25" s="1"/>
  <c r="F292" i="25"/>
  <c r="F279" i="25"/>
  <c r="AX279" i="25" s="1"/>
  <c r="F275" i="25"/>
  <c r="F271" i="25"/>
  <c r="F233" i="25"/>
  <c r="F232" i="25"/>
  <c r="F229" i="25"/>
  <c r="F228" i="25"/>
  <c r="F225" i="25"/>
  <c r="F224" i="25"/>
  <c r="F221" i="25"/>
  <c r="F220" i="25"/>
  <c r="F126" i="25"/>
  <c r="F122" i="25"/>
  <c r="F118" i="25"/>
  <c r="F114" i="25"/>
  <c r="F297" i="25"/>
  <c r="F87" i="25"/>
  <c r="AX87" i="25" s="1"/>
  <c r="F83" i="25"/>
  <c r="AX83" i="25" s="1"/>
  <c r="F79" i="25"/>
  <c r="AX79" i="25" s="1"/>
  <c r="F75" i="25"/>
  <c r="AX75" i="25" s="1"/>
  <c r="F71" i="25"/>
  <c r="AX71" i="25" s="1"/>
  <c r="F67" i="25"/>
  <c r="AX67" i="25" s="1"/>
  <c r="F63" i="25"/>
  <c r="AX63" i="25" s="1"/>
  <c r="F59" i="25"/>
  <c r="AX59" i="25" s="1"/>
  <c r="F55" i="25"/>
  <c r="AX55" i="25" s="1"/>
  <c r="F51" i="25"/>
  <c r="AX51" i="25" s="1"/>
  <c r="F47" i="25"/>
  <c r="AX47" i="25" s="1"/>
  <c r="F43" i="25"/>
  <c r="AX43" i="25" s="1"/>
  <c r="F39" i="25"/>
  <c r="AX39" i="25" s="1"/>
  <c r="F31" i="25"/>
  <c r="AX31" i="25" s="1"/>
  <c r="F27" i="25"/>
  <c r="AX27" i="25" s="1"/>
  <c r="F23" i="25"/>
  <c r="AX23" i="25" s="1"/>
  <c r="F19" i="25"/>
  <c r="AX19" i="25" s="1"/>
  <c r="F15" i="25"/>
  <c r="AX15" i="25" s="1"/>
  <c r="F125" i="25"/>
  <c r="F117" i="25"/>
  <c r="F113" i="25"/>
  <c r="F85" i="25"/>
  <c r="AX85" i="25" s="1"/>
  <c r="F77" i="25"/>
  <c r="AX77" i="25" s="1"/>
  <c r="F73" i="25"/>
  <c r="AX73" i="25" s="1"/>
  <c r="F65" i="25"/>
  <c r="AX65" i="25" s="1"/>
  <c r="F61" i="25"/>
  <c r="AX61" i="25" s="1"/>
  <c r="F57" i="25"/>
  <c r="AX57" i="25" s="1"/>
  <c r="F49" i="25"/>
  <c r="AX49" i="25" s="1"/>
  <c r="F33" i="25"/>
  <c r="AX33" i="25" s="1"/>
  <c r="F29" i="25"/>
  <c r="AX29" i="25" s="1"/>
  <c r="F25" i="25"/>
  <c r="AX25" i="25" s="1"/>
  <c r="F17" i="25"/>
  <c r="AX17" i="25" s="1"/>
  <c r="F13" i="25"/>
  <c r="AX13" i="25" s="1"/>
  <c r="F11" i="25"/>
  <c r="AX11" i="25" s="1"/>
  <c r="F10" i="25"/>
  <c r="AX10" i="25" s="1"/>
  <c r="F9" i="25"/>
  <c r="AX9" i="25" s="1"/>
  <c r="F8" i="25"/>
  <c r="AX8" i="25" s="1"/>
  <c r="F124" i="25"/>
  <c r="F120" i="25"/>
  <c r="F116" i="25"/>
  <c r="F112" i="25"/>
  <c r="F90" i="25"/>
  <c r="AX90" i="25" s="1"/>
  <c r="F86" i="25"/>
  <c r="AX86" i="25" s="1"/>
  <c r="F82" i="25"/>
  <c r="AX82" i="25" s="1"/>
  <c r="F78" i="25"/>
  <c r="AX78" i="25" s="1"/>
  <c r="F74" i="25"/>
  <c r="AX74" i="25" s="1"/>
  <c r="F70" i="25"/>
  <c r="AX70" i="25" s="1"/>
  <c r="F66" i="25"/>
  <c r="AX66" i="25" s="1"/>
  <c r="F62" i="25"/>
  <c r="AX62" i="25" s="1"/>
  <c r="F54" i="25"/>
  <c r="AX54" i="25" s="1"/>
  <c r="F88" i="25"/>
  <c r="AX88" i="25" s="1"/>
  <c r="F84" i="25"/>
  <c r="AX84" i="25" s="1"/>
  <c r="F80" i="25"/>
  <c r="AX80" i="25" s="1"/>
  <c r="F76" i="25"/>
  <c r="AX76" i="25" s="1"/>
  <c r="F72" i="25"/>
  <c r="AX72" i="25" s="1"/>
  <c r="F68" i="25"/>
  <c r="AX68" i="25" s="1"/>
  <c r="F64" i="25"/>
  <c r="AX64" i="25" s="1"/>
  <c r="F60" i="25"/>
  <c r="AX60" i="25" s="1"/>
  <c r="F56" i="25"/>
  <c r="AX56" i="25" s="1"/>
  <c r="F52" i="25"/>
  <c r="AX52" i="25" s="1"/>
  <c r="F48" i="25"/>
  <c r="AX48" i="25" s="1"/>
  <c r="F44" i="25"/>
  <c r="AX44" i="25" s="1"/>
  <c r="F40" i="25"/>
  <c r="AX40" i="25" s="1"/>
  <c r="F32" i="25"/>
  <c r="AX32" i="25" s="1"/>
  <c r="F28" i="25"/>
  <c r="AX28" i="25" s="1"/>
  <c r="F24" i="25"/>
  <c r="AX24" i="25" s="1"/>
  <c r="F20" i="25"/>
  <c r="AX20" i="25" s="1"/>
  <c r="F16" i="25"/>
  <c r="AX16" i="25" s="1"/>
  <c r="F12" i="25"/>
  <c r="AX12" i="25" s="1"/>
  <c r="F121" i="25"/>
  <c r="F89" i="25"/>
  <c r="AX89" i="25" s="1"/>
  <c r="F81" i="25"/>
  <c r="AX81" i="25" s="1"/>
  <c r="F69" i="25"/>
  <c r="AX69" i="25" s="1"/>
  <c r="F53" i="25"/>
  <c r="AX53" i="25" s="1"/>
  <c r="F45" i="25"/>
  <c r="AX45" i="25" s="1"/>
  <c r="F41" i="25"/>
  <c r="AX41" i="25" s="1"/>
  <c r="F21" i="25"/>
  <c r="AX21" i="25" s="1"/>
  <c r="F58" i="25"/>
  <c r="AX58" i="25" s="1"/>
  <c r="F50" i="25"/>
  <c r="AX50" i="25" s="1"/>
  <c r="F46" i="25"/>
  <c r="AX46" i="25" s="1"/>
  <c r="F42" i="25"/>
  <c r="AX42" i="25" s="1"/>
  <c r="F38" i="25"/>
  <c r="AX38" i="25" s="1"/>
  <c r="F37" i="25"/>
  <c r="AX37" i="25" s="1"/>
  <c r="F36" i="25"/>
  <c r="AX36" i="25" s="1"/>
  <c r="F35" i="25"/>
  <c r="AX35" i="25" s="1"/>
  <c r="F34" i="25"/>
  <c r="AX34" i="25" s="1"/>
  <c r="F30" i="25"/>
  <c r="AX30" i="25" s="1"/>
  <c r="F26" i="25"/>
  <c r="AX26" i="25" s="1"/>
  <c r="F22" i="25"/>
  <c r="AX22" i="25" s="1"/>
  <c r="F18" i="25"/>
  <c r="AX18" i="25" s="1"/>
  <c r="F14" i="25"/>
  <c r="AX14" i="25" s="1"/>
  <c r="B85" i="2"/>
  <c r="AW57" i="25" s="1"/>
  <c r="M180" i="24"/>
  <c r="BA180" i="24" s="1"/>
  <c r="K128" i="24"/>
  <c r="K115" i="24"/>
  <c r="B34" i="2"/>
  <c r="B36" i="2" s="1"/>
  <c r="B22" i="2"/>
  <c r="M144" i="24"/>
  <c r="BA144" i="24" s="1"/>
  <c r="M113" i="24"/>
  <c r="BA113" i="24" s="1"/>
  <c r="K116" i="24"/>
  <c r="K179" i="24"/>
  <c r="M200" i="24"/>
  <c r="BA200" i="24" s="1"/>
  <c r="M146" i="24"/>
  <c r="BA146" i="24" s="1"/>
  <c r="K188" i="24"/>
  <c r="M193" i="24"/>
  <c r="BA193" i="24" s="1"/>
  <c r="K161" i="24"/>
  <c r="M129" i="24"/>
  <c r="BA129" i="24" s="1"/>
  <c r="M191" i="24"/>
  <c r="BA191" i="24" s="1"/>
  <c r="K187" i="24"/>
  <c r="M126" i="24"/>
  <c r="BA126" i="24" s="1"/>
  <c r="K167" i="24"/>
  <c r="M209" i="24"/>
  <c r="BA209" i="24" s="1"/>
  <c r="K208" i="24"/>
  <c r="K210" i="24"/>
  <c r="M166" i="24"/>
  <c r="BA166" i="24" s="1"/>
  <c r="M120" i="24"/>
  <c r="BA120" i="24" s="1"/>
  <c r="K177" i="24"/>
  <c r="M158" i="24"/>
  <c r="BA158" i="24" s="1"/>
  <c r="K170" i="24"/>
  <c r="K148" i="24"/>
  <c r="K145" i="24"/>
  <c r="M135" i="24"/>
  <c r="BA135" i="24" s="1"/>
  <c r="F17" i="23"/>
  <c r="J17" i="23" s="1"/>
  <c r="M176" i="24"/>
  <c r="BA176" i="24" s="1"/>
  <c r="M156" i="24"/>
  <c r="BA156" i="24" s="1"/>
  <c r="M118" i="24"/>
  <c r="BA118" i="24" s="1"/>
  <c r="K137" i="24"/>
  <c r="M132" i="24"/>
  <c r="BA132" i="24" s="1"/>
  <c r="K136" i="24"/>
  <c r="K201" i="24"/>
  <c r="I33" i="23"/>
  <c r="M114" i="24"/>
  <c r="BA114" i="24" s="1"/>
  <c r="K194" i="24"/>
  <c r="K206" i="24"/>
  <c r="K163" i="24"/>
  <c r="F54" i="23"/>
  <c r="J54" i="23" s="1"/>
  <c r="M130" i="24"/>
  <c r="BA130" i="24" s="1"/>
  <c r="K192" i="24"/>
  <c r="K199" i="24"/>
  <c r="K196" i="24"/>
  <c r="M151" i="24"/>
  <c r="BA151" i="24" s="1"/>
  <c r="K172" i="24"/>
  <c r="K123" i="24"/>
  <c r="M175" i="24"/>
  <c r="BA175" i="24" s="1"/>
  <c r="K165" i="24"/>
  <c r="K181" i="24"/>
  <c r="K154" i="24"/>
  <c r="M117" i="24"/>
  <c r="BA117" i="24" s="1"/>
  <c r="M124" i="24"/>
  <c r="BA124" i="24" s="1"/>
  <c r="K142" i="24"/>
  <c r="I9" i="23"/>
  <c r="I70" i="23"/>
  <c r="M168" i="24"/>
  <c r="BA168" i="24" s="1"/>
  <c r="M197" i="24"/>
  <c r="BA197" i="24" s="1"/>
  <c r="K134" i="24"/>
  <c r="K182" i="24"/>
  <c r="F32" i="23"/>
  <c r="J32" i="23" s="1"/>
  <c r="F49" i="23"/>
  <c r="G49" i="23" s="1"/>
  <c r="H49" i="23" s="1"/>
  <c r="M153" i="24"/>
  <c r="BA153" i="24" s="1"/>
  <c r="K131" i="24"/>
  <c r="M178" i="24"/>
  <c r="BA178" i="24" s="1"/>
  <c r="K125" i="24"/>
  <c r="M202" i="24"/>
  <c r="BA202" i="24" s="1"/>
  <c r="F103" i="23"/>
  <c r="G103" i="23" s="1"/>
  <c r="H103" i="23" s="1"/>
  <c r="F53" i="23"/>
  <c r="J53" i="23" s="1"/>
  <c r="K169" i="24"/>
  <c r="M198" i="24"/>
  <c r="BA198" i="24" s="1"/>
  <c r="K150" i="24"/>
  <c r="K119" i="24"/>
  <c r="K110" i="24"/>
  <c r="K152" i="24"/>
  <c r="I16" i="23"/>
  <c r="F46" i="23"/>
  <c r="J46" i="23" s="1"/>
  <c r="I43" i="23"/>
  <c r="I36" i="23"/>
  <c r="F67" i="23"/>
  <c r="G67" i="23" s="1"/>
  <c r="H67" i="23" s="1"/>
  <c r="K155" i="24"/>
  <c r="K159" i="24"/>
  <c r="M127" i="24"/>
  <c r="BA127" i="24" s="1"/>
  <c r="M121" i="24"/>
  <c r="BA121" i="24" s="1"/>
  <c r="M147" i="24"/>
  <c r="BA147" i="24" s="1"/>
  <c r="M190" i="24"/>
  <c r="BA190" i="24" s="1"/>
  <c r="M173" i="24"/>
  <c r="BA173" i="24" s="1"/>
  <c r="M164" i="24"/>
  <c r="BA164" i="24" s="1"/>
  <c r="K162" i="24"/>
  <c r="I59" i="23"/>
  <c r="F30" i="23"/>
  <c r="J30" i="23" s="1"/>
  <c r="F88" i="23"/>
  <c r="G88" i="23" s="1"/>
  <c r="H88" i="23" s="1"/>
  <c r="I78" i="23"/>
  <c r="K122" i="24"/>
  <c r="M185" i="24"/>
  <c r="BA185" i="24" s="1"/>
  <c r="M140" i="24"/>
  <c r="BA140" i="24" s="1"/>
  <c r="M189" i="24"/>
  <c r="BA189" i="24" s="1"/>
  <c r="I27" i="23"/>
  <c r="I75" i="23"/>
  <c r="F73" i="23"/>
  <c r="J73" i="23" s="1"/>
  <c r="F71" i="23"/>
  <c r="J71" i="23" s="1"/>
  <c r="I48" i="23"/>
  <c r="F84" i="23"/>
  <c r="G84" i="23" s="1"/>
  <c r="H84" i="23" s="1"/>
  <c r="F6" i="23"/>
  <c r="J6" i="23" s="1"/>
  <c r="F25" i="23"/>
  <c r="J25" i="23" s="1"/>
  <c r="I23" i="23"/>
  <c r="F60" i="23"/>
  <c r="G60" i="23" s="1"/>
  <c r="H60" i="23" s="1"/>
  <c r="I38" i="23"/>
  <c r="I62" i="23"/>
  <c r="K149" i="24"/>
  <c r="M111" i="24"/>
  <c r="BA111" i="24" s="1"/>
  <c r="M138" i="24"/>
  <c r="BA138" i="24" s="1"/>
  <c r="K112" i="24"/>
  <c r="K207" i="24"/>
  <c r="M171" i="24"/>
  <c r="BA171" i="24" s="1"/>
  <c r="K157" i="24"/>
  <c r="M184" i="24"/>
  <c r="BA184" i="24" s="1"/>
  <c r="K203" i="24"/>
  <c r="M133" i="24"/>
  <c r="BA133" i="24" s="1"/>
  <c r="M143" i="24"/>
  <c r="BA143" i="24" s="1"/>
  <c r="F105" i="23"/>
  <c r="J105" i="23" s="1"/>
  <c r="F94" i="23"/>
  <c r="J94" i="23" s="1"/>
  <c r="I41" i="23"/>
  <c r="F92" i="23"/>
  <c r="J92" i="23" s="1"/>
  <c r="M204" i="24"/>
  <c r="BA204" i="24" s="1"/>
  <c r="M139" i="24"/>
  <c r="BA139" i="24" s="1"/>
  <c r="M174" i="24"/>
  <c r="BA174" i="24" s="1"/>
  <c r="M160" i="24"/>
  <c r="BA160" i="24" s="1"/>
  <c r="K205" i="24"/>
  <c r="M195" i="24"/>
  <c r="BA195" i="24" s="1"/>
  <c r="M141" i="24"/>
  <c r="BA141" i="24" s="1"/>
  <c r="A219" i="2"/>
  <c r="C219" i="2"/>
  <c r="I11" i="23"/>
  <c r="F101" i="23"/>
  <c r="J101" i="23" s="1"/>
  <c r="F20" i="23"/>
  <c r="G20" i="23" s="1"/>
  <c r="H20" i="23" s="1"/>
  <c r="F81" i="23"/>
  <c r="J81" i="23" s="1"/>
  <c r="F14" i="23"/>
  <c r="J14" i="23" s="1"/>
  <c r="F22" i="23"/>
  <c r="J22" i="23" s="1"/>
  <c r="F63" i="23"/>
  <c r="G63" i="23" s="1"/>
  <c r="H63" i="23" s="1"/>
  <c r="K186" i="24"/>
  <c r="K183" i="24"/>
  <c r="F220" i="24"/>
  <c r="F224" i="24"/>
  <c r="F228" i="24"/>
  <c r="F232" i="24"/>
  <c r="F236" i="24"/>
  <c r="F240" i="24"/>
  <c r="F244" i="24"/>
  <c r="F248" i="24"/>
  <c r="F252" i="24"/>
  <c r="F256" i="24"/>
  <c r="F260" i="24"/>
  <c r="F264" i="24"/>
  <c r="F268" i="24"/>
  <c r="F272" i="24"/>
  <c r="F276" i="24"/>
  <c r="F280" i="24"/>
  <c r="F284" i="24"/>
  <c r="F288" i="24"/>
  <c r="F292" i="24"/>
  <c r="F296" i="24"/>
  <c r="F300" i="24"/>
  <c r="F304" i="24"/>
  <c r="F308" i="24"/>
  <c r="F312" i="24"/>
  <c r="F316" i="24"/>
  <c r="F132" i="24"/>
  <c r="BB132" i="24" s="1"/>
  <c r="F136" i="24"/>
  <c r="F140" i="24"/>
  <c r="F144" i="24"/>
  <c r="F148" i="24"/>
  <c r="F152" i="24"/>
  <c r="BB152" i="24" s="1"/>
  <c r="F156" i="24"/>
  <c r="F160" i="24"/>
  <c r="F164" i="24"/>
  <c r="BB164" i="24" s="1"/>
  <c r="F168" i="24"/>
  <c r="BB168" i="24" s="1"/>
  <c r="F172" i="24"/>
  <c r="F176" i="24"/>
  <c r="F180" i="24"/>
  <c r="F184" i="24"/>
  <c r="BB184" i="24" s="1"/>
  <c r="F188" i="24"/>
  <c r="F192" i="24"/>
  <c r="BB192" i="24" s="1"/>
  <c r="F196" i="24"/>
  <c r="F200" i="24"/>
  <c r="F204" i="24"/>
  <c r="F208" i="24"/>
  <c r="BB208" i="24" s="1"/>
  <c r="F114" i="24"/>
  <c r="F118" i="24"/>
  <c r="F122" i="24"/>
  <c r="F126" i="24"/>
  <c r="F130" i="24"/>
  <c r="F157" i="24"/>
  <c r="F161" i="24"/>
  <c r="F169" i="24"/>
  <c r="F177" i="24"/>
  <c r="F181" i="24"/>
  <c r="BB181" i="24" s="1"/>
  <c r="F189" i="24"/>
  <c r="F193" i="24"/>
  <c r="F201" i="24"/>
  <c r="F205" i="24"/>
  <c r="F115" i="24"/>
  <c r="F119" i="24"/>
  <c r="F127" i="24"/>
  <c r="F112" i="24"/>
  <c r="F194" i="24"/>
  <c r="F206" i="24"/>
  <c r="BB206" i="24" s="1"/>
  <c r="F210" i="24"/>
  <c r="F124" i="24"/>
  <c r="F128" i="24"/>
  <c r="F223" i="24"/>
  <c r="F235" i="24"/>
  <c r="F247" i="24"/>
  <c r="F259" i="24"/>
  <c r="F271" i="24"/>
  <c r="F275" i="24"/>
  <c r="F287" i="24"/>
  <c r="F299" i="24"/>
  <c r="F303" i="24"/>
  <c r="F315" i="24"/>
  <c r="F218" i="24"/>
  <c r="F135" i="24"/>
  <c r="F143" i="24"/>
  <c r="F151" i="24"/>
  <c r="F159" i="24"/>
  <c r="F171" i="24"/>
  <c r="F175" i="24"/>
  <c r="F221" i="24"/>
  <c r="F225" i="24"/>
  <c r="F229" i="24"/>
  <c r="F233" i="24"/>
  <c r="F237" i="24"/>
  <c r="F241" i="24"/>
  <c r="F245" i="24"/>
  <c r="F249" i="24"/>
  <c r="F253" i="24"/>
  <c r="F257" i="24"/>
  <c r="F261" i="24"/>
  <c r="F265" i="24"/>
  <c r="F269" i="24"/>
  <c r="F273" i="24"/>
  <c r="F277" i="24"/>
  <c r="F281" i="24"/>
  <c r="F285" i="24"/>
  <c r="F289" i="24"/>
  <c r="F293" i="24"/>
  <c r="F297" i="24"/>
  <c r="F301" i="24"/>
  <c r="F305" i="24"/>
  <c r="F309" i="24"/>
  <c r="F313" i="24"/>
  <c r="F317" i="24"/>
  <c r="F133" i="24"/>
  <c r="F137" i="24"/>
  <c r="F141" i="24"/>
  <c r="F145" i="24"/>
  <c r="F149" i="24"/>
  <c r="F153" i="24"/>
  <c r="F165" i="24"/>
  <c r="F173" i="24"/>
  <c r="F185" i="24"/>
  <c r="F197" i="24"/>
  <c r="F209" i="24"/>
  <c r="F123" i="24"/>
  <c r="F190" i="24"/>
  <c r="F198" i="24"/>
  <c r="F116" i="24"/>
  <c r="F231" i="24"/>
  <c r="F239" i="24"/>
  <c r="F255" i="24"/>
  <c r="F267" i="24"/>
  <c r="F279" i="24"/>
  <c r="F291" i="24"/>
  <c r="F307" i="24"/>
  <c r="F139" i="24"/>
  <c r="F155" i="24"/>
  <c r="F167" i="24"/>
  <c r="F183" i="24"/>
  <c r="F222" i="24"/>
  <c r="F226" i="24"/>
  <c r="F230" i="24"/>
  <c r="F234" i="24"/>
  <c r="F238" i="24"/>
  <c r="F242" i="24"/>
  <c r="F246" i="24"/>
  <c r="F250" i="24"/>
  <c r="F254" i="24"/>
  <c r="F258" i="24"/>
  <c r="F262" i="24"/>
  <c r="F266" i="24"/>
  <c r="F270" i="24"/>
  <c r="F274" i="24"/>
  <c r="F278" i="24"/>
  <c r="F282" i="24"/>
  <c r="F286" i="24"/>
  <c r="F290" i="24"/>
  <c r="F294" i="24"/>
  <c r="F298" i="24"/>
  <c r="F302" i="24"/>
  <c r="F306" i="24"/>
  <c r="F310" i="24"/>
  <c r="F314" i="24"/>
  <c r="F219" i="24"/>
  <c r="F134" i="24"/>
  <c r="BB134" i="24" s="1"/>
  <c r="F138" i="24"/>
  <c r="F142" i="24"/>
  <c r="F146" i="24"/>
  <c r="F150" i="24"/>
  <c r="F154" i="24"/>
  <c r="BB154" i="24" s="1"/>
  <c r="F158" i="24"/>
  <c r="BB158" i="24" s="1"/>
  <c r="F162" i="24"/>
  <c r="F166" i="24"/>
  <c r="F170" i="24"/>
  <c r="BB170" i="24" s="1"/>
  <c r="F174" i="24"/>
  <c r="F178" i="24"/>
  <c r="F182" i="24"/>
  <c r="F186" i="24"/>
  <c r="F202" i="24"/>
  <c r="F120" i="24"/>
  <c r="F111" i="24"/>
  <c r="F227" i="24"/>
  <c r="F243" i="24"/>
  <c r="F251" i="24"/>
  <c r="F263" i="24"/>
  <c r="F283" i="24"/>
  <c r="F295" i="24"/>
  <c r="F311" i="24"/>
  <c r="F131" i="24"/>
  <c r="F147" i="24"/>
  <c r="F163" i="24"/>
  <c r="F179" i="24"/>
  <c r="F191" i="24"/>
  <c r="BB191" i="24" s="1"/>
  <c r="F207" i="24"/>
  <c r="F125" i="24"/>
  <c r="F129" i="24"/>
  <c r="F121" i="24"/>
  <c r="F195" i="24"/>
  <c r="F113" i="24"/>
  <c r="F203" i="24"/>
  <c r="F199" i="24"/>
  <c r="F117" i="24"/>
  <c r="F187" i="24"/>
  <c r="I99" i="23"/>
  <c r="F80" i="23"/>
  <c r="J80" i="23" s="1"/>
  <c r="I31" i="23"/>
  <c r="I96" i="23"/>
  <c r="F77" i="23"/>
  <c r="G77" i="23" s="1"/>
  <c r="H77" i="23" s="1"/>
  <c r="I56" i="23"/>
  <c r="I86" i="23"/>
  <c r="K313" i="24"/>
  <c r="M313" i="24"/>
  <c r="N313" i="24" s="1"/>
  <c r="K277" i="24"/>
  <c r="M277" i="24"/>
  <c r="N277" i="24" s="1"/>
  <c r="K245" i="24"/>
  <c r="M245" i="24"/>
  <c r="N245" i="24" s="1"/>
  <c r="M316" i="24"/>
  <c r="N316" i="24" s="1"/>
  <c r="K316" i="24"/>
  <c r="M280" i="24"/>
  <c r="N280" i="24" s="1"/>
  <c r="Q280" i="24" s="1"/>
  <c r="K280" i="24"/>
  <c r="K248" i="24"/>
  <c r="M248" i="24"/>
  <c r="N248" i="24" s="1"/>
  <c r="M224" i="24"/>
  <c r="N224" i="24" s="1"/>
  <c r="K224" i="24"/>
  <c r="K303" i="24"/>
  <c r="M303" i="24"/>
  <c r="N303" i="24" s="1"/>
  <c r="K287" i="24"/>
  <c r="M287" i="24"/>
  <c r="N287" i="24" s="1"/>
  <c r="M271" i="24"/>
  <c r="N271" i="24" s="1"/>
  <c r="K271" i="24"/>
  <c r="M255" i="24"/>
  <c r="N255" i="24" s="1"/>
  <c r="K255" i="24"/>
  <c r="M239" i="24"/>
  <c r="N239" i="24" s="1"/>
  <c r="K239" i="24"/>
  <c r="K223" i="24"/>
  <c r="M223" i="24"/>
  <c r="N223" i="24" s="1"/>
  <c r="K297" i="24"/>
  <c r="M297" i="24"/>
  <c r="N297" i="24" s="1"/>
  <c r="M265" i="24"/>
  <c r="N265" i="24" s="1"/>
  <c r="K265" i="24"/>
  <c r="M233" i="24"/>
  <c r="N233" i="24" s="1"/>
  <c r="K233" i="24"/>
  <c r="M300" i="24"/>
  <c r="N300" i="24" s="1"/>
  <c r="K300" i="24"/>
  <c r="M268" i="24"/>
  <c r="N268" i="24" s="1"/>
  <c r="K268" i="24"/>
  <c r="K236" i="24"/>
  <c r="M236" i="24"/>
  <c r="N236" i="24" s="1"/>
  <c r="Q236" i="24" s="1"/>
  <c r="K310" i="24"/>
  <c r="M310" i="24"/>
  <c r="N310" i="24" s="1"/>
  <c r="K294" i="24"/>
  <c r="M294" i="24"/>
  <c r="N294" i="24" s="1"/>
  <c r="K278" i="24"/>
  <c r="M278" i="24"/>
  <c r="N278" i="24" s="1"/>
  <c r="M262" i="24"/>
  <c r="N262" i="24" s="1"/>
  <c r="K262" i="24"/>
  <c r="M246" i="24"/>
  <c r="N246" i="24" s="1"/>
  <c r="K246" i="24"/>
  <c r="M230" i="24"/>
  <c r="N230" i="24" s="1"/>
  <c r="K230" i="24"/>
  <c r="M305" i="24"/>
  <c r="N305" i="24" s="1"/>
  <c r="K305" i="24"/>
  <c r="K269" i="24"/>
  <c r="M269" i="24"/>
  <c r="N269" i="24" s="1"/>
  <c r="K237" i="24"/>
  <c r="M237" i="24"/>
  <c r="N237" i="24" s="1"/>
  <c r="M308" i="24"/>
  <c r="N308" i="24" s="1"/>
  <c r="K308" i="24"/>
  <c r="K272" i="24"/>
  <c r="M272" i="24"/>
  <c r="N272" i="24" s="1"/>
  <c r="M240" i="24"/>
  <c r="N240" i="24" s="1"/>
  <c r="K240" i="24"/>
  <c r="K315" i="24"/>
  <c r="M315" i="24"/>
  <c r="N315" i="24" s="1"/>
  <c r="K299" i="24"/>
  <c r="M299" i="24"/>
  <c r="N299" i="24" s="1"/>
  <c r="K283" i="24"/>
  <c r="M283" i="24"/>
  <c r="N283" i="24" s="1"/>
  <c r="M267" i="24"/>
  <c r="N267" i="24" s="1"/>
  <c r="K267" i="24"/>
  <c r="K251" i="24"/>
  <c r="M251" i="24"/>
  <c r="N251" i="24" s="1"/>
  <c r="K235" i="24"/>
  <c r="M235" i="24"/>
  <c r="N235" i="24" s="1"/>
  <c r="M219" i="24"/>
  <c r="N219" i="24" s="1"/>
  <c r="K219" i="24"/>
  <c r="M289" i="24"/>
  <c r="N289" i="24" s="1"/>
  <c r="K289" i="24"/>
  <c r="K257" i="24"/>
  <c r="M257" i="24"/>
  <c r="N257" i="24" s="1"/>
  <c r="Q257" i="24" s="1"/>
  <c r="K225" i="24"/>
  <c r="M225" i="24"/>
  <c r="N225" i="24" s="1"/>
  <c r="K292" i="24"/>
  <c r="M292" i="24"/>
  <c r="N292" i="24" s="1"/>
  <c r="Q292" i="24" s="1"/>
  <c r="M260" i="24"/>
  <c r="N260" i="24" s="1"/>
  <c r="K260" i="24"/>
  <c r="K220" i="24"/>
  <c r="M220" i="24"/>
  <c r="N220" i="24" s="1"/>
  <c r="K306" i="24"/>
  <c r="M306" i="24"/>
  <c r="N306" i="24" s="1"/>
  <c r="M290" i="24"/>
  <c r="N290" i="24" s="1"/>
  <c r="Q290" i="24" s="1"/>
  <c r="K290" i="24"/>
  <c r="K274" i="24"/>
  <c r="M274" i="24"/>
  <c r="N274" i="24" s="1"/>
  <c r="M258" i="24"/>
  <c r="N258" i="24" s="1"/>
  <c r="K258" i="24"/>
  <c r="M242" i="24"/>
  <c r="N242" i="24" s="1"/>
  <c r="K242" i="24"/>
  <c r="M226" i="24"/>
  <c r="N226" i="24" s="1"/>
  <c r="Q226" i="24" s="1"/>
  <c r="K226" i="24"/>
  <c r="M293" i="24"/>
  <c r="N293" i="24" s="1"/>
  <c r="K293" i="24"/>
  <c r="M261" i="24"/>
  <c r="N261" i="24" s="1"/>
  <c r="K261" i="24"/>
  <c r="M229" i="24"/>
  <c r="N229" i="24" s="1"/>
  <c r="Q229" i="24" s="1"/>
  <c r="K229" i="24"/>
  <c r="M296" i="24"/>
  <c r="N296" i="24" s="1"/>
  <c r="K296" i="24"/>
  <c r="M264" i="24"/>
  <c r="N264" i="24" s="1"/>
  <c r="Q264" i="24" s="1"/>
  <c r="K264" i="24"/>
  <c r="K232" i="24"/>
  <c r="M232" i="24"/>
  <c r="N232" i="24" s="1"/>
  <c r="K311" i="24"/>
  <c r="M311" i="24"/>
  <c r="N311" i="24" s="1"/>
  <c r="K295" i="24"/>
  <c r="M295" i="24"/>
  <c r="N295" i="24" s="1"/>
  <c r="M279" i="24"/>
  <c r="N279" i="24" s="1"/>
  <c r="K279" i="24"/>
  <c r="K263" i="24"/>
  <c r="M263" i="24"/>
  <c r="N263" i="24" s="1"/>
  <c r="K247" i="24"/>
  <c r="M247" i="24"/>
  <c r="N247" i="24" s="1"/>
  <c r="M231" i="24"/>
  <c r="N231" i="24" s="1"/>
  <c r="K231" i="24"/>
  <c r="K309" i="24"/>
  <c r="M309" i="24"/>
  <c r="N309" i="24" s="1"/>
  <c r="M281" i="24"/>
  <c r="N281" i="24" s="1"/>
  <c r="K281" i="24"/>
  <c r="K249" i="24"/>
  <c r="M249" i="24"/>
  <c r="N249" i="24" s="1"/>
  <c r="K312" i="24"/>
  <c r="M312" i="24"/>
  <c r="N312" i="24" s="1"/>
  <c r="K284" i="24"/>
  <c r="M284" i="24"/>
  <c r="N284" i="24" s="1"/>
  <c r="K252" i="24"/>
  <c r="M252" i="24"/>
  <c r="N252" i="24" s="1"/>
  <c r="K217" i="24"/>
  <c r="M217" i="24"/>
  <c r="BB217" i="24" s="1"/>
  <c r="K302" i="24"/>
  <c r="M302" i="24"/>
  <c r="N302" i="24" s="1"/>
  <c r="M286" i="24"/>
  <c r="N286" i="24" s="1"/>
  <c r="K286" i="24"/>
  <c r="K270" i="24"/>
  <c r="M270" i="24"/>
  <c r="N270" i="24" s="1"/>
  <c r="M254" i="24"/>
  <c r="N254" i="24" s="1"/>
  <c r="K254" i="24"/>
  <c r="K238" i="24"/>
  <c r="M238" i="24"/>
  <c r="N238" i="24" s="1"/>
  <c r="M222" i="24"/>
  <c r="N222" i="24" s="1"/>
  <c r="K222" i="24"/>
  <c r="I98" i="23"/>
  <c r="K317" i="24"/>
  <c r="M317" i="24"/>
  <c r="N317" i="24" s="1"/>
  <c r="K285" i="24"/>
  <c r="M285" i="24"/>
  <c r="N285" i="24" s="1"/>
  <c r="M253" i="24"/>
  <c r="N253" i="24" s="1"/>
  <c r="K253" i="24"/>
  <c r="M221" i="24"/>
  <c r="N221" i="24" s="1"/>
  <c r="K221" i="24"/>
  <c r="M288" i="24"/>
  <c r="N288" i="24" s="1"/>
  <c r="K288" i="24"/>
  <c r="K256" i="24"/>
  <c r="M256" i="24"/>
  <c r="N256" i="24" s="1"/>
  <c r="Q256" i="24" s="1"/>
  <c r="K228" i="24"/>
  <c r="M228" i="24"/>
  <c r="N228" i="24" s="1"/>
  <c r="K307" i="24"/>
  <c r="M307" i="24"/>
  <c r="N307" i="24" s="1"/>
  <c r="M291" i="24"/>
  <c r="N291" i="24" s="1"/>
  <c r="K291" i="24"/>
  <c r="K275" i="24"/>
  <c r="M275" i="24"/>
  <c r="N275" i="24" s="1"/>
  <c r="Q275" i="24" s="1"/>
  <c r="M259" i="24"/>
  <c r="N259" i="24" s="1"/>
  <c r="K259" i="24"/>
  <c r="M243" i="24"/>
  <c r="N243" i="24" s="1"/>
  <c r="K243" i="24"/>
  <c r="M227" i="24"/>
  <c r="N227" i="24" s="1"/>
  <c r="K227" i="24"/>
  <c r="K301" i="24"/>
  <c r="M301" i="24"/>
  <c r="N301" i="24" s="1"/>
  <c r="Q301" i="24" s="1"/>
  <c r="M273" i="24"/>
  <c r="N273" i="24" s="1"/>
  <c r="Q273" i="24" s="1"/>
  <c r="K273" i="24"/>
  <c r="K241" i="24"/>
  <c r="M241" i="24"/>
  <c r="N241" i="24" s="1"/>
  <c r="K304" i="24"/>
  <c r="M304" i="24"/>
  <c r="N304" i="24" s="1"/>
  <c r="K276" i="24"/>
  <c r="M276" i="24"/>
  <c r="N276" i="24" s="1"/>
  <c r="M244" i="24"/>
  <c r="N244" i="24" s="1"/>
  <c r="K244" i="24"/>
  <c r="K314" i="24"/>
  <c r="M314" i="24"/>
  <c r="N314" i="24" s="1"/>
  <c r="M298" i="24"/>
  <c r="N298" i="24" s="1"/>
  <c r="K298" i="24"/>
  <c r="M282" i="24"/>
  <c r="N282" i="24" s="1"/>
  <c r="K282" i="24"/>
  <c r="K266" i="24"/>
  <c r="M266" i="24"/>
  <c r="N266" i="24" s="1"/>
  <c r="Q266" i="24" s="1"/>
  <c r="K250" i="24"/>
  <c r="M250" i="24"/>
  <c r="N250" i="24" s="1"/>
  <c r="K234" i="24"/>
  <c r="M234" i="24"/>
  <c r="N234" i="24" s="1"/>
  <c r="K218" i="24"/>
  <c r="M218" i="24"/>
  <c r="N218" i="24" s="1"/>
  <c r="H109" i="19"/>
  <c r="H110" i="19" s="1"/>
  <c r="F6" i="24"/>
  <c r="F10" i="24"/>
  <c r="F14" i="24"/>
  <c r="F18" i="24"/>
  <c r="F22" i="24"/>
  <c r="F26" i="24"/>
  <c r="F30" i="24"/>
  <c r="F34" i="24"/>
  <c r="F38" i="24"/>
  <c r="F42" i="24"/>
  <c r="F46" i="24"/>
  <c r="F50" i="24"/>
  <c r="F54" i="24"/>
  <c r="F58" i="24"/>
  <c r="F62" i="24"/>
  <c r="F66" i="24"/>
  <c r="F70" i="24"/>
  <c r="F74" i="24"/>
  <c r="F78" i="24"/>
  <c r="F82" i="24"/>
  <c r="F86" i="24"/>
  <c r="F90" i="24"/>
  <c r="F94" i="24"/>
  <c r="F98" i="24"/>
  <c r="F102" i="24"/>
  <c r="F41" i="24"/>
  <c r="F53" i="24"/>
  <c r="F69" i="24"/>
  <c r="F81" i="24"/>
  <c r="F93" i="24"/>
  <c r="F7" i="24"/>
  <c r="F11" i="24"/>
  <c r="F15" i="24"/>
  <c r="F19" i="24"/>
  <c r="F23" i="24"/>
  <c r="F27" i="24"/>
  <c r="F31" i="24"/>
  <c r="F35" i="24"/>
  <c r="F39" i="24"/>
  <c r="F43" i="24"/>
  <c r="F47" i="24"/>
  <c r="F51" i="24"/>
  <c r="F55" i="24"/>
  <c r="F59" i="24"/>
  <c r="F63" i="24"/>
  <c r="F67" i="24"/>
  <c r="F71" i="24"/>
  <c r="F75" i="24"/>
  <c r="F79" i="24"/>
  <c r="F83" i="24"/>
  <c r="F87" i="24"/>
  <c r="F91" i="24"/>
  <c r="F95" i="24"/>
  <c r="F99" i="24"/>
  <c r="F103" i="24"/>
  <c r="F37" i="24"/>
  <c r="F61" i="24"/>
  <c r="F73" i="24"/>
  <c r="F89" i="24"/>
  <c r="F101" i="24"/>
  <c r="F8" i="24"/>
  <c r="F12" i="24"/>
  <c r="F16" i="24"/>
  <c r="F20" i="24"/>
  <c r="F24" i="24"/>
  <c r="F28" i="24"/>
  <c r="F32" i="24"/>
  <c r="F36" i="24"/>
  <c r="F40" i="24"/>
  <c r="F44" i="24"/>
  <c r="F48" i="24"/>
  <c r="F52" i="24"/>
  <c r="F56" i="24"/>
  <c r="F60" i="24"/>
  <c r="F64" i="24"/>
  <c r="F68" i="24"/>
  <c r="F72" i="24"/>
  <c r="F76" i="24"/>
  <c r="F80" i="24"/>
  <c r="F84" i="24"/>
  <c r="F88" i="24"/>
  <c r="F92" i="24"/>
  <c r="F96" i="24"/>
  <c r="F100" i="24"/>
  <c r="F104" i="24"/>
  <c r="F9" i="24"/>
  <c r="F13" i="24"/>
  <c r="F17" i="24"/>
  <c r="F21" i="24"/>
  <c r="F25" i="24"/>
  <c r="F29" i="24"/>
  <c r="F33" i="24"/>
  <c r="F45" i="24"/>
  <c r="F49" i="24"/>
  <c r="F57" i="24"/>
  <c r="F65" i="24"/>
  <c r="F77" i="24"/>
  <c r="F85" i="24"/>
  <c r="F97" i="24"/>
  <c r="F105" i="24"/>
  <c r="F52" i="23"/>
  <c r="J52" i="23" s="1"/>
  <c r="F102" i="23"/>
  <c r="J102" i="23" s="1"/>
  <c r="J79" i="23"/>
  <c r="J7" i="23"/>
  <c r="J106" i="23"/>
  <c r="I87" i="23"/>
  <c r="I8" i="23"/>
  <c r="I106" i="23"/>
  <c r="J31" i="23"/>
  <c r="J99" i="23"/>
  <c r="J56" i="23"/>
  <c r="J27" i="23"/>
  <c r="J96" i="23"/>
  <c r="J86" i="23"/>
  <c r="J70" i="23"/>
  <c r="J38" i="23"/>
  <c r="J33" i="23"/>
  <c r="J69" i="23"/>
  <c r="J89" i="23"/>
  <c r="J44" i="23"/>
  <c r="F12" i="23"/>
  <c r="J12" i="23" s="1"/>
  <c r="J39" i="23"/>
  <c r="I76" i="23"/>
  <c r="J76" i="23"/>
  <c r="F24" i="23"/>
  <c r="G24" i="23" s="1"/>
  <c r="H24" i="23" s="1"/>
  <c r="J98" i="23"/>
  <c r="I50" i="23"/>
  <c r="F34" i="23"/>
  <c r="J34" i="23" s="1"/>
  <c r="F13" i="23"/>
  <c r="J13" i="23" s="1"/>
  <c r="F85" i="23"/>
  <c r="J85" i="23" s="1"/>
  <c r="F87" i="23"/>
  <c r="J87" i="23" s="1"/>
  <c r="I55" i="23"/>
  <c r="F26" i="23"/>
  <c r="J26" i="23" s="1"/>
  <c r="F61" i="23"/>
  <c r="J61" i="23" s="1"/>
  <c r="I90" i="23"/>
  <c r="J59" i="23"/>
  <c r="J36" i="23"/>
  <c r="J43" i="23"/>
  <c r="J11" i="23"/>
  <c r="J75" i="23"/>
  <c r="J23" i="23"/>
  <c r="J48" i="23"/>
  <c r="J16" i="23"/>
  <c r="J78" i="23"/>
  <c r="J62" i="23"/>
  <c r="J41" i="23"/>
  <c r="J9" i="23"/>
  <c r="N91" i="23"/>
  <c r="O91" i="23" s="1"/>
  <c r="P91" i="23" s="1"/>
  <c r="N47" i="23"/>
  <c r="O47" i="23" s="1"/>
  <c r="P47" i="23" s="1"/>
  <c r="N100" i="23"/>
  <c r="O100" i="23" s="1"/>
  <c r="P100" i="23" s="1"/>
  <c r="N79" i="23"/>
  <c r="O79" i="23" s="1"/>
  <c r="P79" i="23" s="1"/>
  <c r="N57" i="23"/>
  <c r="O57" i="23" s="1"/>
  <c r="P57" i="23" s="1"/>
  <c r="N28" i="23"/>
  <c r="O28" i="23" s="1"/>
  <c r="P28" i="23" s="1"/>
  <c r="N104" i="23"/>
  <c r="O104" i="23" s="1"/>
  <c r="P104" i="23" s="1"/>
  <c r="N83" i="23"/>
  <c r="O83" i="23" s="1"/>
  <c r="P83" i="23" s="1"/>
  <c r="N61" i="23"/>
  <c r="O61" i="23" s="1"/>
  <c r="P61" i="23" s="1"/>
  <c r="N35" i="23"/>
  <c r="O35" i="23" s="1"/>
  <c r="P35" i="23" s="1"/>
  <c r="N8" i="23"/>
  <c r="O8" i="23" s="1"/>
  <c r="P8" i="23" s="1"/>
  <c r="N64" i="23"/>
  <c r="O64" i="23" s="1"/>
  <c r="P64" i="23" s="1"/>
  <c r="N7" i="23"/>
  <c r="O7" i="23" s="1"/>
  <c r="P7" i="23" s="1"/>
  <c r="N87" i="23"/>
  <c r="O87" i="23" s="1"/>
  <c r="P87" i="23" s="1"/>
  <c r="N65" i="23"/>
  <c r="O65" i="23" s="1"/>
  <c r="P65" i="23" s="1"/>
  <c r="N40" i="23"/>
  <c r="O40" i="23" s="1"/>
  <c r="P40" i="23" s="1"/>
  <c r="N106" i="23"/>
  <c r="O106" i="23" s="1"/>
  <c r="P106" i="23" s="1"/>
  <c r="N90" i="23"/>
  <c r="O90" i="23" s="1"/>
  <c r="P90" i="23" s="1"/>
  <c r="N74" i="23"/>
  <c r="O74" i="23" s="1"/>
  <c r="P74" i="23" s="1"/>
  <c r="N58" i="23"/>
  <c r="O58" i="23" s="1"/>
  <c r="P58" i="23" s="1"/>
  <c r="N42" i="23"/>
  <c r="O42" i="23" s="1"/>
  <c r="P42" i="23" s="1"/>
  <c r="N26" i="23"/>
  <c r="O26" i="23" s="1"/>
  <c r="P26" i="23" s="1"/>
  <c r="N10" i="23"/>
  <c r="O10" i="23" s="1"/>
  <c r="P10" i="23" s="1"/>
  <c r="N37" i="23"/>
  <c r="O37" i="23" s="1"/>
  <c r="P37" i="23" s="1"/>
  <c r="N21" i="23"/>
  <c r="O21" i="23" s="1"/>
  <c r="P21" i="23" s="1"/>
  <c r="I57" i="23"/>
  <c r="F91" i="23"/>
  <c r="J91" i="23" s="1"/>
  <c r="I21" i="23"/>
  <c r="F21" i="23"/>
  <c r="J21" i="23" s="1"/>
  <c r="I40" i="23"/>
  <c r="I104" i="23"/>
  <c r="I42" i="23"/>
  <c r="N80" i="23"/>
  <c r="O80" i="23" s="1"/>
  <c r="P80" i="23" s="1"/>
  <c r="N31" i="23"/>
  <c r="O31" i="23" s="1"/>
  <c r="P31" i="23" s="1"/>
  <c r="N95" i="23"/>
  <c r="O95" i="23" s="1"/>
  <c r="P95" i="23" s="1"/>
  <c r="N73" i="23"/>
  <c r="O73" i="23" s="1"/>
  <c r="P73" i="23" s="1"/>
  <c r="N52" i="23"/>
  <c r="O52" i="23" s="1"/>
  <c r="P52" i="23" s="1"/>
  <c r="N20" i="23"/>
  <c r="O20" i="23" s="1"/>
  <c r="P20" i="23" s="1"/>
  <c r="N99" i="23"/>
  <c r="O99" i="23" s="1"/>
  <c r="P99" i="23" s="1"/>
  <c r="N77" i="23"/>
  <c r="O77" i="23" s="1"/>
  <c r="P77" i="23" s="1"/>
  <c r="N56" i="23"/>
  <c r="O56" i="23" s="1"/>
  <c r="P56" i="23" s="1"/>
  <c r="N27" i="23"/>
  <c r="O27" i="23" s="1"/>
  <c r="P27" i="23" s="1"/>
  <c r="N96" i="23"/>
  <c r="O96" i="23" s="1"/>
  <c r="P96" i="23" s="1"/>
  <c r="N53" i="23"/>
  <c r="O53" i="23" s="1"/>
  <c r="P53" i="23" s="1"/>
  <c r="N103" i="23"/>
  <c r="O103" i="23" s="1"/>
  <c r="P103" i="23" s="1"/>
  <c r="N81" i="23"/>
  <c r="O81" i="23" s="1"/>
  <c r="P81" i="23" s="1"/>
  <c r="N60" i="23"/>
  <c r="O60" i="23" s="1"/>
  <c r="P60" i="23" s="1"/>
  <c r="N32" i="23"/>
  <c r="O32" i="23" s="1"/>
  <c r="P32" i="23" s="1"/>
  <c r="N102" i="23"/>
  <c r="O102" i="23" s="1"/>
  <c r="P102" i="23" s="1"/>
  <c r="N86" i="23"/>
  <c r="O86" i="23" s="1"/>
  <c r="P86" i="23" s="1"/>
  <c r="N70" i="23"/>
  <c r="O70" i="23" s="1"/>
  <c r="P70" i="23" s="1"/>
  <c r="N54" i="23"/>
  <c r="O54" i="23" s="1"/>
  <c r="P54" i="23" s="1"/>
  <c r="N38" i="23"/>
  <c r="O38" i="23" s="1"/>
  <c r="P38" i="23" s="1"/>
  <c r="N22" i="23"/>
  <c r="O22" i="23" s="1"/>
  <c r="P22" i="23" s="1"/>
  <c r="N49" i="23"/>
  <c r="O49" i="23" s="1"/>
  <c r="P49" i="23" s="1"/>
  <c r="N33" i="23"/>
  <c r="O33" i="23" s="1"/>
  <c r="P33" i="23" s="1"/>
  <c r="N17" i="23"/>
  <c r="O17" i="23" s="1"/>
  <c r="P17" i="23" s="1"/>
  <c r="N69" i="23"/>
  <c r="O69" i="23" s="1"/>
  <c r="P69" i="23" s="1"/>
  <c r="N15" i="23"/>
  <c r="O15" i="23" s="1"/>
  <c r="P15" i="23" s="1"/>
  <c r="N89" i="23"/>
  <c r="O89" i="23" s="1"/>
  <c r="P89" i="23" s="1"/>
  <c r="N68" i="23"/>
  <c r="O68" i="23" s="1"/>
  <c r="P68" i="23" s="1"/>
  <c r="N44" i="23"/>
  <c r="O44" i="23" s="1"/>
  <c r="P44" i="23" s="1"/>
  <c r="N12" i="23"/>
  <c r="O12" i="23" s="1"/>
  <c r="P12" i="23" s="1"/>
  <c r="N93" i="23"/>
  <c r="O93" i="23" s="1"/>
  <c r="P93" i="23" s="1"/>
  <c r="N72" i="23"/>
  <c r="O72" i="23" s="1"/>
  <c r="P72" i="23" s="1"/>
  <c r="N51" i="23"/>
  <c r="O51" i="23" s="1"/>
  <c r="P51" i="23" s="1"/>
  <c r="N19" i="23"/>
  <c r="O19" i="23" s="1"/>
  <c r="P19" i="23" s="1"/>
  <c r="N85" i="23"/>
  <c r="O85" i="23" s="1"/>
  <c r="P85" i="23" s="1"/>
  <c r="N39" i="23"/>
  <c r="O39" i="23" s="1"/>
  <c r="P39" i="23" s="1"/>
  <c r="N97" i="23"/>
  <c r="O97" i="23" s="1"/>
  <c r="P97" i="23" s="1"/>
  <c r="N76" i="23"/>
  <c r="O76" i="23" s="1"/>
  <c r="P76" i="23" s="1"/>
  <c r="N55" i="23"/>
  <c r="O55" i="23" s="1"/>
  <c r="P55" i="23" s="1"/>
  <c r="N24" i="23"/>
  <c r="O24" i="23" s="1"/>
  <c r="P24" i="23" s="1"/>
  <c r="N98" i="23"/>
  <c r="O98" i="23" s="1"/>
  <c r="P98" i="23" s="1"/>
  <c r="N82" i="23"/>
  <c r="O82" i="23" s="1"/>
  <c r="P82" i="23" s="1"/>
  <c r="N66" i="23"/>
  <c r="O66" i="23" s="1"/>
  <c r="P66" i="23" s="1"/>
  <c r="N50" i="23"/>
  <c r="O50" i="23" s="1"/>
  <c r="P50" i="23" s="1"/>
  <c r="N34" i="23"/>
  <c r="O34" i="23" s="1"/>
  <c r="P34" i="23" s="1"/>
  <c r="N18" i="23"/>
  <c r="O18" i="23" s="1"/>
  <c r="P18" i="23" s="1"/>
  <c r="N45" i="23"/>
  <c r="O45" i="23" s="1"/>
  <c r="P45" i="23" s="1"/>
  <c r="N29" i="23"/>
  <c r="O29" i="23" s="1"/>
  <c r="P29" i="23" s="1"/>
  <c r="N13" i="23"/>
  <c r="O13" i="23" s="1"/>
  <c r="P13" i="23" s="1"/>
  <c r="I51" i="23"/>
  <c r="I83" i="23"/>
  <c r="I91" i="23"/>
  <c r="I44" i="23"/>
  <c r="F90" i="23"/>
  <c r="J90" i="23" s="1"/>
  <c r="F83" i="23"/>
  <c r="G83" i="23" s="1"/>
  <c r="H83" i="23" s="1"/>
  <c r="F42" i="23"/>
  <c r="G42" i="23" s="1"/>
  <c r="H42" i="23" s="1"/>
  <c r="F35" i="23"/>
  <c r="J35" i="23" s="1"/>
  <c r="I69" i="23"/>
  <c r="F50" i="23"/>
  <c r="J50" i="23" s="1"/>
  <c r="I72" i="23"/>
  <c r="I45" i="23"/>
  <c r="F65" i="23"/>
  <c r="G65" i="23" s="1"/>
  <c r="H65" i="23" s="1"/>
  <c r="F82" i="23"/>
  <c r="J82" i="23" s="1"/>
  <c r="N101" i="23"/>
  <c r="O101" i="23" s="1"/>
  <c r="P101" i="23" s="1"/>
  <c r="N59" i="23"/>
  <c r="O59" i="23" s="1"/>
  <c r="P59" i="23" s="1"/>
  <c r="N105" i="23"/>
  <c r="O105" i="23" s="1"/>
  <c r="P105" i="23" s="1"/>
  <c r="N84" i="23"/>
  <c r="O84" i="23" s="1"/>
  <c r="P84" i="23" s="1"/>
  <c r="N63" i="23"/>
  <c r="O63" i="23" s="1"/>
  <c r="P63" i="23" s="1"/>
  <c r="N36" i="23"/>
  <c r="O36" i="23" s="1"/>
  <c r="P36" i="23" s="1"/>
  <c r="N6" i="23"/>
  <c r="O6" i="23" s="1"/>
  <c r="P6" i="23" s="1"/>
  <c r="N88" i="23"/>
  <c r="O88" i="23" s="1"/>
  <c r="P88" i="23" s="1"/>
  <c r="N67" i="23"/>
  <c r="O67" i="23" s="1"/>
  <c r="P67" i="23" s="1"/>
  <c r="N43" i="23"/>
  <c r="O43" i="23" s="1"/>
  <c r="P43" i="23" s="1"/>
  <c r="N11" i="23"/>
  <c r="O11" i="23" s="1"/>
  <c r="P11" i="23" s="1"/>
  <c r="N75" i="23"/>
  <c r="O75" i="23" s="1"/>
  <c r="P75" i="23" s="1"/>
  <c r="N23" i="23"/>
  <c r="O23" i="23" s="1"/>
  <c r="P23" i="23" s="1"/>
  <c r="N92" i="23"/>
  <c r="O92" i="23" s="1"/>
  <c r="P92" i="23" s="1"/>
  <c r="N71" i="23"/>
  <c r="O71" i="23" s="1"/>
  <c r="P71" i="23" s="1"/>
  <c r="N48" i="23"/>
  <c r="O48" i="23" s="1"/>
  <c r="P48" i="23" s="1"/>
  <c r="N16" i="23"/>
  <c r="O16" i="23" s="1"/>
  <c r="P16" i="23" s="1"/>
  <c r="N94" i="23"/>
  <c r="O94" i="23" s="1"/>
  <c r="P94" i="23" s="1"/>
  <c r="N78" i="23"/>
  <c r="O78" i="23" s="1"/>
  <c r="P78" i="23" s="1"/>
  <c r="N62" i="23"/>
  <c r="O62" i="23" s="1"/>
  <c r="P62" i="23" s="1"/>
  <c r="N46" i="23"/>
  <c r="O46" i="23" s="1"/>
  <c r="P46" i="23" s="1"/>
  <c r="N30" i="23"/>
  <c r="O30" i="23" s="1"/>
  <c r="P30" i="23" s="1"/>
  <c r="N14" i="23"/>
  <c r="O14" i="23" s="1"/>
  <c r="P14" i="23" s="1"/>
  <c r="N41" i="23"/>
  <c r="O41" i="23" s="1"/>
  <c r="P41" i="23" s="1"/>
  <c r="N25" i="23"/>
  <c r="O25" i="23" s="1"/>
  <c r="P25" i="23" s="1"/>
  <c r="N9" i="23"/>
  <c r="O9" i="23" s="1"/>
  <c r="P9" i="23" s="1"/>
  <c r="I19" i="23"/>
  <c r="I28" i="23"/>
  <c r="I89" i="23"/>
  <c r="F64" i="23"/>
  <c r="J64" i="23" s="1"/>
  <c r="F37" i="23"/>
  <c r="J37" i="23" s="1"/>
  <c r="F74" i="23"/>
  <c r="G74" i="23" s="1"/>
  <c r="H74" i="23" s="1"/>
  <c r="F15" i="23"/>
  <c r="J15" i="23" s="1"/>
  <c r="I47" i="23"/>
  <c r="I97" i="23"/>
  <c r="F68" i="23"/>
  <c r="J68" i="23" s="1"/>
  <c r="F45" i="23"/>
  <c r="J45" i="23" s="1"/>
  <c r="F19" i="23"/>
  <c r="J19" i="23" s="1"/>
  <c r="F47" i="23"/>
  <c r="J47" i="23" s="1"/>
  <c r="I68" i="23"/>
  <c r="F40" i="23"/>
  <c r="J40" i="23" s="1"/>
  <c r="F104" i="23"/>
  <c r="J104" i="23" s="1"/>
  <c r="F18" i="23"/>
  <c r="J18" i="23" s="1"/>
  <c r="F57" i="23"/>
  <c r="G57" i="23" s="1"/>
  <c r="H57" i="23" s="1"/>
  <c r="I7" i="23"/>
  <c r="F28" i="23"/>
  <c r="J28" i="23" s="1"/>
  <c r="F97" i="23"/>
  <c r="G97" i="23" s="1"/>
  <c r="H97" i="23" s="1"/>
  <c r="F8" i="23"/>
  <c r="J8" i="23" s="1"/>
  <c r="I58" i="23"/>
  <c r="I82" i="23"/>
  <c r="I74" i="23"/>
  <c r="I37" i="23"/>
  <c r="I35" i="23"/>
  <c r="I85" i="23"/>
  <c r="I29" i="23"/>
  <c r="F58" i="23"/>
  <c r="G58" i="23" s="1"/>
  <c r="H58" i="23" s="1"/>
  <c r="F51" i="23"/>
  <c r="J51" i="23" s="1"/>
  <c r="I15" i="23"/>
  <c r="I79" i="23"/>
  <c r="I93" i="23"/>
  <c r="I64" i="23"/>
  <c r="F100" i="23"/>
  <c r="G100" i="23" s="1"/>
  <c r="H100" i="23" s="1"/>
  <c r="F10" i="23"/>
  <c r="J10" i="23" s="1"/>
  <c r="F66" i="23"/>
  <c r="G66" i="23" s="1"/>
  <c r="H66" i="23" s="1"/>
  <c r="F55" i="23"/>
  <c r="J55" i="23" s="1"/>
  <c r="I100" i="23"/>
  <c r="F72" i="23"/>
  <c r="G72" i="23" s="1"/>
  <c r="H72" i="23" s="1"/>
  <c r="I39" i="23"/>
  <c r="I24" i="23"/>
  <c r="F29" i="23"/>
  <c r="J29" i="23" s="1"/>
  <c r="F93" i="23"/>
  <c r="G93" i="23" s="1"/>
  <c r="H93" i="23" s="1"/>
  <c r="F95" i="23"/>
  <c r="G95" i="23" s="1"/>
  <c r="H95" i="23" s="1"/>
  <c r="I26" i="23"/>
  <c r="I66" i="23"/>
  <c r="I18" i="23"/>
  <c r="I34" i="23"/>
  <c r="G96" i="23"/>
  <c r="H96" i="23" s="1"/>
  <c r="G41" i="23"/>
  <c r="H41" i="23" s="1"/>
  <c r="G36" i="23"/>
  <c r="H36" i="23" s="1"/>
  <c r="G86" i="23"/>
  <c r="H86" i="23" s="1"/>
  <c r="G23" i="23"/>
  <c r="H23" i="23" s="1"/>
  <c r="G62" i="23"/>
  <c r="H62" i="23" s="1"/>
  <c r="G11" i="23"/>
  <c r="H11" i="23" s="1"/>
  <c r="G48" i="23"/>
  <c r="H48" i="23" s="1"/>
  <c r="G9" i="23"/>
  <c r="H9" i="23" s="1"/>
  <c r="G69" i="23"/>
  <c r="H69" i="23" s="1"/>
  <c r="G75" i="23"/>
  <c r="H75" i="23" s="1"/>
  <c r="G89" i="23"/>
  <c r="H89" i="23" s="1"/>
  <c r="G39" i="23"/>
  <c r="H39" i="23" s="1"/>
  <c r="G99" i="23"/>
  <c r="H99" i="23" s="1"/>
  <c r="G76" i="23"/>
  <c r="H76" i="23" s="1"/>
  <c r="G98" i="23"/>
  <c r="H98" i="23" s="1"/>
  <c r="G27" i="23"/>
  <c r="H27" i="23" s="1"/>
  <c r="G79" i="23"/>
  <c r="H79" i="23" s="1"/>
  <c r="G78" i="23"/>
  <c r="H78" i="23" s="1"/>
  <c r="G70" i="23"/>
  <c r="H70" i="23" s="1"/>
  <c r="G59" i="23"/>
  <c r="H59" i="23" s="1"/>
  <c r="G33" i="23"/>
  <c r="H33" i="23" s="1"/>
  <c r="G43" i="23"/>
  <c r="H43" i="23" s="1"/>
  <c r="G16" i="23"/>
  <c r="H16" i="23" s="1"/>
  <c r="G106" i="23"/>
  <c r="H106" i="23" s="1"/>
  <c r="G31" i="23"/>
  <c r="H31" i="23" s="1"/>
  <c r="G38" i="23"/>
  <c r="H38" i="23" s="1"/>
  <c r="G56" i="23"/>
  <c r="H56" i="23" s="1"/>
  <c r="G44" i="23"/>
  <c r="H44" i="23" s="1"/>
  <c r="G7" i="23"/>
  <c r="H7" i="23" s="1"/>
  <c r="B19" i="19"/>
  <c r="D19" i="19" s="1"/>
  <c r="I17" i="8"/>
  <c r="J17" i="8" s="1"/>
  <c r="D143" i="2" s="1"/>
  <c r="F231" i="2" s="1"/>
  <c r="G142" i="2"/>
  <c r="F142" i="2"/>
  <c r="E37" i="1" s="1"/>
  <c r="H230" i="2" s="1"/>
  <c r="C43" i="16" s="1"/>
  <c r="I18" i="8"/>
  <c r="J18" i="8" s="1"/>
  <c r="G234" i="2" s="1"/>
  <c r="A237" i="2"/>
  <c r="B237" i="2"/>
  <c r="B218" i="2"/>
  <c r="D32" i="16"/>
  <c r="R53" i="2"/>
  <c r="C34" i="16"/>
  <c r="B128" i="2"/>
  <c r="E30" i="1" s="1"/>
  <c r="K49" i="2"/>
  <c r="K50" i="2"/>
  <c r="D218" i="2"/>
  <c r="C157" i="8"/>
  <c r="C156" i="8" s="1"/>
  <c r="C155" i="8" s="1"/>
  <c r="C154" i="8" s="1"/>
  <c r="C153" i="8" s="1"/>
  <c r="C152" i="8" s="1"/>
  <c r="C151" i="8" s="1"/>
  <c r="C150" i="8" s="1"/>
  <c r="C149" i="8" s="1"/>
  <c r="C148" i="8" s="1"/>
  <c r="C147" i="8" s="1"/>
  <c r="C146" i="8" s="1"/>
  <c r="C145" i="8" s="1"/>
  <c r="C144" i="8" s="1"/>
  <c r="C143" i="8" s="1"/>
  <c r="C142" i="8" s="1"/>
  <c r="C141" i="8" s="1"/>
  <c r="C140" i="8" s="1"/>
  <c r="C139" i="8" s="1"/>
  <c r="C138" i="8" s="1"/>
  <c r="C137" i="8" s="1"/>
  <c r="C136" i="8" s="1"/>
  <c r="C135" i="8" s="1"/>
  <c r="C134" i="8" s="1"/>
  <c r="C133" i="8" s="1"/>
  <c r="C132" i="8" s="1"/>
  <c r="C131" i="8" s="1"/>
  <c r="C130" i="8" s="1"/>
  <c r="C129" i="8" s="1"/>
  <c r="C128" i="8" s="1"/>
  <c r="C127" i="8" s="1"/>
  <c r="C126" i="8" s="1"/>
  <c r="C125" i="8" s="1"/>
  <c r="C124" i="8" s="1"/>
  <c r="C123" i="8" s="1"/>
  <c r="C122" i="8" s="1"/>
  <c r="C121" i="8" s="1"/>
  <c r="C120" i="8" s="1"/>
  <c r="C119" i="8" s="1"/>
  <c r="C118" i="8" s="1"/>
  <c r="C117" i="8" s="1"/>
  <c r="C116" i="8" s="1"/>
  <c r="C115" i="8" s="1"/>
  <c r="C114" i="8" s="1"/>
  <c r="C113" i="8" s="1"/>
  <c r="C112" i="8" s="1"/>
  <c r="C111" i="8" s="1"/>
  <c r="C110" i="8" s="1"/>
  <c r="C109" i="8" s="1"/>
  <c r="C108" i="8" s="1"/>
  <c r="C107" i="8" s="1"/>
  <c r="C106" i="8" s="1"/>
  <c r="C105" i="8" s="1"/>
  <c r="C104" i="8" s="1"/>
  <c r="C103" i="8" s="1"/>
  <c r="C102" i="8" s="1"/>
  <c r="C101" i="8" s="1"/>
  <c r="C100" i="8" s="1"/>
  <c r="C99" i="8" s="1"/>
  <c r="C98" i="8" s="1"/>
  <c r="C97" i="8" s="1"/>
  <c r="C96" i="8" s="1"/>
  <c r="C95" i="8" s="1"/>
  <c r="C94" i="8" s="1"/>
  <c r="C93" i="8" s="1"/>
  <c r="C92" i="8" s="1"/>
  <c r="C91" i="8" s="1"/>
  <c r="C90" i="8" s="1"/>
  <c r="C89" i="8" s="1"/>
  <c r="C88" i="8" s="1"/>
  <c r="C87" i="8" s="1"/>
  <c r="C86" i="8" s="1"/>
  <c r="C85" i="8" s="1"/>
  <c r="C84" i="8" s="1"/>
  <c r="C83" i="8" s="1"/>
  <c r="C82" i="8" s="1"/>
  <c r="C81" i="8" s="1"/>
  <c r="C80" i="8" s="1"/>
  <c r="C79" i="8" s="1"/>
  <c r="C78" i="8" s="1"/>
  <c r="C77" i="8" s="1"/>
  <c r="C76" i="8" s="1"/>
  <c r="C75" i="8" s="1"/>
  <c r="C74" i="8" s="1"/>
  <c r="C73" i="8" s="1"/>
  <c r="C72" i="8" s="1"/>
  <c r="C71" i="8" s="1"/>
  <c r="C70" i="8" s="1"/>
  <c r="C69" i="8" s="1"/>
  <c r="C68" i="8" s="1"/>
  <c r="C67" i="8" s="1"/>
  <c r="C66" i="8" s="1"/>
  <c r="C65" i="8" s="1"/>
  <c r="C64" i="8" s="1"/>
  <c r="C63" i="8" s="1"/>
  <c r="C62" i="8" s="1"/>
  <c r="C61" i="8" s="1"/>
  <c r="C60" i="8" s="1"/>
  <c r="C59" i="8" s="1"/>
  <c r="C58" i="8" s="1"/>
  <c r="C57" i="8" s="1"/>
  <c r="C56" i="8" s="1"/>
  <c r="C55" i="8" s="1"/>
  <c r="C54" i="8" s="1"/>
  <c r="C53" i="8" s="1"/>
  <c r="C52" i="8" s="1"/>
  <c r="C51" i="8" s="1"/>
  <c r="C50" i="8" s="1"/>
  <c r="C49" i="8" s="1"/>
  <c r="C48" i="8" s="1"/>
  <c r="C47" i="8" s="1"/>
  <c r="C46" i="8" s="1"/>
  <c r="C45" i="8" s="1"/>
  <c r="C44" i="8" s="1"/>
  <c r="C43" i="8" s="1"/>
  <c r="C42" i="8" s="1"/>
  <c r="C41" i="8" s="1"/>
  <c r="C40" i="8" s="1"/>
  <c r="C39" i="8" s="1"/>
  <c r="C38" i="8" s="1"/>
  <c r="C37" i="8" s="1"/>
  <c r="C36" i="8" s="1"/>
  <c r="C35" i="8" s="1"/>
  <c r="C34" i="8" s="1"/>
  <c r="C33" i="8" s="1"/>
  <c r="C32" i="8" s="1"/>
  <c r="C31" i="8" s="1"/>
  <c r="C30" i="8" s="1"/>
  <c r="C29" i="8" s="1"/>
  <c r="C28" i="8" s="1"/>
  <c r="C27" i="8" s="1"/>
  <c r="C26" i="8" s="1"/>
  <c r="C25" i="8" s="1"/>
  <c r="C24" i="8" s="1"/>
  <c r="C23" i="8" s="1"/>
  <c r="C22" i="8" s="1"/>
  <c r="C21" i="8" s="1"/>
  <c r="C20" i="8" s="1"/>
  <c r="C19" i="8" s="1"/>
  <c r="C18" i="8" s="1"/>
  <c r="C17" i="8" s="1"/>
  <c r="C16" i="8" s="1"/>
  <c r="C15" i="8" s="1"/>
  <c r="C14" i="8" s="1"/>
  <c r="C13" i="8" s="1"/>
  <c r="C12" i="8" s="1"/>
  <c r="C11" i="8" s="1"/>
  <c r="C10" i="8" s="1"/>
  <c r="C9" i="8" s="1"/>
  <c r="C8" i="8" s="1"/>
  <c r="C7" i="8" s="1"/>
  <c r="C6" i="8" s="1"/>
  <c r="C4" i="8" s="1"/>
  <c r="B217" i="2"/>
  <c r="C218" i="2"/>
  <c r="B219" i="2"/>
  <c r="A220" i="2"/>
  <c r="B223" i="2"/>
  <c r="I11" i="19"/>
  <c r="I15" i="19"/>
  <c r="I19" i="19"/>
  <c r="I23" i="19"/>
  <c r="I27" i="19"/>
  <c r="I31" i="19"/>
  <c r="I35" i="19"/>
  <c r="I39" i="19"/>
  <c r="I43" i="19"/>
  <c r="I47" i="19"/>
  <c r="I51" i="19"/>
  <c r="I55" i="19"/>
  <c r="I59" i="19"/>
  <c r="I63" i="19"/>
  <c r="I67" i="19"/>
  <c r="I71" i="19"/>
  <c r="I75" i="19"/>
  <c r="I79" i="19"/>
  <c r="I83" i="19"/>
  <c r="I87" i="19"/>
  <c r="I91" i="19"/>
  <c r="I95" i="19"/>
  <c r="I99" i="19"/>
  <c r="I103" i="19"/>
  <c r="I13" i="19"/>
  <c r="I17" i="19"/>
  <c r="I21" i="19"/>
  <c r="I25" i="19"/>
  <c r="I29" i="19"/>
  <c r="I33" i="19"/>
  <c r="I37" i="19"/>
  <c r="I41" i="19"/>
  <c r="I45" i="19"/>
  <c r="I49" i="19"/>
  <c r="I53" i="19"/>
  <c r="I57" i="19"/>
  <c r="I61" i="19"/>
  <c r="I65" i="19"/>
  <c r="I69" i="19"/>
  <c r="I73" i="19"/>
  <c r="I77" i="19"/>
  <c r="I81" i="19"/>
  <c r="I85" i="19"/>
  <c r="I89" i="19"/>
  <c r="I93" i="19"/>
  <c r="I97" i="19"/>
  <c r="I101" i="19"/>
  <c r="I105" i="19"/>
  <c r="I10" i="19"/>
  <c r="I18" i="19"/>
  <c r="I26" i="19"/>
  <c r="I34" i="19"/>
  <c r="I42" i="19"/>
  <c r="I50" i="19"/>
  <c r="I58" i="19"/>
  <c r="I66" i="19"/>
  <c r="I74" i="19"/>
  <c r="I82" i="19"/>
  <c r="I90" i="19"/>
  <c r="I98" i="19"/>
  <c r="I106" i="19"/>
  <c r="I14" i="19"/>
  <c r="I22" i="19"/>
  <c r="I30" i="19"/>
  <c r="I38" i="19"/>
  <c r="I46" i="19"/>
  <c r="I54" i="19"/>
  <c r="I62" i="19"/>
  <c r="I70" i="19"/>
  <c r="I78" i="19"/>
  <c r="I86" i="19"/>
  <c r="I94" i="19"/>
  <c r="I102" i="19"/>
  <c r="I20" i="19"/>
  <c r="I36" i="19"/>
  <c r="I52" i="19"/>
  <c r="I68" i="19"/>
  <c r="I84" i="19"/>
  <c r="I100" i="19"/>
  <c r="I24" i="19"/>
  <c r="I40" i="19"/>
  <c r="I56" i="19"/>
  <c r="I72" i="19"/>
  <c r="I88" i="19"/>
  <c r="I104" i="19"/>
  <c r="I12" i="19"/>
  <c r="I28" i="19"/>
  <c r="I44" i="19"/>
  <c r="I60" i="19"/>
  <c r="I76" i="19"/>
  <c r="I92" i="19"/>
  <c r="I16" i="19"/>
  <c r="I32" i="19"/>
  <c r="I48" i="19"/>
  <c r="I64" i="19"/>
  <c r="I80" i="19"/>
  <c r="I96" i="19"/>
  <c r="D18" i="19"/>
  <c r="AX243" i="25" l="1"/>
  <c r="AX317" i="25"/>
  <c r="AX292" i="25"/>
  <c r="AX244" i="25"/>
  <c r="AX270" i="25"/>
  <c r="AX304" i="25"/>
  <c r="AX282" i="25"/>
  <c r="AX256" i="25"/>
  <c r="AX130" i="25"/>
  <c r="AX232" i="25"/>
  <c r="BB118" i="24"/>
  <c r="AX174" i="25"/>
  <c r="BB139" i="24"/>
  <c r="AX160" i="25"/>
  <c r="AX178" i="25"/>
  <c r="AX161" i="25"/>
  <c r="BB190" i="24"/>
  <c r="BB200" i="24"/>
  <c r="AX154" i="25"/>
  <c r="AX199" i="25"/>
  <c r="AX116" i="25"/>
  <c r="BB126" i="24"/>
  <c r="BB246" i="24"/>
  <c r="BB239" i="24"/>
  <c r="BB308" i="24"/>
  <c r="AX295" i="25"/>
  <c r="AX233" i="25"/>
  <c r="AX223" i="25"/>
  <c r="AX264" i="25"/>
  <c r="AX235" i="25"/>
  <c r="AX267" i="25"/>
  <c r="AX314" i="25"/>
  <c r="AX309" i="25"/>
  <c r="AX275" i="25"/>
  <c r="AX236" i="25"/>
  <c r="AX250" i="25"/>
  <c r="AX285" i="25"/>
  <c r="BB254" i="24"/>
  <c r="BB267" i="24"/>
  <c r="BB265" i="24"/>
  <c r="AX238" i="25"/>
  <c r="AX284" i="25"/>
  <c r="AX287" i="25"/>
  <c r="BB297" i="24"/>
  <c r="AX228" i="25"/>
  <c r="AW53" i="25"/>
  <c r="BB283" i="24"/>
  <c r="BB278" i="24"/>
  <c r="AW47" i="25"/>
  <c r="AW76" i="25"/>
  <c r="BB300" i="24"/>
  <c r="AX289" i="25"/>
  <c r="AW5" i="25"/>
  <c r="BB163" i="24"/>
  <c r="AX150" i="25"/>
  <c r="AX131" i="25"/>
  <c r="AX163" i="25"/>
  <c r="AX195" i="25"/>
  <c r="BB210" i="24"/>
  <c r="AX165" i="25"/>
  <c r="AX190" i="25"/>
  <c r="AX114" i="25"/>
  <c r="AX184" i="25"/>
  <c r="AX162" i="25"/>
  <c r="BB186" i="24"/>
  <c r="AX113" i="25"/>
  <c r="AX172" i="25"/>
  <c r="BB182" i="24"/>
  <c r="BB150" i="24"/>
  <c r="BB177" i="24"/>
  <c r="AX126" i="25"/>
  <c r="AX141" i="25"/>
  <c r="AX189" i="25"/>
  <c r="BB142" i="24"/>
  <c r="BB161" i="24"/>
  <c r="BB159" i="24"/>
  <c r="BB157" i="24"/>
  <c r="AX112" i="25"/>
  <c r="BB149" i="24"/>
  <c r="BB123" i="24"/>
  <c r="BB145" i="24"/>
  <c r="BB201" i="24"/>
  <c r="BB196" i="24"/>
  <c r="AX181" i="25"/>
  <c r="AX136" i="25"/>
  <c r="AX202" i="25"/>
  <c r="BB183" i="24"/>
  <c r="BB137" i="24"/>
  <c r="BB122" i="24"/>
  <c r="BB188" i="24"/>
  <c r="AX124" i="25"/>
  <c r="AX200" i="25"/>
  <c r="BB167" i="24"/>
  <c r="AX122" i="25"/>
  <c r="AX188" i="25"/>
  <c r="AX138" i="25"/>
  <c r="BB155" i="24"/>
  <c r="AX117" i="25"/>
  <c r="AX127" i="25"/>
  <c r="AX173" i="25"/>
  <c r="AX142" i="25"/>
  <c r="AX203" i="25"/>
  <c r="AX164" i="25"/>
  <c r="AX201" i="25"/>
  <c r="BB144" i="24"/>
  <c r="AX159" i="25"/>
  <c r="AW10" i="25"/>
  <c r="AW51" i="25"/>
  <c r="AW8" i="25"/>
  <c r="AW100" i="25"/>
  <c r="AW66" i="25"/>
  <c r="AW24" i="25"/>
  <c r="AW103" i="25"/>
  <c r="AW35" i="25"/>
  <c r="AW88" i="25"/>
  <c r="BB195" i="24"/>
  <c r="AW89" i="25"/>
  <c r="AW104" i="25"/>
  <c r="AW64" i="25"/>
  <c r="AW37" i="25"/>
  <c r="AW43" i="25"/>
  <c r="AW105" i="25"/>
  <c r="AW77" i="25"/>
  <c r="AW99" i="25"/>
  <c r="AW23" i="25"/>
  <c r="AW6" i="25"/>
  <c r="AW95" i="25"/>
  <c r="BB209" i="24"/>
  <c r="BB187" i="24"/>
  <c r="BB125" i="24"/>
  <c r="AX119" i="25"/>
  <c r="AX137" i="25"/>
  <c r="AX134" i="25"/>
  <c r="AX179" i="25"/>
  <c r="AX300" i="25"/>
  <c r="AX252" i="25"/>
  <c r="AX291" i="25"/>
  <c r="AW72" i="25"/>
  <c r="AW86" i="25"/>
  <c r="AW28" i="25"/>
  <c r="AW102" i="25"/>
  <c r="AW50" i="25"/>
  <c r="AW33" i="25"/>
  <c r="AW38" i="25"/>
  <c r="AW65" i="25"/>
  <c r="AW80" i="25"/>
  <c r="AW93" i="25"/>
  <c r="AW60" i="25"/>
  <c r="AW56" i="25"/>
  <c r="BB207" i="24"/>
  <c r="BB185" i="24"/>
  <c r="BB133" i="24"/>
  <c r="BB289" i="24"/>
  <c r="BB218" i="24"/>
  <c r="BB112" i="24"/>
  <c r="BB276" i="24"/>
  <c r="AX156" i="25"/>
  <c r="AX170" i="25"/>
  <c r="AX242" i="25"/>
  <c r="AX276" i="25"/>
  <c r="AX151" i="25"/>
  <c r="AX183" i="25"/>
  <c r="AX259" i="25"/>
  <c r="AX302" i="25"/>
  <c r="AW67" i="25"/>
  <c r="AW16" i="25"/>
  <c r="AW74" i="25"/>
  <c r="AW29" i="25"/>
  <c r="AW101" i="25"/>
  <c r="AW69" i="25"/>
  <c r="AW82" i="25"/>
  <c r="AW81" i="25"/>
  <c r="AW62" i="25"/>
  <c r="AW46" i="25"/>
  <c r="AW31" i="25"/>
  <c r="AW36" i="25"/>
  <c r="AW22" i="25"/>
  <c r="BB160" i="24"/>
  <c r="AX301" i="25"/>
  <c r="BB199" i="24"/>
  <c r="AX157" i="25"/>
  <c r="AX280" i="25"/>
  <c r="AX318" i="25"/>
  <c r="AW110" i="25"/>
  <c r="AW78" i="25"/>
  <c r="AW19" i="25"/>
  <c r="AW84" i="25"/>
  <c r="AW25" i="25"/>
  <c r="AW44" i="25"/>
  <c r="AW71" i="25"/>
  <c r="AW90" i="25"/>
  <c r="AW39" i="25"/>
  <c r="AW96" i="25"/>
  <c r="AW58" i="25"/>
  <c r="AW18" i="25"/>
  <c r="AW92" i="25"/>
  <c r="AW75" i="25"/>
  <c r="BB219" i="24"/>
  <c r="BB271" i="24"/>
  <c r="AX254" i="25"/>
  <c r="BB203" i="24"/>
  <c r="BB146" i="24"/>
  <c r="BB165" i="24"/>
  <c r="BB175" i="24"/>
  <c r="BB169" i="24"/>
  <c r="BB268" i="24"/>
  <c r="AX125" i="25"/>
  <c r="AX144" i="25"/>
  <c r="AX146" i="25"/>
  <c r="AX227" i="25"/>
  <c r="AX262" i="25"/>
  <c r="AX207" i="25"/>
  <c r="AX273" i="25"/>
  <c r="AX312" i="25"/>
  <c r="AW40" i="25"/>
  <c r="AW9" i="25"/>
  <c r="AW59" i="25"/>
  <c r="AW85" i="25"/>
  <c r="AW79" i="25"/>
  <c r="AW26" i="25"/>
  <c r="AW55" i="25"/>
  <c r="AW12" i="25"/>
  <c r="AW34" i="25"/>
  <c r="AW11" i="25"/>
  <c r="AW45" i="25"/>
  <c r="AW42" i="25"/>
  <c r="AW48" i="25"/>
  <c r="AX278" i="25"/>
  <c r="BB128" i="24"/>
  <c r="BB115" i="24"/>
  <c r="BB140" i="24"/>
  <c r="AX177" i="25"/>
  <c r="AX193" i="25"/>
  <c r="AX288" i="25"/>
  <c r="AX313" i="25"/>
  <c r="AW49" i="25"/>
  <c r="AW54" i="25"/>
  <c r="AW70" i="25"/>
  <c r="AW73" i="25"/>
  <c r="AW94" i="25"/>
  <c r="AW20" i="25"/>
  <c r="AW63" i="25"/>
  <c r="AW14" i="25"/>
  <c r="AW41" i="25"/>
  <c r="AW30" i="25"/>
  <c r="AW98" i="25"/>
  <c r="AW32" i="25"/>
  <c r="AW7" i="25"/>
  <c r="BB143" i="24"/>
  <c r="AX175" i="25"/>
  <c r="AX251" i="25"/>
  <c r="BB138" i="24"/>
  <c r="AX180" i="25"/>
  <c r="AX266" i="25"/>
  <c r="AX226" i="25"/>
  <c r="AX240" i="25"/>
  <c r="AW61" i="25"/>
  <c r="AW21" i="25"/>
  <c r="AW91" i="25"/>
  <c r="AW68" i="25"/>
  <c r="AW27" i="25"/>
  <c r="AW17" i="25"/>
  <c r="AW52" i="25"/>
  <c r="AW87" i="25"/>
  <c r="AW97" i="25"/>
  <c r="AW15" i="25"/>
  <c r="AW13" i="25"/>
  <c r="AW83" i="25"/>
  <c r="BB225" i="24"/>
  <c r="BB247" i="24"/>
  <c r="BB244" i="24"/>
  <c r="AX306" i="25"/>
  <c r="BB302" i="24"/>
  <c r="BB238" i="24"/>
  <c r="AX225" i="25"/>
  <c r="AX155" i="25"/>
  <c r="AX208" i="25"/>
  <c r="AX210" i="25"/>
  <c r="AX171" i="25"/>
  <c r="BB306" i="24"/>
  <c r="BB274" i="24"/>
  <c r="BB242" i="24"/>
  <c r="BB231" i="24"/>
  <c r="BB317" i="24"/>
  <c r="BB285" i="24"/>
  <c r="BB253" i="24"/>
  <c r="BB221" i="24"/>
  <c r="BB235" i="24"/>
  <c r="BB304" i="24"/>
  <c r="BB272" i="24"/>
  <c r="BB240" i="24"/>
  <c r="AX245" i="25"/>
  <c r="AX263" i="25"/>
  <c r="AX299" i="25"/>
  <c r="BB113" i="24"/>
  <c r="BB234" i="24"/>
  <c r="BB230" i="24"/>
  <c r="AX274" i="25"/>
  <c r="BB129" i="24"/>
  <c r="BB286" i="24"/>
  <c r="BB222" i="24"/>
  <c r="BB141" i="24"/>
  <c r="AX294" i="25"/>
  <c r="O220" i="25"/>
  <c r="S220" i="25" s="1"/>
  <c r="K220" i="25" s="1"/>
  <c r="AW220" i="25"/>
  <c r="O283" i="25"/>
  <c r="S283" i="25" s="1"/>
  <c r="K283" i="25" s="1"/>
  <c r="AW283" i="25"/>
  <c r="O247" i="25"/>
  <c r="Q247" i="25" s="1"/>
  <c r="AW247" i="25"/>
  <c r="BB251" i="24"/>
  <c r="BB270" i="24"/>
  <c r="BB313" i="24"/>
  <c r="BB281" i="24"/>
  <c r="BB249" i="24"/>
  <c r="BB303" i="24"/>
  <c r="BB223" i="24"/>
  <c r="BB236" i="24"/>
  <c r="AX220" i="25"/>
  <c r="AX271" i="25"/>
  <c r="AX246" i="25"/>
  <c r="O306" i="25"/>
  <c r="R306" i="25" s="1"/>
  <c r="AW306" i="25"/>
  <c r="O242" i="25"/>
  <c r="R242" i="25" s="1"/>
  <c r="AW242" i="25"/>
  <c r="O232" i="25"/>
  <c r="R232" i="25" s="1"/>
  <c r="AW232" i="25"/>
  <c r="O305" i="25"/>
  <c r="S305" i="25" s="1"/>
  <c r="K305" i="25" s="1"/>
  <c r="AW305" i="25"/>
  <c r="O241" i="25"/>
  <c r="S241" i="25" s="1"/>
  <c r="K241" i="25" s="1"/>
  <c r="AW241" i="25"/>
  <c r="O307" i="25"/>
  <c r="S307" i="25" s="1"/>
  <c r="K307" i="25" s="1"/>
  <c r="AW307" i="25"/>
  <c r="O253" i="25"/>
  <c r="Q253" i="25" s="1"/>
  <c r="AW253" i="25"/>
  <c r="O255" i="25"/>
  <c r="R255" i="25" s="1"/>
  <c r="AW255" i="25"/>
  <c r="O294" i="25"/>
  <c r="S294" i="25" s="1"/>
  <c r="K294" i="25" s="1"/>
  <c r="AW294" i="25"/>
  <c r="O230" i="25"/>
  <c r="R230" i="25" s="1"/>
  <c r="AW230" i="25"/>
  <c r="O265" i="25"/>
  <c r="R265" i="25" s="1"/>
  <c r="AW265" i="25"/>
  <c r="O269" i="25"/>
  <c r="S269" i="25" s="1"/>
  <c r="K269" i="25" s="1"/>
  <c r="AW269" i="25"/>
  <c r="O286" i="25"/>
  <c r="R286" i="25" s="1"/>
  <c r="AW286" i="25"/>
  <c r="O310" i="25"/>
  <c r="S310" i="25" s="1"/>
  <c r="K310" i="25" s="1"/>
  <c r="AW310" i="25"/>
  <c r="BB243" i="24"/>
  <c r="BB298" i="24"/>
  <c r="BB266" i="24"/>
  <c r="BB307" i="24"/>
  <c r="BB309" i="24"/>
  <c r="BB277" i="24"/>
  <c r="BB245" i="24"/>
  <c r="BB299" i="24"/>
  <c r="BB296" i="24"/>
  <c r="BB264" i="24"/>
  <c r="BB232" i="24"/>
  <c r="AX221" i="25"/>
  <c r="AX265" i="25"/>
  <c r="AX222" i="25"/>
  <c r="O267" i="25"/>
  <c r="R267" i="25" s="1"/>
  <c r="AW267" i="25"/>
  <c r="O277" i="25"/>
  <c r="S277" i="25" s="1"/>
  <c r="K277" i="25" s="1"/>
  <c r="AW277" i="25"/>
  <c r="O316" i="25"/>
  <c r="R316" i="25" s="1"/>
  <c r="AW316" i="25"/>
  <c r="O295" i="25"/>
  <c r="S295" i="25" s="1"/>
  <c r="K295" i="25" s="1"/>
  <c r="AW295" i="25"/>
  <c r="O231" i="25"/>
  <c r="S231" i="25" s="1"/>
  <c r="K231" i="25" s="1"/>
  <c r="AW231" i="25"/>
  <c r="O270" i="25"/>
  <c r="R270" i="25" s="1"/>
  <c r="AW270" i="25"/>
  <c r="O268" i="25"/>
  <c r="S268" i="25" s="1"/>
  <c r="K268" i="25" s="1"/>
  <c r="AW268" i="25"/>
  <c r="O243" i="25"/>
  <c r="R243" i="25" s="1"/>
  <c r="AW243" i="25"/>
  <c r="O282" i="25"/>
  <c r="R282" i="25" s="1"/>
  <c r="AW282" i="25"/>
  <c r="O317" i="25"/>
  <c r="R317" i="25" s="1"/>
  <c r="AW317" i="25"/>
  <c r="O292" i="25"/>
  <c r="R292" i="25" s="1"/>
  <c r="AW292" i="25"/>
  <c r="O256" i="25"/>
  <c r="R256" i="25" s="1"/>
  <c r="AW256" i="25"/>
  <c r="O304" i="25"/>
  <c r="R304" i="25" s="1"/>
  <c r="AW304" i="25"/>
  <c r="O244" i="25"/>
  <c r="Q244" i="25" s="1"/>
  <c r="AW244" i="25"/>
  <c r="BB257" i="24"/>
  <c r="O258" i="25"/>
  <c r="Q258" i="25" s="1"/>
  <c r="AW258" i="25"/>
  <c r="O257" i="25"/>
  <c r="R257" i="25" s="1"/>
  <c r="AW257" i="25"/>
  <c r="O246" i="25"/>
  <c r="S246" i="25" s="1"/>
  <c r="K246" i="25" s="1"/>
  <c r="AW246" i="25"/>
  <c r="BB315" i="24"/>
  <c r="O272" i="25"/>
  <c r="R272" i="25" s="1"/>
  <c r="AW272" i="25"/>
  <c r="O260" i="25"/>
  <c r="R260" i="25" s="1"/>
  <c r="AW260" i="25"/>
  <c r="AX218" i="25"/>
  <c r="AW218" i="25"/>
  <c r="BB227" i="24"/>
  <c r="BB294" i="24"/>
  <c r="BB262" i="24"/>
  <c r="BB291" i="24"/>
  <c r="BB305" i="24"/>
  <c r="BB273" i="24"/>
  <c r="BB241" i="24"/>
  <c r="BB287" i="24"/>
  <c r="BB292" i="24"/>
  <c r="BB260" i="24"/>
  <c r="BB228" i="24"/>
  <c r="AX224" i="25"/>
  <c r="AX196" i="25"/>
  <c r="AX186" i="25"/>
  <c r="AX234" i="25"/>
  <c r="AX296" i="25"/>
  <c r="AX281" i="25"/>
  <c r="AX286" i="25"/>
  <c r="O315" i="25"/>
  <c r="S315" i="25" s="1"/>
  <c r="K315" i="25" s="1"/>
  <c r="AW315" i="25"/>
  <c r="O261" i="25"/>
  <c r="Q261" i="25" s="1"/>
  <c r="AW261" i="25"/>
  <c r="O228" i="25"/>
  <c r="R228" i="25" s="1"/>
  <c r="AW228" i="25"/>
  <c r="O279" i="25"/>
  <c r="R279" i="25" s="1"/>
  <c r="AW279" i="25"/>
  <c r="O289" i="25"/>
  <c r="S289" i="25" s="1"/>
  <c r="K289" i="25" s="1"/>
  <c r="AW289" i="25"/>
  <c r="O225" i="25"/>
  <c r="S225" i="25" s="1"/>
  <c r="K225" i="25" s="1"/>
  <c r="AW225" i="25"/>
  <c r="O237" i="25"/>
  <c r="R237" i="25" s="1"/>
  <c r="AW237" i="25"/>
  <c r="O303" i="25"/>
  <c r="R303" i="25" s="1"/>
  <c r="AW303" i="25"/>
  <c r="O239" i="25"/>
  <c r="S239" i="25" s="1"/>
  <c r="K239" i="25" s="1"/>
  <c r="AW239" i="25"/>
  <c r="O249" i="25"/>
  <c r="Q249" i="25" s="1"/>
  <c r="AW249" i="25"/>
  <c r="BB310" i="24"/>
  <c r="O293" i="25"/>
  <c r="S293" i="25" s="1"/>
  <c r="K293" i="25" s="1"/>
  <c r="AW293" i="25"/>
  <c r="O271" i="25"/>
  <c r="R271" i="25" s="1"/>
  <c r="AW271" i="25"/>
  <c r="BB263" i="24"/>
  <c r="O229" i="25"/>
  <c r="R229" i="25" s="1"/>
  <c r="AW229" i="25"/>
  <c r="O296" i="25"/>
  <c r="R296" i="25" s="1"/>
  <c r="AW296" i="25"/>
  <c r="O234" i="25"/>
  <c r="Q234" i="25" s="1"/>
  <c r="AW234" i="25"/>
  <c r="O248" i="25"/>
  <c r="R248" i="25" s="1"/>
  <c r="AW248" i="25"/>
  <c r="BB166" i="24"/>
  <c r="BB290" i="24"/>
  <c r="BB258" i="24"/>
  <c r="BB226" i="24"/>
  <c r="BB279" i="24"/>
  <c r="BB301" i="24"/>
  <c r="BB269" i="24"/>
  <c r="BB237" i="24"/>
  <c r="BB275" i="24"/>
  <c r="BB288" i="24"/>
  <c r="BB256" i="24"/>
  <c r="BB224" i="24"/>
  <c r="AX297" i="25"/>
  <c r="AX253" i="25"/>
  <c r="AX230" i="25"/>
  <c r="AX247" i="25"/>
  <c r="O251" i="25"/>
  <c r="Q251" i="25" s="1"/>
  <c r="AW251" i="25"/>
  <c r="O290" i="25"/>
  <c r="R290" i="25" s="1"/>
  <c r="AW290" i="25"/>
  <c r="O226" i="25"/>
  <c r="S226" i="25" s="1"/>
  <c r="K226" i="25" s="1"/>
  <c r="AW226" i="25"/>
  <c r="O300" i="25"/>
  <c r="S300" i="25" s="1"/>
  <c r="K300" i="25" s="1"/>
  <c r="AW300" i="25"/>
  <c r="O318" i="25"/>
  <c r="S318" i="25" s="1"/>
  <c r="K318" i="25" s="1"/>
  <c r="AW318" i="25"/>
  <c r="O254" i="25"/>
  <c r="R254" i="25" s="1"/>
  <c r="AW254" i="25"/>
  <c r="O280" i="25"/>
  <c r="S280" i="25" s="1"/>
  <c r="K280" i="25" s="1"/>
  <c r="AW280" i="25"/>
  <c r="O291" i="25"/>
  <c r="S291" i="25" s="1"/>
  <c r="K291" i="25" s="1"/>
  <c r="AW291" i="25"/>
  <c r="O227" i="25"/>
  <c r="S227" i="25" s="1"/>
  <c r="K227" i="25" s="1"/>
  <c r="AW227" i="25"/>
  <c r="O266" i="25"/>
  <c r="R266" i="25" s="1"/>
  <c r="AW266" i="25"/>
  <c r="O301" i="25"/>
  <c r="Q301" i="25" s="1"/>
  <c r="AW301" i="25"/>
  <c r="O252" i="25"/>
  <c r="S252" i="25" s="1"/>
  <c r="K252" i="25" s="1"/>
  <c r="AW252" i="25"/>
  <c r="O278" i="25"/>
  <c r="R278" i="25" s="1"/>
  <c r="AW278" i="25"/>
  <c r="O313" i="25"/>
  <c r="R313" i="25" s="1"/>
  <c r="AW313" i="25"/>
  <c r="O288" i="25"/>
  <c r="S288" i="25" s="1"/>
  <c r="K288" i="25" s="1"/>
  <c r="AW288" i="25"/>
  <c r="O240" i="25"/>
  <c r="S240" i="25" s="1"/>
  <c r="K240" i="25" s="1"/>
  <c r="AW240" i="25"/>
  <c r="AZ9" i="25"/>
  <c r="AY9" i="25"/>
  <c r="AY73" i="25"/>
  <c r="AY34" i="25"/>
  <c r="AY98" i="25"/>
  <c r="AY40" i="25"/>
  <c r="AY43" i="25"/>
  <c r="AY21" i="25"/>
  <c r="AY62" i="25"/>
  <c r="AY48" i="25"/>
  <c r="AY52" i="25"/>
  <c r="AY29" i="25"/>
  <c r="AY38" i="25"/>
  <c r="AY95" i="25"/>
  <c r="AY17" i="25"/>
  <c r="AY81" i="25"/>
  <c r="AY42" i="25"/>
  <c r="AY5" i="25"/>
  <c r="AY64" i="25"/>
  <c r="AY51" i="25"/>
  <c r="AY78" i="25"/>
  <c r="AY80" i="25"/>
  <c r="AY54" i="25"/>
  <c r="AY37" i="25"/>
  <c r="AY86" i="25"/>
  <c r="AY25" i="25"/>
  <c r="AY89" i="25"/>
  <c r="AY50" i="25"/>
  <c r="AY102" i="25"/>
  <c r="AY72" i="25"/>
  <c r="AY59" i="25"/>
  <c r="AY61" i="25"/>
  <c r="AY94" i="25"/>
  <c r="AY104" i="25"/>
  <c r="AY68" i="25"/>
  <c r="AY53" i="25"/>
  <c r="AY70" i="25"/>
  <c r="AY32" i="25"/>
  <c r="AY33" i="25"/>
  <c r="AY97" i="25"/>
  <c r="AY58" i="25"/>
  <c r="AY23" i="25"/>
  <c r="AY96" i="25"/>
  <c r="AY67" i="25"/>
  <c r="AY15" i="25"/>
  <c r="AY12" i="25"/>
  <c r="AY76" i="25"/>
  <c r="AY77" i="25"/>
  <c r="AY69" i="25"/>
  <c r="AY41" i="25"/>
  <c r="AY105" i="25"/>
  <c r="AY66" i="25"/>
  <c r="AY39" i="25"/>
  <c r="AY11" i="25"/>
  <c r="AY75" i="25"/>
  <c r="AY93" i="25"/>
  <c r="AY47" i="25"/>
  <c r="AY20" i="25"/>
  <c r="AY84" i="25"/>
  <c r="AY85" i="25"/>
  <c r="AY7" i="25"/>
  <c r="AY88" i="25"/>
  <c r="AY60" i="25"/>
  <c r="AY49" i="25"/>
  <c r="AY10" i="25"/>
  <c r="AY74" i="25"/>
  <c r="AY63" i="25"/>
  <c r="AY19" i="25"/>
  <c r="AY83" i="25"/>
  <c r="AY14" i="25"/>
  <c r="AY71" i="25"/>
  <c r="AY28" i="25"/>
  <c r="AY92" i="25"/>
  <c r="AY101" i="25"/>
  <c r="AY31" i="25"/>
  <c r="AY90" i="25"/>
  <c r="AY35" i="25"/>
  <c r="AY46" i="25"/>
  <c r="AY44" i="25"/>
  <c r="AY79" i="25"/>
  <c r="AY16" i="25"/>
  <c r="AY57" i="25"/>
  <c r="AY18" i="25"/>
  <c r="AY82" i="25"/>
  <c r="AY87" i="25"/>
  <c r="AY27" i="25"/>
  <c r="AY91" i="25"/>
  <c r="AY22" i="25"/>
  <c r="AY103" i="25"/>
  <c r="AY36" i="25"/>
  <c r="AY100" i="25"/>
  <c r="AY6" i="25"/>
  <c r="AY55" i="25"/>
  <c r="AY65" i="25"/>
  <c r="AY26" i="25"/>
  <c r="AY8" i="25"/>
  <c r="AY99" i="25"/>
  <c r="AY24" i="25"/>
  <c r="AY13" i="25"/>
  <c r="AY30" i="25"/>
  <c r="AY45" i="25"/>
  <c r="AY56" i="25"/>
  <c r="O311" i="25"/>
  <c r="R311" i="25" s="1"/>
  <c r="AW311" i="25"/>
  <c r="O219" i="25"/>
  <c r="S219" i="25" s="1"/>
  <c r="K219" i="25" s="1"/>
  <c r="AW219" i="25"/>
  <c r="O222" i="25"/>
  <c r="S222" i="25" s="1"/>
  <c r="K222" i="25" s="1"/>
  <c r="AW222" i="25"/>
  <c r="BB233" i="24"/>
  <c r="BB316" i="24"/>
  <c r="BB284" i="24"/>
  <c r="BB220" i="24"/>
  <c r="AX248" i="25"/>
  <c r="O245" i="25"/>
  <c r="S245" i="25" s="1"/>
  <c r="K245" i="25" s="1"/>
  <c r="AW245" i="25"/>
  <c r="O224" i="25"/>
  <c r="R224" i="25" s="1"/>
  <c r="AW224" i="25"/>
  <c r="O302" i="25"/>
  <c r="S302" i="25" s="1"/>
  <c r="K302" i="25" s="1"/>
  <c r="AW302" i="25"/>
  <c r="O273" i="25"/>
  <c r="R273" i="25" s="1"/>
  <c r="AW273" i="25"/>
  <c r="O312" i="25"/>
  <c r="Q312" i="25" s="1"/>
  <c r="AW312" i="25"/>
  <c r="O276" i="25"/>
  <c r="Q276" i="25" s="1"/>
  <c r="AW276" i="25"/>
  <c r="O221" i="25"/>
  <c r="R221" i="25" s="1"/>
  <c r="AW221" i="25"/>
  <c r="O262" i="25"/>
  <c r="R262" i="25" s="1"/>
  <c r="AW262" i="25"/>
  <c r="O297" i="25"/>
  <c r="R297" i="25" s="1"/>
  <c r="AW297" i="25"/>
  <c r="O298" i="25"/>
  <c r="Q298" i="25" s="1"/>
  <c r="AW298" i="25"/>
  <c r="O281" i="25"/>
  <c r="R281" i="25" s="1"/>
  <c r="AW281" i="25"/>
  <c r="BB114" i="24"/>
  <c r="O259" i="25"/>
  <c r="R259" i="25" s="1"/>
  <c r="AW259" i="25"/>
  <c r="O308" i="25"/>
  <c r="Q308" i="25" s="1"/>
  <c r="AW308" i="25"/>
  <c r="BB311" i="24"/>
  <c r="BB252" i="24"/>
  <c r="BB295" i="24"/>
  <c r="BB202" i="24"/>
  <c r="BB314" i="24"/>
  <c r="BB282" i="24"/>
  <c r="BB250" i="24"/>
  <c r="BB255" i="24"/>
  <c r="BB197" i="24"/>
  <c r="BB293" i="24"/>
  <c r="BB261" i="24"/>
  <c r="BB229" i="24"/>
  <c r="BB135" i="24"/>
  <c r="BB259" i="24"/>
  <c r="BB312" i="24"/>
  <c r="BB280" i="24"/>
  <c r="BB248" i="24"/>
  <c r="AX229" i="25"/>
  <c r="AX272" i="25"/>
  <c r="O299" i="25"/>
  <c r="R299" i="25" s="1"/>
  <c r="AW299" i="25"/>
  <c r="O235" i="25"/>
  <c r="R235" i="25" s="1"/>
  <c r="AW235" i="25"/>
  <c r="O274" i="25"/>
  <c r="R274" i="25" s="1"/>
  <c r="AW274" i="25"/>
  <c r="O309" i="25"/>
  <c r="S309" i="25" s="1"/>
  <c r="K309" i="25" s="1"/>
  <c r="AW309" i="25"/>
  <c r="O284" i="25"/>
  <c r="S284" i="25" s="1"/>
  <c r="K284" i="25" s="1"/>
  <c r="AW284" i="25"/>
  <c r="O263" i="25"/>
  <c r="R263" i="25" s="1"/>
  <c r="AW263" i="25"/>
  <c r="O238" i="25"/>
  <c r="Q238" i="25" s="1"/>
  <c r="AW238" i="25"/>
  <c r="O275" i="25"/>
  <c r="S275" i="25" s="1"/>
  <c r="K275" i="25" s="1"/>
  <c r="AW275" i="25"/>
  <c r="O314" i="25"/>
  <c r="R314" i="25" s="1"/>
  <c r="AW314" i="25"/>
  <c r="O250" i="25"/>
  <c r="R250" i="25" s="1"/>
  <c r="AW250" i="25"/>
  <c r="O285" i="25"/>
  <c r="R285" i="25" s="1"/>
  <c r="AW285" i="25"/>
  <c r="O264" i="25"/>
  <c r="R264" i="25" s="1"/>
  <c r="AW264" i="25"/>
  <c r="O287" i="25"/>
  <c r="R287" i="25" s="1"/>
  <c r="AW287" i="25"/>
  <c r="O223" i="25"/>
  <c r="S223" i="25" s="1"/>
  <c r="K223" i="25" s="1"/>
  <c r="AW223" i="25"/>
  <c r="O233" i="25"/>
  <c r="S233" i="25" s="1"/>
  <c r="K233" i="25" s="1"/>
  <c r="AW233" i="25"/>
  <c r="O236" i="25"/>
  <c r="S236" i="25" s="1"/>
  <c r="K236" i="25" s="1"/>
  <c r="AW236" i="25"/>
  <c r="BB178" i="24"/>
  <c r="BB193" i="24"/>
  <c r="BB173" i="24"/>
  <c r="BB127" i="24"/>
  <c r="BB180" i="24"/>
  <c r="BB148" i="24"/>
  <c r="AX187" i="25"/>
  <c r="AX209" i="25"/>
  <c r="BB179" i="24"/>
  <c r="BB116" i="24"/>
  <c r="BB119" i="24"/>
  <c r="AX128" i="25"/>
  <c r="AX192" i="25"/>
  <c r="BB174" i="24"/>
  <c r="BB198" i="24"/>
  <c r="BB153" i="24"/>
  <c r="BB171" i="24"/>
  <c r="BB172" i="24"/>
  <c r="AX129" i="25"/>
  <c r="AX145" i="25"/>
  <c r="BB205" i="24"/>
  <c r="BB136" i="24"/>
  <c r="AX148" i="25"/>
  <c r="BB147" i="24"/>
  <c r="BB124" i="24"/>
  <c r="BB131" i="24"/>
  <c r="BB111" i="24"/>
  <c r="AX111" i="25"/>
  <c r="AX133" i="25"/>
  <c r="AX197" i="25"/>
  <c r="AX158" i="25"/>
  <c r="AX139" i="25"/>
  <c r="BB162" i="24"/>
  <c r="AX120" i="25"/>
  <c r="AX152" i="25"/>
  <c r="AX168" i="25"/>
  <c r="BB194" i="24"/>
  <c r="AX121" i="25"/>
  <c r="AX118" i="25"/>
  <c r="AX205" i="25"/>
  <c r="O191" i="25"/>
  <c r="R191" i="25" s="1"/>
  <c r="AW191" i="25"/>
  <c r="O194" i="25"/>
  <c r="R194" i="25" s="1"/>
  <c r="AW194" i="25"/>
  <c r="BB176" i="24"/>
  <c r="AX191" i="25"/>
  <c r="O196" i="25"/>
  <c r="Q196" i="25" s="1"/>
  <c r="AW196" i="25"/>
  <c r="O112" i="25"/>
  <c r="R112" i="25" s="1"/>
  <c r="AW112" i="25"/>
  <c r="O209" i="25"/>
  <c r="Q209" i="25" s="1"/>
  <c r="AW209" i="25"/>
  <c r="O136" i="25"/>
  <c r="R136" i="25" s="1"/>
  <c r="AW136" i="25"/>
  <c r="O149" i="25"/>
  <c r="R149" i="25" s="1"/>
  <c r="AW149" i="25"/>
  <c r="O203" i="25"/>
  <c r="Q203" i="25" s="1"/>
  <c r="AW203" i="25"/>
  <c r="O176" i="25"/>
  <c r="R176" i="25" s="1"/>
  <c r="AW176" i="25"/>
  <c r="O202" i="25"/>
  <c r="R202" i="25" s="1"/>
  <c r="AW202" i="25"/>
  <c r="O122" i="25"/>
  <c r="R122" i="25" s="1"/>
  <c r="AW122" i="25"/>
  <c r="O173" i="25"/>
  <c r="R173" i="25" s="1"/>
  <c r="AW173" i="25"/>
  <c r="O127" i="25"/>
  <c r="Q127" i="25" s="1"/>
  <c r="AW127" i="25"/>
  <c r="O181" i="25"/>
  <c r="Q181" i="25" s="1"/>
  <c r="AW181" i="25"/>
  <c r="O117" i="25"/>
  <c r="Q117" i="25" s="1"/>
  <c r="AW117" i="25"/>
  <c r="O188" i="25"/>
  <c r="Q188" i="25" s="1"/>
  <c r="AW188" i="25"/>
  <c r="O124" i="25"/>
  <c r="Q124" i="25" s="1"/>
  <c r="AW124" i="25"/>
  <c r="O142" i="25"/>
  <c r="Q142" i="25" s="1"/>
  <c r="AW142" i="25"/>
  <c r="O200" i="25"/>
  <c r="Q200" i="25" s="1"/>
  <c r="AW200" i="25"/>
  <c r="O138" i="25"/>
  <c r="R138" i="25" s="1"/>
  <c r="AW138" i="25"/>
  <c r="BB204" i="24"/>
  <c r="O164" i="25"/>
  <c r="Q164" i="25" s="1"/>
  <c r="AW164" i="25"/>
  <c r="O182" i="25"/>
  <c r="R182" i="25" s="1"/>
  <c r="AW182" i="25"/>
  <c r="O201" i="25"/>
  <c r="R201" i="25" s="1"/>
  <c r="AW201" i="25"/>
  <c r="O159" i="25"/>
  <c r="R159" i="25" s="1"/>
  <c r="AW159" i="25"/>
  <c r="O130" i="25"/>
  <c r="Q130" i="25" s="1"/>
  <c r="AW130" i="25"/>
  <c r="AX135" i="25"/>
  <c r="O132" i="25"/>
  <c r="Q132" i="25" s="1"/>
  <c r="AW132" i="25"/>
  <c r="O169" i="25"/>
  <c r="Q169" i="25" s="1"/>
  <c r="AW169" i="25"/>
  <c r="O198" i="25"/>
  <c r="R198" i="25" s="1"/>
  <c r="AW198" i="25"/>
  <c r="O167" i="25"/>
  <c r="R167" i="25" s="1"/>
  <c r="AW167" i="25"/>
  <c r="O147" i="25"/>
  <c r="R147" i="25" s="1"/>
  <c r="AW147" i="25"/>
  <c r="O111" i="25"/>
  <c r="R111" i="25" s="1"/>
  <c r="AW111" i="25"/>
  <c r="O114" i="25"/>
  <c r="Q114" i="25" s="1"/>
  <c r="AW114" i="25"/>
  <c r="O187" i="25"/>
  <c r="Q187" i="25" s="1"/>
  <c r="AW187" i="25"/>
  <c r="O150" i="25"/>
  <c r="Q150" i="25" s="1"/>
  <c r="AW150" i="25"/>
  <c r="O163" i="25"/>
  <c r="Q163" i="25" s="1"/>
  <c r="AW163" i="25"/>
  <c r="O141" i="25"/>
  <c r="R141" i="25" s="1"/>
  <c r="AW141" i="25"/>
  <c r="O171" i="25"/>
  <c r="R171" i="25" s="1"/>
  <c r="AW171" i="25"/>
  <c r="O162" i="25"/>
  <c r="Q162" i="25" s="1"/>
  <c r="AW162" i="25"/>
  <c r="O155" i="25"/>
  <c r="Q155" i="25" s="1"/>
  <c r="AW155" i="25"/>
  <c r="O165" i="25"/>
  <c r="R165" i="25" s="1"/>
  <c r="AW165" i="25"/>
  <c r="O195" i="25"/>
  <c r="Q195" i="25" s="1"/>
  <c r="AW195" i="25"/>
  <c r="O172" i="25"/>
  <c r="R172" i="25" s="1"/>
  <c r="AW172" i="25"/>
  <c r="O190" i="25"/>
  <c r="Q190" i="25" s="1"/>
  <c r="AW190" i="25"/>
  <c r="O126" i="25"/>
  <c r="R126" i="25" s="1"/>
  <c r="AW126" i="25"/>
  <c r="O113" i="25"/>
  <c r="Q113" i="25" s="1"/>
  <c r="AW113" i="25"/>
  <c r="O184" i="25"/>
  <c r="Q184" i="25" s="1"/>
  <c r="AW184" i="25"/>
  <c r="O189" i="25"/>
  <c r="R189" i="25" s="1"/>
  <c r="AW189" i="25"/>
  <c r="O131" i="25"/>
  <c r="Q131" i="25" s="1"/>
  <c r="AW131" i="25"/>
  <c r="O135" i="25"/>
  <c r="R135" i="25" s="1"/>
  <c r="AW135" i="25"/>
  <c r="BB121" i="24"/>
  <c r="BB151" i="24"/>
  <c r="BB130" i="24"/>
  <c r="AX149" i="25"/>
  <c r="O179" i="25"/>
  <c r="Q179" i="25" s="1"/>
  <c r="AW179" i="25"/>
  <c r="O137" i="25"/>
  <c r="R137" i="25" s="1"/>
  <c r="AW137" i="25"/>
  <c r="O134" i="25"/>
  <c r="Q134" i="25" s="1"/>
  <c r="AW134" i="25"/>
  <c r="O119" i="25"/>
  <c r="Q119" i="25" s="1"/>
  <c r="AW119" i="25"/>
  <c r="O175" i="25"/>
  <c r="R175" i="25" s="1"/>
  <c r="AW175" i="25"/>
  <c r="O193" i="25"/>
  <c r="Q193" i="25" s="1"/>
  <c r="AW193" i="25"/>
  <c r="O156" i="25"/>
  <c r="R156" i="25" s="1"/>
  <c r="AW156" i="25"/>
  <c r="O115" i="25"/>
  <c r="R115" i="25" s="1"/>
  <c r="AW115" i="25"/>
  <c r="BB120" i="24"/>
  <c r="AX115" i="25"/>
  <c r="AX194" i="25"/>
  <c r="O186" i="25"/>
  <c r="Q186" i="25" s="1"/>
  <c r="AW186" i="25"/>
  <c r="O144" i="25"/>
  <c r="Q144" i="25" s="1"/>
  <c r="AW144" i="25"/>
  <c r="O153" i="25"/>
  <c r="Q153" i="25" s="1"/>
  <c r="AW153" i="25"/>
  <c r="O166" i="25"/>
  <c r="Q166" i="25" s="1"/>
  <c r="AW166" i="25"/>
  <c r="O129" i="25"/>
  <c r="Q129" i="25" s="1"/>
  <c r="AW129" i="25"/>
  <c r="O210" i="25"/>
  <c r="Q210" i="25" s="1"/>
  <c r="AW210" i="25"/>
  <c r="O143" i="25"/>
  <c r="Q143" i="25" s="1"/>
  <c r="AW143" i="25"/>
  <c r="O208" i="25"/>
  <c r="Q208" i="25" s="1"/>
  <c r="AW208" i="25"/>
  <c r="O170" i="25"/>
  <c r="R170" i="25" s="1"/>
  <c r="AW170" i="25"/>
  <c r="O125" i="25"/>
  <c r="Q125" i="25" s="1"/>
  <c r="AW125" i="25"/>
  <c r="O180" i="25"/>
  <c r="R180" i="25" s="1"/>
  <c r="AW180" i="25"/>
  <c r="O146" i="25"/>
  <c r="Q146" i="25" s="1"/>
  <c r="AW146" i="25"/>
  <c r="O151" i="25"/>
  <c r="R151" i="25" s="1"/>
  <c r="AW151" i="25"/>
  <c r="O207" i="25"/>
  <c r="Q207" i="25" s="1"/>
  <c r="AW207" i="25"/>
  <c r="O177" i="25"/>
  <c r="R177" i="25" s="1"/>
  <c r="AW177" i="25"/>
  <c r="O183" i="25"/>
  <c r="Q183" i="25" s="1"/>
  <c r="AW183" i="25"/>
  <c r="O157" i="25"/>
  <c r="R157" i="25" s="1"/>
  <c r="AW157" i="25"/>
  <c r="BB189" i="24"/>
  <c r="BB156" i="24"/>
  <c r="AX153" i="25"/>
  <c r="AX169" i="25"/>
  <c r="AX166" i="25"/>
  <c r="AX198" i="25"/>
  <c r="AX147" i="25"/>
  <c r="O154" i="25"/>
  <c r="Q154" i="25" s="1"/>
  <c r="AW154" i="25"/>
  <c r="O116" i="25"/>
  <c r="Q116" i="25" s="1"/>
  <c r="AW116" i="25"/>
  <c r="O160" i="25"/>
  <c r="R160" i="25" s="1"/>
  <c r="AW160" i="25"/>
  <c r="O185" i="25"/>
  <c r="Q185" i="25" s="1"/>
  <c r="AW185" i="25"/>
  <c r="O174" i="25"/>
  <c r="Q174" i="25" s="1"/>
  <c r="AW174" i="25"/>
  <c r="O178" i="25"/>
  <c r="Q178" i="25" s="1"/>
  <c r="AW178" i="25"/>
  <c r="O161" i="25"/>
  <c r="Q161" i="25" s="1"/>
  <c r="AW161" i="25"/>
  <c r="O199" i="25"/>
  <c r="R199" i="25" s="1"/>
  <c r="AW199" i="25"/>
  <c r="BB117" i="24"/>
  <c r="O123" i="25"/>
  <c r="R123" i="25" s="1"/>
  <c r="AW123" i="25"/>
  <c r="O206" i="25"/>
  <c r="Q206" i="25" s="1"/>
  <c r="AW206" i="25"/>
  <c r="O192" i="25"/>
  <c r="R192" i="25" s="1"/>
  <c r="AW192" i="25"/>
  <c r="O120" i="25"/>
  <c r="R120" i="25" s="1"/>
  <c r="AW120" i="25"/>
  <c r="O168" i="25"/>
  <c r="Q168" i="25" s="1"/>
  <c r="AW168" i="25"/>
  <c r="O140" i="25"/>
  <c r="R140" i="25" s="1"/>
  <c r="AW140" i="25"/>
  <c r="O118" i="25"/>
  <c r="R118" i="25" s="1"/>
  <c r="AW118" i="25"/>
  <c r="O121" i="25"/>
  <c r="Q121" i="25" s="1"/>
  <c r="AW121" i="25"/>
  <c r="O128" i="25"/>
  <c r="Q128" i="25" s="1"/>
  <c r="AW128" i="25"/>
  <c r="O205" i="25"/>
  <c r="Q205" i="25" s="1"/>
  <c r="AW205" i="25"/>
  <c r="O148" i="25"/>
  <c r="Q148" i="25" s="1"/>
  <c r="AW148" i="25"/>
  <c r="O197" i="25"/>
  <c r="Q197" i="25" s="1"/>
  <c r="AW197" i="25"/>
  <c r="O133" i="25"/>
  <c r="R133" i="25" s="1"/>
  <c r="AW133" i="25"/>
  <c r="O204" i="25"/>
  <c r="R204" i="25" s="1"/>
  <c r="AW204" i="25"/>
  <c r="O158" i="25"/>
  <c r="R158" i="25" s="1"/>
  <c r="AW158" i="25"/>
  <c r="O145" i="25"/>
  <c r="R145" i="25" s="1"/>
  <c r="AW145" i="25"/>
  <c r="O139" i="25"/>
  <c r="R139" i="25" s="1"/>
  <c r="AW139" i="25"/>
  <c r="O152" i="25"/>
  <c r="Q152" i="25" s="1"/>
  <c r="AW152" i="25"/>
  <c r="Q311" i="24"/>
  <c r="AZ59" i="25"/>
  <c r="AZ85" i="25"/>
  <c r="AZ66" i="25"/>
  <c r="AZ38" i="25"/>
  <c r="AZ41" i="25"/>
  <c r="AZ103" i="25"/>
  <c r="AZ64" i="25"/>
  <c r="AZ23" i="25"/>
  <c r="AZ22" i="25"/>
  <c r="AZ48" i="25"/>
  <c r="AZ7" i="25"/>
  <c r="AZ88" i="25"/>
  <c r="AZ53" i="25"/>
  <c r="AZ16" i="25"/>
  <c r="AZ54" i="25"/>
  <c r="BA253" i="24"/>
  <c r="BA232" i="24"/>
  <c r="BA311" i="24"/>
  <c r="BA279" i="24"/>
  <c r="BA283" i="24"/>
  <c r="BA273" i="24"/>
  <c r="BA271" i="24"/>
  <c r="BA308" i="24"/>
  <c r="BA286" i="24"/>
  <c r="BA269" i="24"/>
  <c r="BA291" i="24"/>
  <c r="BA248" i="24"/>
  <c r="AX241" i="25"/>
  <c r="AX257" i="25"/>
  <c r="AX255" i="25"/>
  <c r="AX298" i="25"/>
  <c r="AX305" i="25"/>
  <c r="AZ89" i="25"/>
  <c r="AZ5" i="25"/>
  <c r="AZ69" i="25"/>
  <c r="AZ82" i="25"/>
  <c r="AZ12" i="25"/>
  <c r="AZ8" i="25"/>
  <c r="AZ58" i="25"/>
  <c r="AZ31" i="25"/>
  <c r="AZ36" i="25"/>
  <c r="AZ102" i="25"/>
  <c r="AZ75" i="25"/>
  <c r="AZ24" i="25"/>
  <c r="AZ67" i="25"/>
  <c r="BA270" i="24"/>
  <c r="BA317" i="24"/>
  <c r="BA288" i="24"/>
  <c r="BA301" i="24"/>
  <c r="BA280" i="24"/>
  <c r="BA295" i="24"/>
  <c r="BA263" i="24"/>
  <c r="BA294" i="24"/>
  <c r="BA243" i="24"/>
  <c r="BA265" i="24"/>
  <c r="BA235" i="24"/>
  <c r="BA244" i="24"/>
  <c r="BA258" i="24"/>
  <c r="BA227" i="24"/>
  <c r="BA234" i="24"/>
  <c r="AZ29" i="25"/>
  <c r="AZ20" i="25"/>
  <c r="AZ104" i="25"/>
  <c r="AZ96" i="25"/>
  <c r="AZ100" i="25"/>
  <c r="AZ98" i="25"/>
  <c r="AZ32" i="25"/>
  <c r="AZ11" i="25"/>
  <c r="AZ94" i="25"/>
  <c r="AZ52" i="25"/>
  <c r="AZ49" i="25"/>
  <c r="BA261" i="24"/>
  <c r="BA297" i="24"/>
  <c r="BA245" i="24"/>
  <c r="BA224" i="24"/>
  <c r="BA237" i="24"/>
  <c r="BA238" i="24"/>
  <c r="BA309" i="24"/>
  <c r="BA230" i="24"/>
  <c r="BA239" i="24"/>
  <c r="BA313" i="24"/>
  <c r="AX261" i="25"/>
  <c r="AX307" i="25"/>
  <c r="T110" i="25"/>
  <c r="U110" i="25" s="1"/>
  <c r="AX110" i="25"/>
  <c r="AZ70" i="25"/>
  <c r="AZ73" i="25"/>
  <c r="AZ51" i="25"/>
  <c r="AZ35" i="25"/>
  <c r="AZ81" i="25"/>
  <c r="AZ97" i="25"/>
  <c r="AZ80" i="25"/>
  <c r="AZ105" i="25"/>
  <c r="B101" i="2" s="1"/>
  <c r="AZ99" i="25"/>
  <c r="AZ79" i="25"/>
  <c r="AZ65" i="25"/>
  <c r="AZ62" i="25"/>
  <c r="AZ10" i="25"/>
  <c r="AZ19" i="25"/>
  <c r="BA292" i="24"/>
  <c r="BA262" i="24"/>
  <c r="BA290" i="24"/>
  <c r="BA233" i="24"/>
  <c r="BA315" i="24"/>
  <c r="BA260" i="24"/>
  <c r="BA299" i="24"/>
  <c r="BA316" i="24"/>
  <c r="BA241" i="24"/>
  <c r="BA277" i="24"/>
  <c r="BA110" i="24"/>
  <c r="BA256" i="24"/>
  <c r="BA278" i="24"/>
  <c r="BA249" i="24"/>
  <c r="AZ37" i="25"/>
  <c r="AZ71" i="25"/>
  <c r="AZ90" i="25"/>
  <c r="AZ14" i="25"/>
  <c r="AZ21" i="25"/>
  <c r="AZ6" i="25"/>
  <c r="AZ18" i="25"/>
  <c r="AZ92" i="25"/>
  <c r="AZ101" i="25"/>
  <c r="AZ15" i="25"/>
  <c r="AZ84" i="25"/>
  <c r="AZ78" i="25"/>
  <c r="BA218" i="24"/>
  <c r="BA228" i="24"/>
  <c r="BA289" i="24"/>
  <c r="BA307" i="24"/>
  <c r="BA281" i="24"/>
  <c r="BA255" i="24"/>
  <c r="BA275" i="24"/>
  <c r="BA252" i="24"/>
  <c r="BA282" i="24"/>
  <c r="BA250" i="24"/>
  <c r="AX249" i="25"/>
  <c r="AX239" i="25"/>
  <c r="AX315" i="25"/>
  <c r="AZ25" i="25"/>
  <c r="AZ17" i="25"/>
  <c r="AZ43" i="25"/>
  <c r="AZ34" i="25"/>
  <c r="AZ63" i="25"/>
  <c r="AZ13" i="25"/>
  <c r="AZ83" i="25"/>
  <c r="AZ44" i="25"/>
  <c r="AZ74" i="25"/>
  <c r="AZ47" i="25"/>
  <c r="AZ61" i="25"/>
  <c r="AZ72" i="25"/>
  <c r="BA226" i="24"/>
  <c r="BA284" i="24"/>
  <c r="BA259" i="24"/>
  <c r="BA303" i="24"/>
  <c r="BA225" i="24"/>
  <c r="BA287" i="24"/>
  <c r="BA217" i="24"/>
  <c r="BA293" i="24"/>
  <c r="BA272" i="24"/>
  <c r="BA231" i="24"/>
  <c r="BA246" i="24"/>
  <c r="BA300" i="24"/>
  <c r="AZ91" i="25"/>
  <c r="AZ68" i="25"/>
  <c r="AZ50" i="25"/>
  <c r="AZ33" i="25"/>
  <c r="AZ39" i="25"/>
  <c r="AZ76" i="25"/>
  <c r="AZ46" i="25"/>
  <c r="AZ93" i="25"/>
  <c r="AZ60" i="25"/>
  <c r="AZ95" i="25"/>
  <c r="AZ30" i="25"/>
  <c r="AZ27" i="25"/>
  <c r="AZ57" i="25"/>
  <c r="BA304" i="24"/>
  <c r="BA298" i="24"/>
  <c r="BA220" i="24"/>
  <c r="BA254" i="24"/>
  <c r="BA305" i="24"/>
  <c r="BA310" i="24"/>
  <c r="BA251" i="24"/>
  <c r="BA229" i="24"/>
  <c r="BA306" i="24"/>
  <c r="BA302" i="24"/>
  <c r="BA285" i="24"/>
  <c r="BA264" i="24"/>
  <c r="BA247" i="24"/>
  <c r="BA257" i="24"/>
  <c r="BA236" i="24"/>
  <c r="BA242" i="24"/>
  <c r="AX237" i="25"/>
  <c r="AX269" i="25"/>
  <c r="AX293" i="25"/>
  <c r="AX283" i="25"/>
  <c r="AX303" i="25"/>
  <c r="AZ186" i="25"/>
  <c r="AZ301" i="25"/>
  <c r="AZ232" i="25"/>
  <c r="AZ286" i="25"/>
  <c r="AZ206" i="25"/>
  <c r="AZ260" i="25"/>
  <c r="AZ116" i="25"/>
  <c r="AZ179" i="25"/>
  <c r="AZ224" i="25"/>
  <c r="AZ284" i="25"/>
  <c r="AZ140" i="25"/>
  <c r="AZ203" i="25"/>
  <c r="AZ138" i="25"/>
  <c r="AZ177" i="25"/>
  <c r="AZ239" i="25"/>
  <c r="AZ270" i="25"/>
  <c r="AZ134" i="25"/>
  <c r="AZ299" i="25"/>
  <c r="AZ298" i="25"/>
  <c r="AZ194" i="25"/>
  <c r="AZ170" i="25"/>
  <c r="AZ127" i="25"/>
  <c r="AZ258" i="25"/>
  <c r="AZ126" i="25"/>
  <c r="AZ227" i="25"/>
  <c r="AZ166" i="25"/>
  <c r="AZ193" i="25"/>
  <c r="AZ223" i="25"/>
  <c r="AZ273" i="25"/>
  <c r="AZ283" i="25"/>
  <c r="AZ147" i="25"/>
  <c r="AZ269" i="25"/>
  <c r="AZ185" i="25"/>
  <c r="AZ247" i="25"/>
  <c r="AZ278" i="25"/>
  <c r="AZ297" i="25"/>
  <c r="AZ309" i="25"/>
  <c r="AZ307" i="25"/>
  <c r="AZ174" i="25"/>
  <c r="AZ171" i="25"/>
  <c r="AZ145" i="25"/>
  <c r="AZ200" i="25"/>
  <c r="AZ257" i="25"/>
  <c r="AZ240" i="25"/>
  <c r="AZ263" i="25"/>
  <c r="AZ294" i="25"/>
  <c r="AZ182" i="25"/>
  <c r="AZ259" i="25"/>
  <c r="AZ202" i="25"/>
  <c r="AZ114" i="25"/>
  <c r="AZ161" i="25"/>
  <c r="AZ184" i="25"/>
  <c r="AZ254" i="25"/>
  <c r="AZ285" i="25"/>
  <c r="AZ228" i="25"/>
  <c r="AZ314" i="25"/>
  <c r="AZ115" i="25"/>
  <c r="AZ146" i="25"/>
  <c r="AZ153" i="25"/>
  <c r="AZ208" i="25"/>
  <c r="AZ252" i="25"/>
  <c r="AZ139" i="25"/>
  <c r="AZ312" i="25"/>
  <c r="AZ113" i="25"/>
  <c r="AZ168" i="25"/>
  <c r="AZ238" i="25"/>
  <c r="AZ308" i="25"/>
  <c r="AZ267" i="25"/>
  <c r="AZ266" i="25"/>
  <c r="AZ277" i="25"/>
  <c r="AZ235" i="25"/>
  <c r="AZ198" i="25"/>
  <c r="AZ201" i="25"/>
  <c r="AZ188" i="25"/>
  <c r="AZ226" i="25"/>
  <c r="AZ300" i="25"/>
  <c r="AZ129" i="25"/>
  <c r="AZ152" i="25"/>
  <c r="AZ245" i="25"/>
  <c r="AZ158" i="25"/>
  <c r="AZ189" i="25"/>
  <c r="AZ251" i="25"/>
  <c r="AZ121" i="25"/>
  <c r="AZ176" i="25"/>
  <c r="AZ246" i="25"/>
  <c r="AZ317" i="25"/>
  <c r="AZ253" i="25"/>
  <c r="AZ275" i="25"/>
  <c r="AZ306" i="25"/>
  <c r="AZ210" i="25"/>
  <c r="AZ136" i="25"/>
  <c r="AZ199" i="25"/>
  <c r="AZ196" i="25"/>
  <c r="AZ130" i="25"/>
  <c r="AZ169" i="25"/>
  <c r="AZ231" i="25"/>
  <c r="AZ262" i="25"/>
  <c r="AZ268" i="25"/>
  <c r="AZ156" i="25"/>
  <c r="AZ187" i="25"/>
  <c r="AZ281" i="25"/>
  <c r="AZ296" i="25"/>
  <c r="AZ120" i="25"/>
  <c r="AZ222" i="25"/>
  <c r="AZ110" i="25"/>
  <c r="AZ157" i="25"/>
  <c r="AZ282" i="25"/>
  <c r="AZ249" i="25"/>
  <c r="AZ288" i="25"/>
  <c r="AZ144" i="25"/>
  <c r="AZ207" i="25"/>
  <c r="AZ142" i="25"/>
  <c r="AZ220" i="25"/>
  <c r="AZ280" i="25"/>
  <c r="AZ303" i="25"/>
  <c r="AZ162" i="25"/>
  <c r="AZ167" i="25"/>
  <c r="AZ244" i="25"/>
  <c r="AZ164" i="25"/>
  <c r="AZ234" i="25"/>
  <c r="AZ221" i="25"/>
  <c r="AZ313" i="25"/>
  <c r="AZ137" i="25"/>
  <c r="AZ192" i="25"/>
  <c r="AZ197" i="25"/>
  <c r="AZ124" i="25"/>
  <c r="AZ155" i="25"/>
  <c r="AZ236" i="25"/>
  <c r="AZ287" i="25"/>
  <c r="AZ183" i="25"/>
  <c r="AZ265" i="25"/>
  <c r="AZ125" i="25"/>
  <c r="AZ219" i="25"/>
  <c r="AZ311" i="25"/>
  <c r="AZ112" i="25"/>
  <c r="AZ175" i="25"/>
  <c r="AZ233" i="25"/>
  <c r="AZ181" i="25"/>
  <c r="AZ243" i="25"/>
  <c r="AZ274" i="25"/>
  <c r="AZ293" i="25"/>
  <c r="AZ135" i="25"/>
  <c r="AZ173" i="25"/>
  <c r="AZ132" i="25"/>
  <c r="AZ195" i="25"/>
  <c r="AZ178" i="25"/>
  <c r="AZ304" i="25"/>
  <c r="AZ154" i="25"/>
  <c r="AZ160" i="25"/>
  <c r="AZ230" i="25"/>
  <c r="AZ133" i="25"/>
  <c r="AZ123" i="25"/>
  <c r="AZ165" i="25"/>
  <c r="AZ229" i="25"/>
  <c r="AZ264" i="25"/>
  <c r="AZ318" i="25"/>
  <c r="AZ151" i="25"/>
  <c r="AZ292" i="25"/>
  <c r="AZ180" i="25"/>
  <c r="AZ250" i="25"/>
  <c r="AZ241" i="25"/>
  <c r="AZ256" i="25"/>
  <c r="AZ143" i="25"/>
  <c r="AZ316" i="25"/>
  <c r="AZ149" i="25"/>
  <c r="AZ204" i="25"/>
  <c r="AZ248" i="25"/>
  <c r="AZ271" i="25"/>
  <c r="AZ302" i="25"/>
  <c r="AZ141" i="25"/>
  <c r="AZ150" i="25"/>
  <c r="AZ163" i="25"/>
  <c r="AZ276" i="25"/>
  <c r="AZ128" i="25"/>
  <c r="AZ191" i="25"/>
  <c r="AZ290" i="25"/>
  <c r="AZ122" i="25"/>
  <c r="AZ255" i="25"/>
  <c r="AZ119" i="25"/>
  <c r="AZ289" i="25"/>
  <c r="AZ315" i="25"/>
  <c r="AZ148" i="25"/>
  <c r="AZ218" i="25"/>
  <c r="AZ190" i="25"/>
  <c r="AZ279" i="25"/>
  <c r="AZ310" i="25"/>
  <c r="AZ111" i="25"/>
  <c r="AZ225" i="25"/>
  <c r="AZ117" i="25"/>
  <c r="AZ172" i="25"/>
  <c r="AZ242" i="25"/>
  <c r="AZ237" i="25"/>
  <c r="AZ209" i="25"/>
  <c r="AZ305" i="25"/>
  <c r="AZ131" i="25"/>
  <c r="AZ205" i="25"/>
  <c r="AZ261" i="25"/>
  <c r="AZ272" i="25"/>
  <c r="AZ295" i="25"/>
  <c r="AZ118" i="25"/>
  <c r="AZ159" i="25"/>
  <c r="AZ291" i="25"/>
  <c r="AY115" i="25"/>
  <c r="AY226" i="25"/>
  <c r="AY243" i="25"/>
  <c r="AY255" i="25"/>
  <c r="AY244" i="25"/>
  <c r="AY281" i="25"/>
  <c r="AY299" i="25"/>
  <c r="AY249" i="25"/>
  <c r="AY201" i="25"/>
  <c r="AY148" i="25"/>
  <c r="AY186" i="25"/>
  <c r="AY154" i="25"/>
  <c r="AY231" i="25"/>
  <c r="AY297" i="25"/>
  <c r="AY187" i="25"/>
  <c r="AY190" i="25"/>
  <c r="AY218" i="25"/>
  <c r="AY121" i="25"/>
  <c r="AY136" i="25"/>
  <c r="AY120" i="25"/>
  <c r="AY293" i="25"/>
  <c r="AY165" i="25"/>
  <c r="AY285" i="25"/>
  <c r="AY310" i="25"/>
  <c r="AY181" i="25"/>
  <c r="AY272" i="25"/>
  <c r="AY204" i="25"/>
  <c r="AY257" i="25"/>
  <c r="AY209" i="25"/>
  <c r="AY176" i="25"/>
  <c r="AY147" i="25"/>
  <c r="AY258" i="25"/>
  <c r="AY311" i="25"/>
  <c r="AY167" i="25"/>
  <c r="AY261" i="25"/>
  <c r="AY259" i="25"/>
  <c r="AY111" i="25"/>
  <c r="AY198" i="25"/>
  <c r="AY270" i="25"/>
  <c r="AY113" i="25"/>
  <c r="AY132" i="25"/>
  <c r="AY302" i="25"/>
  <c r="AY282" i="25"/>
  <c r="AY292" i="25"/>
  <c r="AY126" i="25"/>
  <c r="AY169" i="25"/>
  <c r="AY294" i="25"/>
  <c r="AY251" i="25"/>
  <c r="AY127" i="25"/>
  <c r="AY221" i="25"/>
  <c r="AY290" i="25"/>
  <c r="AY123" i="25"/>
  <c r="AY234" i="25"/>
  <c r="AY287" i="25"/>
  <c r="AY262" i="25"/>
  <c r="AY252" i="25"/>
  <c r="AY284" i="25"/>
  <c r="AY307" i="25"/>
  <c r="AY189" i="25"/>
  <c r="AY280" i="25"/>
  <c r="AY239" i="25"/>
  <c r="AY153" i="25"/>
  <c r="AY182" i="25"/>
  <c r="AY222" i="25"/>
  <c r="AY202" i="25"/>
  <c r="AY166" i="25"/>
  <c r="AY271" i="25"/>
  <c r="AY117" i="25"/>
  <c r="AY269" i="25"/>
  <c r="AY279" i="25"/>
  <c r="AY119" i="25"/>
  <c r="AY206" i="25"/>
  <c r="AY275" i="25"/>
  <c r="AY142" i="25"/>
  <c r="AY301" i="25"/>
  <c r="AY260" i="25"/>
  <c r="AY159" i="25"/>
  <c r="AY253" i="25"/>
  <c r="AY286" i="25"/>
  <c r="AY288" i="25"/>
  <c r="AY277" i="25"/>
  <c r="AY161" i="25"/>
  <c r="AY207" i="25"/>
  <c r="AY134" i="25"/>
  <c r="AY124" i="25"/>
  <c r="AY188" i="25"/>
  <c r="AY129" i="25"/>
  <c r="AY149" i="25"/>
  <c r="AY317" i="25"/>
  <c r="AY171" i="25"/>
  <c r="AY116" i="25"/>
  <c r="AY315" i="25"/>
  <c r="AY133" i="25"/>
  <c r="AY232" i="25"/>
  <c r="AY210" i="25"/>
  <c r="AY130" i="25"/>
  <c r="AY309" i="25"/>
  <c r="AY233" i="25"/>
  <c r="AY185" i="25"/>
  <c r="AY304" i="25"/>
  <c r="AY135" i="25"/>
  <c r="AY229" i="25"/>
  <c r="AY298" i="25"/>
  <c r="AY131" i="25"/>
  <c r="AY242" i="25"/>
  <c r="AY295" i="25"/>
  <c r="AY273" i="25"/>
  <c r="AY179" i="25"/>
  <c r="AY118" i="25"/>
  <c r="AY138" i="25"/>
  <c r="AY194" i="25"/>
  <c r="AY158" i="25"/>
  <c r="AY238" i="25"/>
  <c r="AY205" i="25"/>
  <c r="AY199" i="25"/>
  <c r="AY267" i="25"/>
  <c r="AY156" i="25"/>
  <c r="AY240" i="25"/>
  <c r="AY318" i="25"/>
  <c r="AY225" i="25"/>
  <c r="AY177" i="25"/>
  <c r="AY296" i="25"/>
  <c r="AY175" i="25"/>
  <c r="AY196" i="25"/>
  <c r="AY314" i="25"/>
  <c r="AY300" i="25"/>
  <c r="AY203" i="25"/>
  <c r="AY144" i="25"/>
  <c r="AY152" i="25"/>
  <c r="AY313" i="25"/>
  <c r="AY164" i="25"/>
  <c r="AY256" i="25"/>
  <c r="AY168" i="25"/>
  <c r="AY170" i="25"/>
  <c r="AY128" i="25"/>
  <c r="AY146" i="25"/>
  <c r="AY137" i="25"/>
  <c r="AY162" i="25"/>
  <c r="AY180" i="25"/>
  <c r="AY139" i="25"/>
  <c r="AY250" i="25"/>
  <c r="AY303" i="25"/>
  <c r="AY289" i="25"/>
  <c r="AY122" i="25"/>
  <c r="AY224" i="25"/>
  <c r="AY246" i="25"/>
  <c r="AY110" i="25"/>
  <c r="B96" i="2" s="1"/>
  <c r="AY308" i="25"/>
  <c r="AY183" i="25"/>
  <c r="AY220" i="25"/>
  <c r="AY235" i="25"/>
  <c r="AY276" i="25"/>
  <c r="AY160" i="25"/>
  <c r="AY248" i="25"/>
  <c r="AY112" i="25"/>
  <c r="AY173" i="25"/>
  <c r="AY178" i="25"/>
  <c r="AY151" i="25"/>
  <c r="AY125" i="25"/>
  <c r="AY155" i="25"/>
  <c r="AY305" i="25"/>
  <c r="AY191" i="25"/>
  <c r="AY219" i="25"/>
  <c r="AY163" i="25"/>
  <c r="AY227" i="25"/>
  <c r="AY236" i="25"/>
  <c r="AY278" i="25"/>
  <c r="AY291" i="25"/>
  <c r="AY241" i="25"/>
  <c r="AY193" i="25"/>
  <c r="AY312" i="25"/>
  <c r="AY143" i="25"/>
  <c r="AY237" i="25"/>
  <c r="AY306" i="25"/>
  <c r="AY145" i="25"/>
  <c r="AY174" i="25"/>
  <c r="AY208" i="25"/>
  <c r="AY247" i="25"/>
  <c r="AY197" i="25"/>
  <c r="AY192" i="25"/>
  <c r="AY150" i="25"/>
  <c r="AY195" i="25"/>
  <c r="AY172" i="25"/>
  <c r="AY184" i="25"/>
  <c r="AY140" i="25"/>
  <c r="AY316" i="25"/>
  <c r="AY114" i="25"/>
  <c r="AY228" i="25"/>
  <c r="AY263" i="25"/>
  <c r="AY283" i="25"/>
  <c r="AY157" i="25"/>
  <c r="AY265" i="25"/>
  <c r="AY254" i="25"/>
  <c r="AY264" i="25"/>
  <c r="AY141" i="25"/>
  <c r="AY245" i="25"/>
  <c r="AY268" i="25"/>
  <c r="AY266" i="25"/>
  <c r="AY230" i="25"/>
  <c r="AY200" i="25"/>
  <c r="AY223" i="25"/>
  <c r="AY274" i="25"/>
  <c r="AZ28" i="25"/>
  <c r="AZ26" i="25"/>
  <c r="AZ55" i="25"/>
  <c r="AZ87" i="25"/>
  <c r="AZ56" i="25"/>
  <c r="AZ45" i="25"/>
  <c r="AZ42" i="25"/>
  <c r="AZ77" i="25"/>
  <c r="AZ86" i="25"/>
  <c r="AZ40" i="25"/>
  <c r="BA240" i="24"/>
  <c r="BA296" i="24"/>
  <c r="BA276" i="24"/>
  <c r="BA219" i="24"/>
  <c r="BA274" i="24"/>
  <c r="BA268" i="24"/>
  <c r="BA314" i="24"/>
  <c r="BA221" i="24"/>
  <c r="BA266" i="24"/>
  <c r="BA222" i="24"/>
  <c r="BA223" i="24"/>
  <c r="BA267" i="24"/>
  <c r="BA312" i="24"/>
  <c r="P5" i="24"/>
  <c r="CE99" i="24" s="1"/>
  <c r="BB57" i="24"/>
  <c r="BB13" i="24"/>
  <c r="BB80" i="24"/>
  <c r="BB48" i="24"/>
  <c r="BB16" i="24"/>
  <c r="BB103" i="24"/>
  <c r="BB71" i="24"/>
  <c r="BB39" i="24"/>
  <c r="BB7" i="24"/>
  <c r="BB94" i="24"/>
  <c r="BB62" i="24"/>
  <c r="BB30" i="24"/>
  <c r="BB20" i="24"/>
  <c r="BB34" i="24"/>
  <c r="BB49" i="24"/>
  <c r="BB9" i="24"/>
  <c r="BB76" i="24"/>
  <c r="BB44" i="24"/>
  <c r="BB12" i="24"/>
  <c r="BB99" i="24"/>
  <c r="BB67" i="24"/>
  <c r="BB35" i="24"/>
  <c r="BB93" i="24"/>
  <c r="BB90" i="24"/>
  <c r="BB58" i="24"/>
  <c r="BB26" i="24"/>
  <c r="BB84" i="24"/>
  <c r="BB98" i="24"/>
  <c r="BB45" i="24"/>
  <c r="BB104" i="24"/>
  <c r="BB72" i="24"/>
  <c r="BB40" i="24"/>
  <c r="BB8" i="24"/>
  <c r="BB95" i="24"/>
  <c r="BB63" i="24"/>
  <c r="BB31" i="24"/>
  <c r="BB81" i="24"/>
  <c r="BB86" i="24"/>
  <c r="BB54" i="24"/>
  <c r="BB22" i="24"/>
  <c r="BB65" i="24"/>
  <c r="BB75" i="24"/>
  <c r="BB66" i="24"/>
  <c r="BB105" i="24"/>
  <c r="BB33" i="24"/>
  <c r="BB100" i="24"/>
  <c r="BB68" i="24"/>
  <c r="BB36" i="24"/>
  <c r="BB101" i="24"/>
  <c r="BB91" i="24"/>
  <c r="BB59" i="24"/>
  <c r="BB27" i="24"/>
  <c r="BB69" i="24"/>
  <c r="BB82" i="24"/>
  <c r="BB50" i="24"/>
  <c r="BB18" i="24"/>
  <c r="BB17" i="24"/>
  <c r="BB96" i="24"/>
  <c r="BB89" i="24"/>
  <c r="BB55" i="24"/>
  <c r="BB23" i="24"/>
  <c r="BB53" i="24"/>
  <c r="BB14" i="24"/>
  <c r="BB37" i="24"/>
  <c r="BB11" i="24"/>
  <c r="BB29" i="24"/>
  <c r="BB32" i="24"/>
  <c r="BB46" i="24"/>
  <c r="BB85" i="24"/>
  <c r="BB25" i="24"/>
  <c r="BB92" i="24"/>
  <c r="BB60" i="24"/>
  <c r="BB28" i="24"/>
  <c r="BB73" i="24"/>
  <c r="BB83" i="24"/>
  <c r="BB51" i="24"/>
  <c r="BB19" i="24"/>
  <c r="BB41" i="24"/>
  <c r="BB74" i="24"/>
  <c r="BB42" i="24"/>
  <c r="BB10" i="24"/>
  <c r="BB52" i="24"/>
  <c r="BB43" i="24"/>
  <c r="BB97" i="24"/>
  <c r="BB64" i="24"/>
  <c r="BB87" i="24"/>
  <c r="BB78" i="24"/>
  <c r="BB77" i="24"/>
  <c r="BB21" i="24"/>
  <c r="BB88" i="24"/>
  <c r="BB56" i="24"/>
  <c r="BB24" i="24"/>
  <c r="BB61" i="24"/>
  <c r="BB79" i="24"/>
  <c r="BB47" i="24"/>
  <c r="BB15" i="24"/>
  <c r="BB102" i="24"/>
  <c r="BB70" i="24"/>
  <c r="BB38" i="24"/>
  <c r="BB6" i="24"/>
  <c r="N124" i="24"/>
  <c r="P124" i="24" s="1"/>
  <c r="N156" i="24"/>
  <c r="P156" i="24" s="1"/>
  <c r="N180" i="24"/>
  <c r="P180" i="24" s="1"/>
  <c r="N121" i="24"/>
  <c r="Q121" i="24" s="1"/>
  <c r="N117" i="24"/>
  <c r="P117" i="24" s="1"/>
  <c r="N114" i="24"/>
  <c r="P114" i="24" s="1"/>
  <c r="N176" i="24"/>
  <c r="P176" i="24" s="1"/>
  <c r="N120" i="24"/>
  <c r="Q120" i="24" s="1"/>
  <c r="N191" i="24"/>
  <c r="Q191" i="24" s="1"/>
  <c r="N205" i="24"/>
  <c r="P205" i="24" s="1"/>
  <c r="N162" i="24"/>
  <c r="P162" i="24" s="1"/>
  <c r="N152" i="24"/>
  <c r="P152" i="24" s="1"/>
  <c r="N116" i="24"/>
  <c r="P116" i="24" s="1"/>
  <c r="N148" i="24"/>
  <c r="P148" i="24" s="1"/>
  <c r="N172" i="24"/>
  <c r="P172" i="24" s="1"/>
  <c r="N154" i="24"/>
  <c r="P154" i="24" s="1"/>
  <c r="N119" i="24"/>
  <c r="P119" i="24" s="1"/>
  <c r="N136" i="24"/>
  <c r="P136" i="24" s="1"/>
  <c r="N131" i="24"/>
  <c r="P131" i="24" s="1"/>
  <c r="N179" i="24"/>
  <c r="P179" i="24" s="1"/>
  <c r="N181" i="24"/>
  <c r="P181" i="24" s="1"/>
  <c r="N194" i="24"/>
  <c r="P194" i="24" s="1"/>
  <c r="N127" i="24"/>
  <c r="P127" i="24" s="1"/>
  <c r="N129" i="24"/>
  <c r="Q129" i="24" s="1"/>
  <c r="N195" i="24"/>
  <c r="P195" i="24" s="1"/>
  <c r="N197" i="24"/>
  <c r="Q197" i="24" s="1"/>
  <c r="N135" i="24"/>
  <c r="P135" i="24" s="1"/>
  <c r="N144" i="24"/>
  <c r="Q144" i="24" s="1"/>
  <c r="N157" i="24"/>
  <c r="P157" i="24" s="1"/>
  <c r="N122" i="24"/>
  <c r="P122" i="24" s="1"/>
  <c r="N183" i="24"/>
  <c r="P183" i="24" s="1"/>
  <c r="N145" i="24"/>
  <c r="P145" i="24" s="1"/>
  <c r="N188" i="24"/>
  <c r="P188" i="24" s="1"/>
  <c r="N149" i="24"/>
  <c r="P149" i="24" s="1"/>
  <c r="N196" i="24"/>
  <c r="P196" i="24" s="1"/>
  <c r="N137" i="24"/>
  <c r="P137" i="24" s="1"/>
  <c r="N201" i="24"/>
  <c r="P201" i="24" s="1"/>
  <c r="N159" i="24"/>
  <c r="P159" i="24" s="1"/>
  <c r="N155" i="24"/>
  <c r="P155" i="24" s="1"/>
  <c r="N161" i="24"/>
  <c r="P161" i="24" s="1"/>
  <c r="N167" i="24"/>
  <c r="P167" i="24" s="1"/>
  <c r="N208" i="24"/>
  <c r="P208" i="24" s="1"/>
  <c r="N142" i="24"/>
  <c r="P142" i="24" s="1"/>
  <c r="N123" i="24"/>
  <c r="P123" i="24" s="1"/>
  <c r="N166" i="24"/>
  <c r="P166" i="24" s="1"/>
  <c r="N189" i="24"/>
  <c r="P189" i="24" s="1"/>
  <c r="N178" i="24"/>
  <c r="P178" i="24" s="1"/>
  <c r="N168" i="24"/>
  <c r="Q168" i="24" s="1"/>
  <c r="N130" i="24"/>
  <c r="P130" i="24" s="1"/>
  <c r="N193" i="24"/>
  <c r="Q193" i="24" s="1"/>
  <c r="N184" i="24"/>
  <c r="P184" i="24" s="1"/>
  <c r="N147" i="24"/>
  <c r="Q147" i="24" s="1"/>
  <c r="N141" i="24"/>
  <c r="P141" i="24" s="1"/>
  <c r="N171" i="24"/>
  <c r="P171" i="24" s="1"/>
  <c r="N202" i="24"/>
  <c r="P202" i="24" s="1"/>
  <c r="N113" i="24"/>
  <c r="Q113" i="24" s="1"/>
  <c r="N160" i="24"/>
  <c r="P160" i="24" s="1"/>
  <c r="N143" i="24"/>
  <c r="P143" i="24" s="1"/>
  <c r="N138" i="24"/>
  <c r="P138" i="24" s="1"/>
  <c r="N140" i="24"/>
  <c r="Q140" i="24" s="1"/>
  <c r="N164" i="24"/>
  <c r="P164" i="24" s="1"/>
  <c r="N175" i="24"/>
  <c r="P175" i="24" s="1"/>
  <c r="N132" i="24"/>
  <c r="P132" i="24" s="1"/>
  <c r="N209" i="24"/>
  <c r="P209" i="24" s="1"/>
  <c r="N186" i="24"/>
  <c r="P186" i="24" s="1"/>
  <c r="N182" i="24"/>
  <c r="P182" i="24" s="1"/>
  <c r="N177" i="24"/>
  <c r="P177" i="24" s="1"/>
  <c r="N163" i="24"/>
  <c r="P163" i="24" s="1"/>
  <c r="N150" i="24"/>
  <c r="P150" i="24" s="1"/>
  <c r="N170" i="24"/>
  <c r="P170" i="24" s="1"/>
  <c r="N133" i="24"/>
  <c r="P133" i="24" s="1"/>
  <c r="N111" i="24"/>
  <c r="Q111" i="24" s="1"/>
  <c r="N185" i="24"/>
  <c r="Q185" i="24" s="1"/>
  <c r="N173" i="24"/>
  <c r="P173" i="24" s="1"/>
  <c r="N198" i="24"/>
  <c r="P198" i="24" s="1"/>
  <c r="N153" i="24"/>
  <c r="Q153" i="24" s="1"/>
  <c r="N146" i="24"/>
  <c r="P146" i="24" s="1"/>
  <c r="N204" i="24"/>
  <c r="P204" i="24" s="1"/>
  <c r="N151" i="24"/>
  <c r="P151" i="24" s="1"/>
  <c r="N174" i="24"/>
  <c r="P174" i="24" s="1"/>
  <c r="N139" i="24"/>
  <c r="P139" i="24" s="1"/>
  <c r="N190" i="24"/>
  <c r="P190" i="24" s="1"/>
  <c r="N118" i="24"/>
  <c r="Q118" i="24" s="1"/>
  <c r="N158" i="24"/>
  <c r="P158" i="24" s="1"/>
  <c r="N126" i="24"/>
  <c r="P126" i="24" s="1"/>
  <c r="N200" i="24"/>
  <c r="P200" i="24" s="1"/>
  <c r="N125" i="24"/>
  <c r="P125" i="24" s="1"/>
  <c r="N112" i="24"/>
  <c r="P112" i="24" s="1"/>
  <c r="N207" i="24"/>
  <c r="P207" i="24" s="1"/>
  <c r="N203" i="24"/>
  <c r="P203" i="24" s="1"/>
  <c r="N187" i="24"/>
  <c r="P187" i="24" s="1"/>
  <c r="N206" i="24"/>
  <c r="P206" i="24" s="1"/>
  <c r="N192" i="24"/>
  <c r="P192" i="24" s="1"/>
  <c r="N169" i="24"/>
  <c r="P169" i="24" s="1"/>
  <c r="N134" i="24"/>
  <c r="P134" i="24" s="1"/>
  <c r="N199" i="24"/>
  <c r="P199" i="24" s="1"/>
  <c r="N115" i="24"/>
  <c r="P115" i="24" s="1"/>
  <c r="N165" i="24"/>
  <c r="P165" i="24" s="1"/>
  <c r="N128" i="24"/>
  <c r="P128" i="24" s="1"/>
  <c r="Q310" i="24"/>
  <c r="Q284" i="24"/>
  <c r="Q244" i="24"/>
  <c r="S45" i="24"/>
  <c r="S21" i="24"/>
  <c r="T21" i="24" s="1"/>
  <c r="O21" i="24" s="1"/>
  <c r="S88" i="24"/>
  <c r="S56" i="24"/>
  <c r="T56" i="24" s="1"/>
  <c r="O56" i="24" s="1"/>
  <c r="S24" i="24"/>
  <c r="S61" i="24"/>
  <c r="S63" i="24"/>
  <c r="T63" i="24" s="1"/>
  <c r="O63" i="24" s="1"/>
  <c r="S31" i="24"/>
  <c r="T31" i="24" s="1"/>
  <c r="O31" i="24" s="1"/>
  <c r="S81" i="24"/>
  <c r="S86" i="24"/>
  <c r="T86" i="24" s="1"/>
  <c r="O86" i="24" s="1"/>
  <c r="S54" i="24"/>
  <c r="T54" i="24" s="1"/>
  <c r="O54" i="24" s="1"/>
  <c r="S22" i="24"/>
  <c r="BO113" i="24"/>
  <c r="BR113" i="24" s="1"/>
  <c r="BO163" i="24"/>
  <c r="BR163" i="24" s="1"/>
  <c r="BO174" i="24"/>
  <c r="BR174" i="24" s="1"/>
  <c r="BO183" i="24"/>
  <c r="BR183" i="24" s="1"/>
  <c r="BO197" i="24"/>
  <c r="BR197" i="24" s="1"/>
  <c r="BO137" i="24"/>
  <c r="BR137" i="24" s="1"/>
  <c r="BO135" i="24"/>
  <c r="BR135" i="24" s="1"/>
  <c r="BO194" i="24"/>
  <c r="BR194" i="24" s="1"/>
  <c r="BO189" i="24"/>
  <c r="BR189" i="24" s="1"/>
  <c r="BO122" i="24"/>
  <c r="BR122" i="24" s="1"/>
  <c r="BO188" i="24"/>
  <c r="BR188" i="24" s="1"/>
  <c r="BO172" i="24"/>
  <c r="BR172" i="24" s="1"/>
  <c r="CC129" i="25"/>
  <c r="BN129" i="25"/>
  <c r="BR129" i="25" s="1"/>
  <c r="BN145" i="25"/>
  <c r="BR145" i="25" s="1"/>
  <c r="CC145" i="25"/>
  <c r="BN161" i="25"/>
  <c r="BR161" i="25" s="1"/>
  <c r="CC161" i="25"/>
  <c r="BN177" i="25"/>
  <c r="BR177" i="25" s="1"/>
  <c r="CC177" i="25"/>
  <c r="CC193" i="25"/>
  <c r="BN193" i="25"/>
  <c r="BR193" i="25" s="1"/>
  <c r="BN150" i="25"/>
  <c r="BR150" i="25" s="1"/>
  <c r="CC150" i="25"/>
  <c r="BN182" i="25"/>
  <c r="BR182" i="25" s="1"/>
  <c r="CC182" i="25"/>
  <c r="BN131" i="25"/>
  <c r="BR131" i="25" s="1"/>
  <c r="CC131" i="25"/>
  <c r="BN163" i="25"/>
  <c r="BR163" i="25" s="1"/>
  <c r="CC163" i="25"/>
  <c r="CC195" i="25"/>
  <c r="BN195" i="25"/>
  <c r="BR195" i="25" s="1"/>
  <c r="S65" i="24"/>
  <c r="S17" i="24"/>
  <c r="S84" i="24"/>
  <c r="S52" i="24"/>
  <c r="S20" i="24"/>
  <c r="S37" i="24"/>
  <c r="S75" i="24"/>
  <c r="S43" i="24"/>
  <c r="S11" i="24"/>
  <c r="S69" i="24"/>
  <c r="T69" i="24" s="1"/>
  <c r="O69" i="24" s="1"/>
  <c r="S98" i="24"/>
  <c r="S66" i="24"/>
  <c r="S34" i="24"/>
  <c r="BO195" i="24"/>
  <c r="BR195" i="24" s="1"/>
  <c r="BO147" i="24"/>
  <c r="BR147" i="24" s="1"/>
  <c r="BO154" i="24"/>
  <c r="BR154" i="24" s="1"/>
  <c r="BO167" i="24"/>
  <c r="BR167" i="24" s="1"/>
  <c r="BO185" i="24"/>
  <c r="BR185" i="24" s="1"/>
  <c r="BO133" i="24"/>
  <c r="BR133" i="24" s="1"/>
  <c r="BO112" i="24"/>
  <c r="BR112" i="24" s="1"/>
  <c r="BO181" i="24"/>
  <c r="BR181" i="24" s="1"/>
  <c r="BO157" i="24"/>
  <c r="BR157" i="24" s="1"/>
  <c r="BO200" i="24"/>
  <c r="BR200" i="24" s="1"/>
  <c r="BO168" i="24"/>
  <c r="BR168" i="24" s="1"/>
  <c r="BN113" i="25"/>
  <c r="BR113" i="25" s="1"/>
  <c r="CC113" i="25"/>
  <c r="CC122" i="25"/>
  <c r="BN122" i="25"/>
  <c r="BR122" i="25" s="1"/>
  <c r="BN123" i="25"/>
  <c r="BR123" i="25" s="1"/>
  <c r="CC123" i="25"/>
  <c r="BN140" i="25"/>
  <c r="BR140" i="25" s="1"/>
  <c r="CC140" i="25"/>
  <c r="BN156" i="25"/>
  <c r="BR156" i="25" s="1"/>
  <c r="CC156" i="25"/>
  <c r="BN172" i="25"/>
  <c r="BR172" i="25" s="1"/>
  <c r="CC172" i="25"/>
  <c r="CC188" i="25"/>
  <c r="BN188" i="25"/>
  <c r="BR188" i="25" s="1"/>
  <c r="BN138" i="25"/>
  <c r="BR138" i="25" s="1"/>
  <c r="CC138" i="25"/>
  <c r="BN170" i="25"/>
  <c r="BR170" i="25" s="1"/>
  <c r="CC170" i="25"/>
  <c r="BN135" i="25"/>
  <c r="BR135" i="25" s="1"/>
  <c r="CC135" i="25"/>
  <c r="CC167" i="25"/>
  <c r="BN167" i="25"/>
  <c r="BR167" i="25" s="1"/>
  <c r="CC199" i="25"/>
  <c r="BN199" i="25"/>
  <c r="BR199" i="25" s="1"/>
  <c r="S97" i="24"/>
  <c r="T97" i="24" s="1"/>
  <c r="O97" i="24" s="1"/>
  <c r="S57" i="24"/>
  <c r="S29" i="24"/>
  <c r="T29" i="24" s="1"/>
  <c r="O29" i="24" s="1"/>
  <c r="S13" i="24"/>
  <c r="S96" i="24"/>
  <c r="T96" i="24" s="1"/>
  <c r="O96" i="24" s="1"/>
  <c r="S80" i="24"/>
  <c r="S64" i="24"/>
  <c r="T64" i="24" s="1"/>
  <c r="O64" i="24" s="1"/>
  <c r="S48" i="24"/>
  <c r="S32" i="24"/>
  <c r="T32" i="24" s="1"/>
  <c r="O32" i="24" s="1"/>
  <c r="S16" i="24"/>
  <c r="S89" i="24"/>
  <c r="T89" i="24" s="1"/>
  <c r="O89" i="24" s="1"/>
  <c r="S103" i="24"/>
  <c r="S87" i="24"/>
  <c r="T87" i="24" s="1"/>
  <c r="O87" i="24" s="1"/>
  <c r="S71" i="24"/>
  <c r="S55" i="24"/>
  <c r="T55" i="24" s="1"/>
  <c r="O55" i="24" s="1"/>
  <c r="S39" i="24"/>
  <c r="S23" i="24"/>
  <c r="T23" i="24" s="1"/>
  <c r="O23" i="24" s="1"/>
  <c r="S7" i="24"/>
  <c r="S53" i="24"/>
  <c r="T53" i="24" s="1"/>
  <c r="O53" i="24" s="1"/>
  <c r="S94" i="24"/>
  <c r="S78" i="24"/>
  <c r="T78" i="24" s="1"/>
  <c r="O78" i="24" s="1"/>
  <c r="S62" i="24"/>
  <c r="S46" i="24"/>
  <c r="T46" i="24" s="1"/>
  <c r="O46" i="24" s="1"/>
  <c r="S30" i="24"/>
  <c r="S14" i="24"/>
  <c r="T14" i="24" s="1"/>
  <c r="O14" i="24" s="1"/>
  <c r="BO199" i="24"/>
  <c r="BR199" i="24" s="1"/>
  <c r="BO121" i="24"/>
  <c r="BR121" i="24" s="1"/>
  <c r="BO191" i="24"/>
  <c r="BR191" i="24" s="1"/>
  <c r="BO131" i="24"/>
  <c r="BR131" i="24" s="1"/>
  <c r="BO111" i="24"/>
  <c r="BR111" i="24" s="1"/>
  <c r="BO182" i="24"/>
  <c r="BR182" i="24" s="1"/>
  <c r="BO166" i="24"/>
  <c r="BR166" i="24" s="1"/>
  <c r="BO150" i="24"/>
  <c r="BR150" i="24" s="1"/>
  <c r="BO134" i="24"/>
  <c r="BR134" i="24" s="1"/>
  <c r="BO155" i="24"/>
  <c r="BR155" i="24" s="1"/>
  <c r="BO123" i="24"/>
  <c r="BR123" i="24" s="1"/>
  <c r="BO173" i="24"/>
  <c r="BR173" i="24" s="1"/>
  <c r="BO145" i="24"/>
  <c r="BR145" i="24" s="1"/>
  <c r="BO151" i="24"/>
  <c r="BR151" i="24" s="1"/>
  <c r="BO210" i="24"/>
  <c r="BR210" i="24" s="1"/>
  <c r="BO127" i="24"/>
  <c r="BR127" i="24" s="1"/>
  <c r="BO201" i="24"/>
  <c r="BR201" i="24" s="1"/>
  <c r="BO177" i="24"/>
  <c r="BR177" i="24" s="1"/>
  <c r="BO130" i="24"/>
  <c r="BR130" i="24" s="1"/>
  <c r="BO114" i="24"/>
  <c r="BR114" i="24" s="1"/>
  <c r="BO196" i="24"/>
  <c r="BR196" i="24" s="1"/>
  <c r="BO180" i="24"/>
  <c r="BR180" i="24" s="1"/>
  <c r="BO164" i="24"/>
  <c r="BR164" i="24" s="1"/>
  <c r="BO148" i="24"/>
  <c r="BR148" i="24" s="1"/>
  <c r="BO132" i="24"/>
  <c r="BR132" i="24" s="1"/>
  <c r="BN116" i="25"/>
  <c r="BR116" i="25" s="1"/>
  <c r="CC116" i="25"/>
  <c r="CC117" i="25"/>
  <c r="BN117" i="25"/>
  <c r="BR117" i="25" s="1"/>
  <c r="BN126" i="25"/>
  <c r="BR126" i="25" s="1"/>
  <c r="CC126" i="25"/>
  <c r="BN111" i="25"/>
  <c r="BR111" i="25" s="1"/>
  <c r="CC111" i="25"/>
  <c r="CC127" i="25"/>
  <c r="BN127" i="25"/>
  <c r="BR127" i="25" s="1"/>
  <c r="BN133" i="25"/>
  <c r="BR133" i="25" s="1"/>
  <c r="CC133" i="25"/>
  <c r="CC141" i="25"/>
  <c r="BN141" i="25"/>
  <c r="BR141" i="25" s="1"/>
  <c r="CC149" i="25"/>
  <c r="BN149" i="25"/>
  <c r="BR149" i="25" s="1"/>
  <c r="CC157" i="25"/>
  <c r="BN157" i="25"/>
  <c r="BR157" i="25" s="1"/>
  <c r="CC165" i="25"/>
  <c r="BN165" i="25"/>
  <c r="BR165" i="25" s="1"/>
  <c r="CC173" i="25"/>
  <c r="BN173" i="25"/>
  <c r="BR173" i="25" s="1"/>
  <c r="CC181" i="25"/>
  <c r="BN181" i="25"/>
  <c r="BR181" i="25" s="1"/>
  <c r="CC189" i="25"/>
  <c r="BN189" i="25"/>
  <c r="BR189" i="25" s="1"/>
  <c r="CC197" i="25"/>
  <c r="BN197" i="25"/>
  <c r="BR197" i="25" s="1"/>
  <c r="BN142" i="25"/>
  <c r="BR142" i="25" s="1"/>
  <c r="CC142" i="25"/>
  <c r="BN158" i="25"/>
  <c r="BR158" i="25" s="1"/>
  <c r="CC158" i="25"/>
  <c r="BN174" i="25"/>
  <c r="BR174" i="25" s="1"/>
  <c r="CC174" i="25"/>
  <c r="BN190" i="25"/>
  <c r="BR190" i="25" s="1"/>
  <c r="CC190" i="25"/>
  <c r="CC139" i="25"/>
  <c r="BN139" i="25"/>
  <c r="BR139" i="25" s="1"/>
  <c r="BN155" i="25"/>
  <c r="BR155" i="25" s="1"/>
  <c r="CC155" i="25"/>
  <c r="CC171" i="25"/>
  <c r="BN171" i="25"/>
  <c r="BR171" i="25" s="1"/>
  <c r="BN187" i="25"/>
  <c r="BR187" i="25" s="1"/>
  <c r="CC187" i="25"/>
  <c r="CC201" i="25"/>
  <c r="BN201" i="25"/>
  <c r="BR201" i="25" s="1"/>
  <c r="CC209" i="25"/>
  <c r="BN209" i="25"/>
  <c r="BR209" i="25" s="1"/>
  <c r="CC203" i="25"/>
  <c r="BN203" i="25"/>
  <c r="BR203" i="25" s="1"/>
  <c r="CC208" i="25"/>
  <c r="BN208" i="25"/>
  <c r="BR208" i="25" s="1"/>
  <c r="S77" i="24"/>
  <c r="S104" i="24"/>
  <c r="T104" i="24" s="1"/>
  <c r="O104" i="24" s="1"/>
  <c r="S72" i="24"/>
  <c r="T72" i="24" s="1"/>
  <c r="O72" i="24" s="1"/>
  <c r="S40" i="24"/>
  <c r="T40" i="24" s="1"/>
  <c r="O40" i="24" s="1"/>
  <c r="S8" i="24"/>
  <c r="S95" i="24"/>
  <c r="T95" i="24" s="1"/>
  <c r="O95" i="24" s="1"/>
  <c r="S79" i="24"/>
  <c r="T79" i="24" s="1"/>
  <c r="O79" i="24" s="1"/>
  <c r="S47" i="24"/>
  <c r="S15" i="24"/>
  <c r="S102" i="24"/>
  <c r="S70" i="24"/>
  <c r="T70" i="24" s="1"/>
  <c r="O70" i="24" s="1"/>
  <c r="S38" i="24"/>
  <c r="S6" i="24"/>
  <c r="BO187" i="24"/>
  <c r="BR187" i="24" s="1"/>
  <c r="BO125" i="24"/>
  <c r="BR125" i="24" s="1"/>
  <c r="BO202" i="24"/>
  <c r="BR202" i="24" s="1"/>
  <c r="BO158" i="24"/>
  <c r="BR158" i="24" s="1"/>
  <c r="BO142" i="24"/>
  <c r="BR142" i="24" s="1"/>
  <c r="BO198" i="24"/>
  <c r="BR198" i="24" s="1"/>
  <c r="BO153" i="24"/>
  <c r="BR153" i="24" s="1"/>
  <c r="BO171" i="24"/>
  <c r="BR171" i="24" s="1"/>
  <c r="BO128" i="24"/>
  <c r="BR128" i="24" s="1"/>
  <c r="BO115" i="24"/>
  <c r="BR115" i="24" s="1"/>
  <c r="BO161" i="24"/>
  <c r="BR161" i="24" s="1"/>
  <c r="BO204" i="24"/>
  <c r="BR204" i="24" s="1"/>
  <c r="BO156" i="24"/>
  <c r="BR156" i="24" s="1"/>
  <c r="BO140" i="24"/>
  <c r="BR140" i="24" s="1"/>
  <c r="BN121" i="25"/>
  <c r="BR121" i="25" s="1"/>
  <c r="CC121" i="25"/>
  <c r="BN124" i="25"/>
  <c r="BR124" i="25" s="1"/>
  <c r="CC124" i="25"/>
  <c r="BN118" i="25"/>
  <c r="BR118" i="25" s="1"/>
  <c r="CC118" i="25"/>
  <c r="CC119" i="25"/>
  <c r="BN119" i="25"/>
  <c r="BR119" i="25" s="1"/>
  <c r="CC137" i="25"/>
  <c r="BN137" i="25"/>
  <c r="BR137" i="25" s="1"/>
  <c r="BN153" i="25"/>
  <c r="BR153" i="25" s="1"/>
  <c r="CC153" i="25"/>
  <c r="BN169" i="25"/>
  <c r="BR169" i="25" s="1"/>
  <c r="CC169" i="25"/>
  <c r="BN185" i="25"/>
  <c r="BR185" i="25" s="1"/>
  <c r="CC185" i="25"/>
  <c r="CC134" i="25"/>
  <c r="BN134" i="25"/>
  <c r="BR134" i="25" s="1"/>
  <c r="BN166" i="25"/>
  <c r="BR166" i="25" s="1"/>
  <c r="CC166" i="25"/>
  <c r="CC198" i="25"/>
  <c r="BN198" i="25"/>
  <c r="BR198" i="25" s="1"/>
  <c r="BN147" i="25"/>
  <c r="BR147" i="25" s="1"/>
  <c r="CC147" i="25"/>
  <c r="BN179" i="25"/>
  <c r="BR179" i="25" s="1"/>
  <c r="CC179" i="25"/>
  <c r="CC205" i="25"/>
  <c r="BN205" i="25"/>
  <c r="BR205" i="25" s="1"/>
  <c r="CC200" i="25"/>
  <c r="BN200" i="25"/>
  <c r="BR200" i="25" s="1"/>
  <c r="S105" i="24"/>
  <c r="T105" i="24" s="1"/>
  <c r="O105" i="24" s="1"/>
  <c r="S33" i="24"/>
  <c r="T33" i="24" s="1"/>
  <c r="O33" i="24" s="1"/>
  <c r="S100" i="24"/>
  <c r="T100" i="24" s="1"/>
  <c r="O100" i="24" s="1"/>
  <c r="S68" i="24"/>
  <c r="T68" i="24" s="1"/>
  <c r="O68" i="24" s="1"/>
  <c r="S36" i="24"/>
  <c r="T36" i="24" s="1"/>
  <c r="O36" i="24" s="1"/>
  <c r="S101" i="24"/>
  <c r="T101" i="24" s="1"/>
  <c r="O101" i="24" s="1"/>
  <c r="S91" i="24"/>
  <c r="T91" i="24" s="1"/>
  <c r="O91" i="24" s="1"/>
  <c r="S59" i="24"/>
  <c r="T59" i="24" s="1"/>
  <c r="O59" i="24" s="1"/>
  <c r="S27" i="24"/>
  <c r="T27" i="24" s="1"/>
  <c r="O27" i="24" s="1"/>
  <c r="S82" i="24"/>
  <c r="T82" i="24" s="1"/>
  <c r="O82" i="24" s="1"/>
  <c r="S50" i="24"/>
  <c r="T50" i="24" s="1"/>
  <c r="O50" i="24" s="1"/>
  <c r="S18" i="24"/>
  <c r="T18" i="24" s="1"/>
  <c r="O18" i="24" s="1"/>
  <c r="BO117" i="24"/>
  <c r="BR117" i="24" s="1"/>
  <c r="BO207" i="24"/>
  <c r="BR207" i="24" s="1"/>
  <c r="BO186" i="24"/>
  <c r="BR186" i="24" s="1"/>
  <c r="BO170" i="24"/>
  <c r="BR170" i="24" s="1"/>
  <c r="BO138" i="24"/>
  <c r="BR138" i="24" s="1"/>
  <c r="BO190" i="24"/>
  <c r="BR190" i="24" s="1"/>
  <c r="BO149" i="24"/>
  <c r="BR149" i="24" s="1"/>
  <c r="BO159" i="24"/>
  <c r="BR159" i="24" s="1"/>
  <c r="BO124" i="24"/>
  <c r="BR124" i="24" s="1"/>
  <c r="BO205" i="24"/>
  <c r="BR205" i="24" s="1"/>
  <c r="BO118" i="24"/>
  <c r="BR118" i="24" s="1"/>
  <c r="BO152" i="24"/>
  <c r="BR152" i="24" s="1"/>
  <c r="BO136" i="24"/>
  <c r="BR136" i="24" s="1"/>
  <c r="CC112" i="25"/>
  <c r="BN112" i="25"/>
  <c r="BR112" i="25" s="1"/>
  <c r="CC132" i="25"/>
  <c r="BN132" i="25"/>
  <c r="BR132" i="25" s="1"/>
  <c r="BN148" i="25"/>
  <c r="BR148" i="25" s="1"/>
  <c r="CC148" i="25"/>
  <c r="BN164" i="25"/>
  <c r="BR164" i="25" s="1"/>
  <c r="CC164" i="25"/>
  <c r="BN180" i="25"/>
  <c r="BR180" i="25" s="1"/>
  <c r="CC180" i="25"/>
  <c r="CC196" i="25"/>
  <c r="BN196" i="25"/>
  <c r="BR196" i="25" s="1"/>
  <c r="CC154" i="25"/>
  <c r="BN154" i="25"/>
  <c r="BR154" i="25" s="1"/>
  <c r="CC186" i="25"/>
  <c r="BN186" i="25"/>
  <c r="BR186" i="25" s="1"/>
  <c r="BN151" i="25"/>
  <c r="BR151" i="25" s="1"/>
  <c r="CC151" i="25"/>
  <c r="BN183" i="25"/>
  <c r="BR183" i="25" s="1"/>
  <c r="CC183" i="25"/>
  <c r="CC206" i="25"/>
  <c r="BN206" i="25"/>
  <c r="BR206" i="25" s="1"/>
  <c r="CC204" i="25"/>
  <c r="BN204" i="25"/>
  <c r="BR204" i="25" s="1"/>
  <c r="S85" i="24"/>
  <c r="T85" i="24" s="1"/>
  <c r="O85" i="24" s="1"/>
  <c r="S49" i="24"/>
  <c r="S25" i="24"/>
  <c r="T25" i="24" s="1"/>
  <c r="O25" i="24" s="1"/>
  <c r="S9" i="24"/>
  <c r="S92" i="24"/>
  <c r="T92" i="24" s="1"/>
  <c r="O92" i="24" s="1"/>
  <c r="S76" i="24"/>
  <c r="S60" i="24"/>
  <c r="T60" i="24" s="1"/>
  <c r="O60" i="24" s="1"/>
  <c r="S44" i="24"/>
  <c r="S28" i="24"/>
  <c r="T28" i="24" s="1"/>
  <c r="O28" i="24" s="1"/>
  <c r="S12" i="24"/>
  <c r="S73" i="24"/>
  <c r="T73" i="24" s="1"/>
  <c r="O73" i="24" s="1"/>
  <c r="S99" i="24"/>
  <c r="S83" i="24"/>
  <c r="T83" i="24" s="1"/>
  <c r="O83" i="24" s="1"/>
  <c r="S67" i="24"/>
  <c r="S51" i="24"/>
  <c r="T51" i="24" s="1"/>
  <c r="O51" i="24" s="1"/>
  <c r="S35" i="24"/>
  <c r="S19" i="24"/>
  <c r="T19" i="24" s="1"/>
  <c r="O19" i="24" s="1"/>
  <c r="S93" i="24"/>
  <c r="S41" i="24"/>
  <c r="T41" i="24" s="1"/>
  <c r="O41" i="24" s="1"/>
  <c r="S90" i="24"/>
  <c r="S74" i="24"/>
  <c r="T74" i="24" s="1"/>
  <c r="O74" i="24" s="1"/>
  <c r="S58" i="24"/>
  <c r="S42" i="24"/>
  <c r="T42" i="24" s="1"/>
  <c r="O42" i="24" s="1"/>
  <c r="S26" i="24"/>
  <c r="S10" i="24"/>
  <c r="T10" i="24" s="1"/>
  <c r="O10" i="24" s="1"/>
  <c r="BO203" i="24"/>
  <c r="BR203" i="24" s="1"/>
  <c r="BO129" i="24"/>
  <c r="BR129" i="24" s="1"/>
  <c r="BO179" i="24"/>
  <c r="BR179" i="24" s="1"/>
  <c r="BO120" i="24"/>
  <c r="BR120" i="24" s="1"/>
  <c r="BO178" i="24"/>
  <c r="BR178" i="24" s="1"/>
  <c r="BO162" i="24"/>
  <c r="BR162" i="24" s="1"/>
  <c r="BO146" i="24"/>
  <c r="BR146" i="24" s="1"/>
  <c r="BO139" i="24"/>
  <c r="BR139" i="24" s="1"/>
  <c r="BO116" i="24"/>
  <c r="BR116" i="24" s="1"/>
  <c r="BO209" i="24"/>
  <c r="BR209" i="24" s="1"/>
  <c r="BO165" i="24"/>
  <c r="BR165" i="24" s="1"/>
  <c r="BO175" i="24"/>
  <c r="BR175" i="24" s="1"/>
  <c r="BO143" i="24"/>
  <c r="BR143" i="24" s="1"/>
  <c r="BO206" i="24"/>
  <c r="BR206" i="24" s="1"/>
  <c r="BO119" i="24"/>
  <c r="BR119" i="24" s="1"/>
  <c r="BO193" i="24"/>
  <c r="BR193" i="24" s="1"/>
  <c r="BO169" i="24"/>
  <c r="BR169" i="24" s="1"/>
  <c r="BO126" i="24"/>
  <c r="BR126" i="24" s="1"/>
  <c r="BO208" i="24"/>
  <c r="BR208" i="24" s="1"/>
  <c r="BO192" i="24"/>
  <c r="BR192" i="24" s="1"/>
  <c r="BO176" i="24"/>
  <c r="BR176" i="24" s="1"/>
  <c r="BO160" i="24"/>
  <c r="BR160" i="24" s="1"/>
  <c r="BO144" i="24"/>
  <c r="BR144" i="24" s="1"/>
  <c r="BN120" i="25"/>
  <c r="BR120" i="25" s="1"/>
  <c r="CC120" i="25"/>
  <c r="CC125" i="25"/>
  <c r="BN125" i="25"/>
  <c r="BR125" i="25" s="1"/>
  <c r="CC114" i="25"/>
  <c r="BN114" i="25"/>
  <c r="BR114" i="25" s="1"/>
  <c r="CC115" i="25"/>
  <c r="BN115" i="25"/>
  <c r="BR115" i="25" s="1"/>
  <c r="BN128" i="25"/>
  <c r="BR128" i="25" s="1"/>
  <c r="CC128" i="25"/>
  <c r="BN136" i="25"/>
  <c r="BR136" i="25" s="1"/>
  <c r="CC136" i="25"/>
  <c r="BN144" i="25"/>
  <c r="BR144" i="25" s="1"/>
  <c r="CC144" i="25"/>
  <c r="CC152" i="25"/>
  <c r="BN152" i="25"/>
  <c r="BR152" i="25" s="1"/>
  <c r="CC160" i="25"/>
  <c r="BN160" i="25"/>
  <c r="BR160" i="25" s="1"/>
  <c r="BN168" i="25"/>
  <c r="BR168" i="25" s="1"/>
  <c r="CC168" i="25"/>
  <c r="CC176" i="25"/>
  <c r="BN176" i="25"/>
  <c r="BR176" i="25" s="1"/>
  <c r="CC184" i="25"/>
  <c r="BN184" i="25"/>
  <c r="BR184" i="25" s="1"/>
  <c r="CC192" i="25"/>
  <c r="BN192" i="25"/>
  <c r="BR192" i="25" s="1"/>
  <c r="BN130" i="25"/>
  <c r="BR130" i="25" s="1"/>
  <c r="CC130" i="25"/>
  <c r="CC146" i="25"/>
  <c r="BN146" i="25"/>
  <c r="BR146" i="25" s="1"/>
  <c r="CC162" i="25"/>
  <c r="BN162" i="25"/>
  <c r="BR162" i="25" s="1"/>
  <c r="CC178" i="25"/>
  <c r="BN178" i="25"/>
  <c r="BR178" i="25" s="1"/>
  <c r="CC194" i="25"/>
  <c r="BN194" i="25"/>
  <c r="BR194" i="25" s="1"/>
  <c r="CC143" i="25"/>
  <c r="BN143" i="25"/>
  <c r="BR143" i="25" s="1"/>
  <c r="BN159" i="25"/>
  <c r="BR159" i="25" s="1"/>
  <c r="CC159" i="25"/>
  <c r="CC175" i="25"/>
  <c r="BN175" i="25"/>
  <c r="BR175" i="25" s="1"/>
  <c r="BN191" i="25"/>
  <c r="BR191" i="25" s="1"/>
  <c r="CC191" i="25"/>
  <c r="CC202" i="25"/>
  <c r="BN202" i="25"/>
  <c r="BR202" i="25" s="1"/>
  <c r="CC210" i="25"/>
  <c r="BN210" i="25"/>
  <c r="BR210" i="25" s="1"/>
  <c r="BN207" i="25"/>
  <c r="BR207" i="25" s="1"/>
  <c r="CC207" i="25"/>
  <c r="U110" i="24"/>
  <c r="V110" i="24" s="1"/>
  <c r="N110" i="24"/>
  <c r="N210" i="24"/>
  <c r="P210" i="24" s="1"/>
  <c r="N213" i="24"/>
  <c r="S141" i="24"/>
  <c r="T141" i="24" s="1"/>
  <c r="BO141" i="24"/>
  <c r="BR141" i="24" s="1"/>
  <c r="S184" i="24"/>
  <c r="T184" i="24" s="1"/>
  <c r="BO184" i="24"/>
  <c r="BR184" i="24" s="1"/>
  <c r="Q227" i="24"/>
  <c r="Q291" i="24"/>
  <c r="Q234" i="24"/>
  <c r="Q283" i="24"/>
  <c r="Q278" i="24"/>
  <c r="Q293" i="24"/>
  <c r="Q255" i="24"/>
  <c r="Q285" i="24"/>
  <c r="Q231" i="24"/>
  <c r="Q258" i="24"/>
  <c r="Q249" i="24"/>
  <c r="Q223" i="24"/>
  <c r="Q313" i="24"/>
  <c r="O217" i="24"/>
  <c r="J217" i="24"/>
  <c r="J110" i="24"/>
  <c r="O110" i="24"/>
  <c r="BY110" i="24" s="1"/>
  <c r="S121" i="24"/>
  <c r="T121" i="24" s="1"/>
  <c r="J121" i="24" s="1"/>
  <c r="S263" i="24"/>
  <c r="T263" i="24" s="1"/>
  <c r="O263" i="24" s="1"/>
  <c r="S150" i="24"/>
  <c r="T150" i="24" s="1"/>
  <c r="S306" i="24"/>
  <c r="T306" i="24" s="1"/>
  <c r="O306" i="24" s="1"/>
  <c r="S258" i="24"/>
  <c r="T258" i="24" s="1"/>
  <c r="O258" i="24" s="1"/>
  <c r="S155" i="24"/>
  <c r="T155" i="24" s="1"/>
  <c r="S231" i="24"/>
  <c r="T231" i="24" s="1"/>
  <c r="J231" i="24" s="1"/>
  <c r="S145" i="24"/>
  <c r="T145" i="24" s="1"/>
  <c r="S285" i="24"/>
  <c r="T285" i="24" s="1"/>
  <c r="O285" i="24" s="1"/>
  <c r="S237" i="24"/>
  <c r="T237" i="24" s="1"/>
  <c r="J237" i="24" s="1"/>
  <c r="S315" i="24"/>
  <c r="T315" i="24" s="1"/>
  <c r="J315" i="24" s="1"/>
  <c r="S210" i="24"/>
  <c r="T210" i="24" s="1"/>
  <c r="S130" i="24"/>
  <c r="T130" i="24" s="1"/>
  <c r="O130" i="24" s="1"/>
  <c r="S180" i="24"/>
  <c r="T180" i="24" s="1"/>
  <c r="J180" i="24" s="1"/>
  <c r="AI180" i="24" s="1"/>
  <c r="S132" i="24"/>
  <c r="T132" i="24" s="1"/>
  <c r="O132" i="24" s="1"/>
  <c r="S272" i="24"/>
  <c r="T272" i="24" s="1"/>
  <c r="J272" i="24" s="1"/>
  <c r="S224" i="24"/>
  <c r="T224" i="24" s="1"/>
  <c r="J224" i="24" s="1"/>
  <c r="S187" i="24"/>
  <c r="T187" i="24" s="1"/>
  <c r="S113" i="24"/>
  <c r="T113" i="24" s="1"/>
  <c r="O113" i="24" s="1"/>
  <c r="S125" i="24"/>
  <c r="T125" i="24" s="1"/>
  <c r="S163" i="24"/>
  <c r="T163" i="24" s="1"/>
  <c r="S295" i="24"/>
  <c r="T295" i="24" s="1"/>
  <c r="J295" i="24" s="1"/>
  <c r="S243" i="24"/>
  <c r="T243" i="24" s="1"/>
  <c r="O243" i="24" s="1"/>
  <c r="S202" i="24"/>
  <c r="T202" i="24" s="1"/>
  <c r="J202" i="24" s="1"/>
  <c r="AI202" i="24" s="1"/>
  <c r="S174" i="24"/>
  <c r="T174" i="24" s="1"/>
  <c r="O174" i="24" s="1"/>
  <c r="S158" i="24"/>
  <c r="T158" i="24" s="1"/>
  <c r="O158" i="24" s="1"/>
  <c r="S142" i="24"/>
  <c r="T142" i="24" s="1"/>
  <c r="S314" i="24"/>
  <c r="T314" i="24" s="1"/>
  <c r="O314" i="24" s="1"/>
  <c r="S298" i="24"/>
  <c r="T298" i="24" s="1"/>
  <c r="J298" i="24" s="1"/>
  <c r="S282" i="24"/>
  <c r="T282" i="24" s="1"/>
  <c r="O282" i="24" s="1"/>
  <c r="S266" i="24"/>
  <c r="T266" i="24" s="1"/>
  <c r="O266" i="24" s="1"/>
  <c r="S250" i="24"/>
  <c r="T250" i="24" s="1"/>
  <c r="O250" i="24" s="1"/>
  <c r="S234" i="24"/>
  <c r="T234" i="24" s="1"/>
  <c r="J234" i="24" s="1"/>
  <c r="S183" i="24"/>
  <c r="T183" i="24" s="1"/>
  <c r="S307" i="24"/>
  <c r="T307" i="24" s="1"/>
  <c r="O307" i="24" s="1"/>
  <c r="S255" i="24"/>
  <c r="T255" i="24" s="1"/>
  <c r="J255" i="24" s="1"/>
  <c r="S198" i="24"/>
  <c r="T198" i="24" s="1"/>
  <c r="O198" i="24" s="1"/>
  <c r="S197" i="24"/>
  <c r="T197" i="24" s="1"/>
  <c r="J197" i="24" s="1"/>
  <c r="S153" i="24"/>
  <c r="T153" i="24" s="1"/>
  <c r="O153" i="24" s="1"/>
  <c r="S137" i="24"/>
  <c r="T137" i="24" s="1"/>
  <c r="S309" i="24"/>
  <c r="T309" i="24" s="1"/>
  <c r="O309" i="24" s="1"/>
  <c r="S293" i="24"/>
  <c r="T293" i="24" s="1"/>
  <c r="J293" i="24" s="1"/>
  <c r="S277" i="24"/>
  <c r="T277" i="24" s="1"/>
  <c r="O277" i="24" s="1"/>
  <c r="S261" i="24"/>
  <c r="T261" i="24" s="1"/>
  <c r="O261" i="24" s="1"/>
  <c r="S245" i="24"/>
  <c r="T245" i="24" s="1"/>
  <c r="O245" i="24" s="1"/>
  <c r="S229" i="24"/>
  <c r="T229" i="24" s="1"/>
  <c r="J229" i="24" s="1"/>
  <c r="S171" i="24"/>
  <c r="T171" i="24" s="1"/>
  <c r="O171" i="24" s="1"/>
  <c r="S135" i="24"/>
  <c r="T135" i="24" s="1"/>
  <c r="J135" i="24" s="1"/>
  <c r="AI135" i="24" s="1"/>
  <c r="S299" i="24"/>
  <c r="T299" i="24" s="1"/>
  <c r="O299" i="24" s="1"/>
  <c r="S259" i="24"/>
  <c r="T259" i="24" s="1"/>
  <c r="J259" i="24" s="1"/>
  <c r="S128" i="24"/>
  <c r="T128" i="24" s="1"/>
  <c r="S194" i="24"/>
  <c r="T194" i="24" s="1"/>
  <c r="S115" i="24"/>
  <c r="T115" i="24" s="1"/>
  <c r="S189" i="24"/>
  <c r="T189" i="24" s="1"/>
  <c r="O189" i="24" s="1"/>
  <c r="S161" i="24"/>
  <c r="T161" i="24" s="1"/>
  <c r="S122" i="24"/>
  <c r="T122" i="24" s="1"/>
  <c r="S204" i="24"/>
  <c r="T204" i="24" s="1"/>
  <c r="O204" i="24" s="1"/>
  <c r="S188" i="24"/>
  <c r="T188" i="24" s="1"/>
  <c r="S172" i="24"/>
  <c r="T172" i="24" s="1"/>
  <c r="S156" i="24"/>
  <c r="T156" i="24" s="1"/>
  <c r="O156" i="24" s="1"/>
  <c r="S140" i="24"/>
  <c r="T140" i="24" s="1"/>
  <c r="J140" i="24" s="1"/>
  <c r="AI140" i="24" s="1"/>
  <c r="S312" i="24"/>
  <c r="T312" i="24" s="1"/>
  <c r="O312" i="24" s="1"/>
  <c r="S296" i="24"/>
  <c r="T296" i="24" s="1"/>
  <c r="O296" i="24" s="1"/>
  <c r="S280" i="24"/>
  <c r="T280" i="24" s="1"/>
  <c r="J280" i="24" s="1"/>
  <c r="S264" i="24"/>
  <c r="T264" i="24" s="1"/>
  <c r="O264" i="24" s="1"/>
  <c r="S248" i="24"/>
  <c r="T248" i="24" s="1"/>
  <c r="J248" i="24" s="1"/>
  <c r="S232" i="24"/>
  <c r="T232" i="24" s="1"/>
  <c r="O232" i="24" s="1"/>
  <c r="S199" i="24"/>
  <c r="T199" i="24" s="1"/>
  <c r="S131" i="24"/>
  <c r="T131" i="24" s="1"/>
  <c r="S182" i="24"/>
  <c r="T182" i="24" s="1"/>
  <c r="S290" i="24"/>
  <c r="T290" i="24" s="1"/>
  <c r="O290" i="24" s="1"/>
  <c r="S226" i="24"/>
  <c r="T226" i="24" s="1"/>
  <c r="O226" i="24" s="1"/>
  <c r="S123" i="24"/>
  <c r="T123" i="24" s="1"/>
  <c r="S317" i="24"/>
  <c r="T317" i="24" s="1"/>
  <c r="J317" i="24" s="1"/>
  <c r="S253" i="24"/>
  <c r="T253" i="24" s="1"/>
  <c r="O253" i="24" s="1"/>
  <c r="S151" i="24"/>
  <c r="T151" i="24" s="1"/>
  <c r="O151" i="24" s="1"/>
  <c r="S235" i="24"/>
  <c r="T235" i="24" s="1"/>
  <c r="J235" i="24" s="1"/>
  <c r="S201" i="24"/>
  <c r="T201" i="24" s="1"/>
  <c r="S114" i="24"/>
  <c r="T114" i="24" s="1"/>
  <c r="O114" i="24" s="1"/>
  <c r="S164" i="24"/>
  <c r="T164" i="24" s="1"/>
  <c r="J164" i="24" s="1"/>
  <c r="AI164" i="24" s="1"/>
  <c r="S304" i="24"/>
  <c r="T304" i="24" s="1"/>
  <c r="J304" i="24" s="1"/>
  <c r="S256" i="24"/>
  <c r="T256" i="24" s="1"/>
  <c r="O256" i="24" s="1"/>
  <c r="S117" i="24"/>
  <c r="T117" i="24" s="1"/>
  <c r="O117" i="24" s="1"/>
  <c r="S195" i="24"/>
  <c r="T195" i="24" s="1"/>
  <c r="O195" i="24" s="1"/>
  <c r="S207" i="24"/>
  <c r="T207" i="24" s="1"/>
  <c r="S147" i="24"/>
  <c r="T147" i="24" s="1"/>
  <c r="O147" i="24" s="1"/>
  <c r="S283" i="24"/>
  <c r="T283" i="24" s="1"/>
  <c r="O283" i="24" s="1"/>
  <c r="S227" i="24"/>
  <c r="T227" i="24" s="1"/>
  <c r="O227" i="24" s="1"/>
  <c r="S186" i="24"/>
  <c r="T186" i="24" s="1"/>
  <c r="S170" i="24"/>
  <c r="T170" i="24" s="1"/>
  <c r="S154" i="24"/>
  <c r="T154" i="24" s="1"/>
  <c r="S138" i="24"/>
  <c r="T138" i="24" s="1"/>
  <c r="J138" i="24" s="1"/>
  <c r="AI138" i="24" s="1"/>
  <c r="S310" i="24"/>
  <c r="T310" i="24" s="1"/>
  <c r="J310" i="24" s="1"/>
  <c r="S294" i="24"/>
  <c r="T294" i="24" s="1"/>
  <c r="J294" i="24" s="1"/>
  <c r="S278" i="24"/>
  <c r="T278" i="24" s="1"/>
  <c r="O278" i="24" s="1"/>
  <c r="S262" i="24"/>
  <c r="T262" i="24" s="1"/>
  <c r="O262" i="24" s="1"/>
  <c r="S246" i="24"/>
  <c r="T246" i="24" s="1"/>
  <c r="J246" i="24" s="1"/>
  <c r="S230" i="24"/>
  <c r="T230" i="24" s="1"/>
  <c r="J230" i="24" s="1"/>
  <c r="S167" i="24"/>
  <c r="T167" i="24" s="1"/>
  <c r="S291" i="24"/>
  <c r="T291" i="24" s="1"/>
  <c r="O291" i="24" s="1"/>
  <c r="S239" i="24"/>
  <c r="T239" i="24" s="1"/>
  <c r="O239" i="24" s="1"/>
  <c r="S190" i="24"/>
  <c r="T190" i="24" s="1"/>
  <c r="O190" i="24" s="1"/>
  <c r="S185" i="24"/>
  <c r="T185" i="24" s="1"/>
  <c r="O185" i="24" s="1"/>
  <c r="S149" i="24"/>
  <c r="T149" i="24" s="1"/>
  <c r="S133" i="24"/>
  <c r="T133" i="24" s="1"/>
  <c r="O133" i="24" s="1"/>
  <c r="S305" i="24"/>
  <c r="T305" i="24" s="1"/>
  <c r="J305" i="24" s="1"/>
  <c r="S289" i="24"/>
  <c r="T289" i="24" s="1"/>
  <c r="J289" i="24" s="1"/>
  <c r="S273" i="24"/>
  <c r="T273" i="24" s="1"/>
  <c r="J273" i="24" s="1"/>
  <c r="S257" i="24"/>
  <c r="T257" i="24" s="1"/>
  <c r="J257" i="24" s="1"/>
  <c r="S241" i="24"/>
  <c r="T241" i="24" s="1"/>
  <c r="J241" i="24" s="1"/>
  <c r="S225" i="24"/>
  <c r="T225" i="24" s="1"/>
  <c r="J225" i="24" s="1"/>
  <c r="S159" i="24"/>
  <c r="T159" i="24" s="1"/>
  <c r="S218" i="24"/>
  <c r="T218" i="24" s="1"/>
  <c r="O218" i="24" s="1"/>
  <c r="S287" i="24"/>
  <c r="T287" i="24" s="1"/>
  <c r="J287" i="24" s="1"/>
  <c r="S247" i="24"/>
  <c r="T247" i="24" s="1"/>
  <c r="O247" i="24" s="1"/>
  <c r="S124" i="24"/>
  <c r="T124" i="24" s="1"/>
  <c r="J124" i="24" s="1"/>
  <c r="AI124" i="24" s="1"/>
  <c r="S112" i="24"/>
  <c r="T112" i="24" s="1"/>
  <c r="S205" i="24"/>
  <c r="T205" i="24" s="1"/>
  <c r="S181" i="24"/>
  <c r="T181" i="24" s="1"/>
  <c r="S157" i="24"/>
  <c r="T157" i="24" s="1"/>
  <c r="S118" i="24"/>
  <c r="T118" i="24" s="1"/>
  <c r="J118" i="24" s="1"/>
  <c r="AI118" i="24" s="1"/>
  <c r="S200" i="24"/>
  <c r="T200" i="24" s="1"/>
  <c r="J200" i="24" s="1"/>
  <c r="AI200" i="24" s="1"/>
  <c r="S168" i="24"/>
  <c r="T168" i="24" s="1"/>
  <c r="O168" i="24" s="1"/>
  <c r="S152" i="24"/>
  <c r="T152" i="24" s="1"/>
  <c r="S136" i="24"/>
  <c r="T136" i="24" s="1"/>
  <c r="S308" i="24"/>
  <c r="T308" i="24" s="1"/>
  <c r="J308" i="24" s="1"/>
  <c r="S292" i="24"/>
  <c r="T292" i="24" s="1"/>
  <c r="O292" i="24" s="1"/>
  <c r="S276" i="24"/>
  <c r="T276" i="24" s="1"/>
  <c r="J276" i="24" s="1"/>
  <c r="S260" i="24"/>
  <c r="T260" i="24" s="1"/>
  <c r="J260" i="24" s="1"/>
  <c r="S244" i="24"/>
  <c r="T244" i="24" s="1"/>
  <c r="J244" i="24" s="1"/>
  <c r="S228" i="24"/>
  <c r="T228" i="24" s="1"/>
  <c r="J228" i="24" s="1"/>
  <c r="S191" i="24"/>
  <c r="T191" i="24" s="1"/>
  <c r="O191" i="24" s="1"/>
  <c r="S111" i="24"/>
  <c r="T111" i="24" s="1"/>
  <c r="J111" i="24" s="1"/>
  <c r="S166" i="24"/>
  <c r="T166" i="24" s="1"/>
  <c r="O166" i="24" s="1"/>
  <c r="S134" i="24"/>
  <c r="T134" i="24" s="1"/>
  <c r="S274" i="24"/>
  <c r="T274" i="24" s="1"/>
  <c r="J274" i="24" s="1"/>
  <c r="S242" i="24"/>
  <c r="T242" i="24" s="1"/>
  <c r="J242" i="24" s="1"/>
  <c r="S279" i="24"/>
  <c r="T279" i="24" s="1"/>
  <c r="O279" i="24" s="1"/>
  <c r="S173" i="24"/>
  <c r="T173" i="24" s="1"/>
  <c r="J173" i="24" s="1"/>
  <c r="AI173" i="24" s="1"/>
  <c r="S301" i="24"/>
  <c r="T301" i="24" s="1"/>
  <c r="J301" i="24" s="1"/>
  <c r="S269" i="24"/>
  <c r="T269" i="24" s="1"/>
  <c r="J269" i="24" s="1"/>
  <c r="S221" i="24"/>
  <c r="T221" i="24" s="1"/>
  <c r="J221" i="24" s="1"/>
  <c r="S275" i="24"/>
  <c r="T275" i="24" s="1"/>
  <c r="J275" i="24" s="1"/>
  <c r="S127" i="24"/>
  <c r="T127" i="24" s="1"/>
  <c r="J127" i="24" s="1"/>
  <c r="S177" i="24"/>
  <c r="T177" i="24" s="1"/>
  <c r="S196" i="24"/>
  <c r="T196" i="24" s="1"/>
  <c r="S148" i="24"/>
  <c r="T148" i="24" s="1"/>
  <c r="S288" i="24"/>
  <c r="T288" i="24" s="1"/>
  <c r="J288" i="24" s="1"/>
  <c r="S240" i="24"/>
  <c r="T240" i="24" s="1"/>
  <c r="J240" i="24" s="1"/>
  <c r="S203" i="24"/>
  <c r="T203" i="24" s="1"/>
  <c r="S129" i="24"/>
  <c r="T129" i="24" s="1"/>
  <c r="J129" i="24" s="1"/>
  <c r="AI129" i="24" s="1"/>
  <c r="S179" i="24"/>
  <c r="T179" i="24" s="1"/>
  <c r="S311" i="24"/>
  <c r="T311" i="24" s="1"/>
  <c r="J311" i="24" s="1"/>
  <c r="S251" i="24"/>
  <c r="T251" i="24" s="1"/>
  <c r="J251" i="24" s="1"/>
  <c r="S120" i="24"/>
  <c r="T120" i="24" s="1"/>
  <c r="O120" i="24" s="1"/>
  <c r="S178" i="24"/>
  <c r="T178" i="24" s="1"/>
  <c r="J178" i="24" s="1"/>
  <c r="AI178" i="24" s="1"/>
  <c r="S162" i="24"/>
  <c r="T162" i="24" s="1"/>
  <c r="S146" i="24"/>
  <c r="T146" i="24" s="1"/>
  <c r="O146" i="24" s="1"/>
  <c r="S219" i="24"/>
  <c r="T219" i="24" s="1"/>
  <c r="J219" i="24" s="1"/>
  <c r="S302" i="24"/>
  <c r="T302" i="24" s="1"/>
  <c r="J302" i="24" s="1"/>
  <c r="S286" i="24"/>
  <c r="T286" i="24" s="1"/>
  <c r="J286" i="24" s="1"/>
  <c r="S270" i="24"/>
  <c r="T270" i="24" s="1"/>
  <c r="O270" i="24" s="1"/>
  <c r="S254" i="24"/>
  <c r="T254" i="24" s="1"/>
  <c r="O254" i="24" s="1"/>
  <c r="S238" i="24"/>
  <c r="T238" i="24" s="1"/>
  <c r="O238" i="24" s="1"/>
  <c r="S222" i="24"/>
  <c r="T222" i="24" s="1"/>
  <c r="J222" i="24" s="1"/>
  <c r="S139" i="24"/>
  <c r="T139" i="24" s="1"/>
  <c r="O139" i="24" s="1"/>
  <c r="S267" i="24"/>
  <c r="T267" i="24" s="1"/>
  <c r="J267" i="24" s="1"/>
  <c r="S116" i="24"/>
  <c r="T116" i="24" s="1"/>
  <c r="S209" i="24"/>
  <c r="T209" i="24" s="1"/>
  <c r="O209" i="24" s="1"/>
  <c r="S165" i="24"/>
  <c r="T165" i="24" s="1"/>
  <c r="S313" i="24"/>
  <c r="T313" i="24" s="1"/>
  <c r="O313" i="24" s="1"/>
  <c r="S297" i="24"/>
  <c r="T297" i="24" s="1"/>
  <c r="O297" i="24" s="1"/>
  <c r="S281" i="24"/>
  <c r="T281" i="24" s="1"/>
  <c r="O281" i="24" s="1"/>
  <c r="S265" i="24"/>
  <c r="T265" i="24" s="1"/>
  <c r="J265" i="24" s="1"/>
  <c r="S249" i="24"/>
  <c r="T249" i="24" s="1"/>
  <c r="O249" i="24" s="1"/>
  <c r="S233" i="24"/>
  <c r="T233" i="24" s="1"/>
  <c r="O233" i="24" s="1"/>
  <c r="S175" i="24"/>
  <c r="T175" i="24" s="1"/>
  <c r="J175" i="24" s="1"/>
  <c r="AI175" i="24" s="1"/>
  <c r="S143" i="24"/>
  <c r="T143" i="24" s="1"/>
  <c r="O143" i="24" s="1"/>
  <c r="S303" i="24"/>
  <c r="T303" i="24" s="1"/>
  <c r="J303" i="24" s="1"/>
  <c r="S271" i="24"/>
  <c r="T271" i="24" s="1"/>
  <c r="O271" i="24" s="1"/>
  <c r="S223" i="24"/>
  <c r="T223" i="24" s="1"/>
  <c r="J223" i="24" s="1"/>
  <c r="S206" i="24"/>
  <c r="T206" i="24" s="1"/>
  <c r="S119" i="24"/>
  <c r="T119" i="24" s="1"/>
  <c r="S193" i="24"/>
  <c r="T193" i="24" s="1"/>
  <c r="O193" i="24" s="1"/>
  <c r="S169" i="24"/>
  <c r="T169" i="24" s="1"/>
  <c r="S126" i="24"/>
  <c r="T126" i="24" s="1"/>
  <c r="J126" i="24" s="1"/>
  <c r="AI126" i="24" s="1"/>
  <c r="S208" i="24"/>
  <c r="T208" i="24" s="1"/>
  <c r="S192" i="24"/>
  <c r="T192" i="24" s="1"/>
  <c r="S176" i="24"/>
  <c r="T176" i="24" s="1"/>
  <c r="O176" i="24" s="1"/>
  <c r="S160" i="24"/>
  <c r="T160" i="24" s="1"/>
  <c r="J160" i="24" s="1"/>
  <c r="AI160" i="24" s="1"/>
  <c r="S144" i="24"/>
  <c r="T144" i="24" s="1"/>
  <c r="O144" i="24" s="1"/>
  <c r="S316" i="24"/>
  <c r="T316" i="24" s="1"/>
  <c r="J316" i="24" s="1"/>
  <c r="S300" i="24"/>
  <c r="T300" i="24" s="1"/>
  <c r="O300" i="24" s="1"/>
  <c r="S284" i="24"/>
  <c r="T284" i="24" s="1"/>
  <c r="O284" i="24" s="1"/>
  <c r="S268" i="24"/>
  <c r="T268" i="24" s="1"/>
  <c r="O268" i="24" s="1"/>
  <c r="S252" i="24"/>
  <c r="T252" i="24" s="1"/>
  <c r="J252" i="24" s="1"/>
  <c r="S236" i="24"/>
  <c r="T236" i="24" s="1"/>
  <c r="J236" i="24" s="1"/>
  <c r="S220" i="24"/>
  <c r="T220" i="24" s="1"/>
  <c r="J220" i="24" s="1"/>
  <c r="CD8" i="24"/>
  <c r="Q286" i="24"/>
  <c r="Q300" i="24"/>
  <c r="Q265" i="24"/>
  <c r="CD17" i="24"/>
  <c r="Q238" i="24"/>
  <c r="Q270" i="24"/>
  <c r="Q252" i="24"/>
  <c r="Q220" i="24"/>
  <c r="Q297" i="24"/>
  <c r="Q303" i="24"/>
  <c r="Q222" i="24"/>
  <c r="Q254" i="24"/>
  <c r="Q267" i="24"/>
  <c r="Q268" i="24"/>
  <c r="Q233" i="24"/>
  <c r="Q271" i="24"/>
  <c r="Q316" i="24"/>
  <c r="Q304" i="24"/>
  <c r="Q317" i="24"/>
  <c r="Q279" i="24"/>
  <c r="Q242" i="24"/>
  <c r="Q240" i="24"/>
  <c r="Q224" i="24"/>
  <c r="Q288" i="24"/>
  <c r="Q253" i="24"/>
  <c r="Q263" i="24"/>
  <c r="Q315" i="24"/>
  <c r="Q272" i="24"/>
  <c r="Q237" i="24"/>
  <c r="Q302" i="24"/>
  <c r="Q251" i="24"/>
  <c r="Q281" i="24"/>
  <c r="Q219" i="24"/>
  <c r="Q307" i="24"/>
  <c r="Q296" i="24"/>
  <c r="Q250" i="24"/>
  <c r="Q314" i="24"/>
  <c r="Q261" i="24"/>
  <c r="Q282" i="24"/>
  <c r="Q243" i="24"/>
  <c r="Q221" i="24"/>
  <c r="Q309" i="24"/>
  <c r="Q274" i="24"/>
  <c r="Q306" i="24"/>
  <c r="Q235" i="24"/>
  <c r="Q299" i="24"/>
  <c r="Q269" i="24"/>
  <c r="Q245" i="24"/>
  <c r="Q298" i="24"/>
  <c r="Q259" i="24"/>
  <c r="Q312" i="24"/>
  <c r="Q295" i="24"/>
  <c r="Q232" i="24"/>
  <c r="Q248" i="24"/>
  <c r="Q277" i="24"/>
  <c r="Q218" i="24"/>
  <c r="Q276" i="24"/>
  <c r="Q241" i="24"/>
  <c r="Q305" i="24"/>
  <c r="Q246" i="24"/>
  <c r="Q239" i="24"/>
  <c r="Q151" i="24"/>
  <c r="Q247" i="24"/>
  <c r="Q225" i="24"/>
  <c r="Q294" i="24"/>
  <c r="Q287" i="24"/>
  <c r="Q202" i="24"/>
  <c r="Q228" i="24"/>
  <c r="Q260" i="24"/>
  <c r="Q289" i="24"/>
  <c r="Q308" i="24"/>
  <c r="Q230" i="24"/>
  <c r="Q262" i="24"/>
  <c r="U203" i="24"/>
  <c r="U179" i="24"/>
  <c r="U162" i="24"/>
  <c r="U116" i="24"/>
  <c r="U165" i="24"/>
  <c r="U141" i="24"/>
  <c r="U206" i="24"/>
  <c r="V206" i="24" s="1"/>
  <c r="U119" i="24"/>
  <c r="V119" i="24" s="1"/>
  <c r="U169" i="24"/>
  <c r="U208" i="24"/>
  <c r="U192" i="24"/>
  <c r="U187" i="24"/>
  <c r="U125" i="24"/>
  <c r="U163" i="24"/>
  <c r="U142" i="24"/>
  <c r="V142" i="24" s="1"/>
  <c r="U183" i="24"/>
  <c r="U137" i="24"/>
  <c r="V137" i="24" s="1"/>
  <c r="U128" i="24"/>
  <c r="U194" i="24"/>
  <c r="U115" i="24"/>
  <c r="U161" i="24"/>
  <c r="V161" i="24" s="1"/>
  <c r="U122" i="24"/>
  <c r="V122" i="24" s="1"/>
  <c r="U188" i="24"/>
  <c r="V188" i="24" s="1"/>
  <c r="U172" i="24"/>
  <c r="U207" i="24"/>
  <c r="U186" i="24"/>
  <c r="U170" i="24"/>
  <c r="V170" i="24" s="1"/>
  <c r="U154" i="24"/>
  <c r="U167" i="24"/>
  <c r="U149" i="24"/>
  <c r="V149" i="24" s="1"/>
  <c r="U159" i="24"/>
  <c r="U112" i="24"/>
  <c r="U205" i="24"/>
  <c r="U181" i="24"/>
  <c r="V181" i="24" s="1"/>
  <c r="U157" i="24"/>
  <c r="V157" i="24" s="1"/>
  <c r="U184" i="24"/>
  <c r="V184" i="24" s="1"/>
  <c r="U152" i="24"/>
  <c r="U136" i="24"/>
  <c r="V136" i="24" s="1"/>
  <c r="U199" i="24"/>
  <c r="U131" i="24"/>
  <c r="U182" i="24"/>
  <c r="V182" i="24" s="1"/>
  <c r="U150" i="24"/>
  <c r="V150" i="24" s="1"/>
  <c r="U134" i="24"/>
  <c r="V134" i="24" s="1"/>
  <c r="U155" i="24"/>
  <c r="V155" i="24" s="1"/>
  <c r="U123" i="24"/>
  <c r="U145" i="24"/>
  <c r="V145" i="24" s="1"/>
  <c r="U210" i="24"/>
  <c r="U201" i="24"/>
  <c r="U177" i="24"/>
  <c r="V177" i="24" s="1"/>
  <c r="U196" i="24"/>
  <c r="V196" i="24" s="1"/>
  <c r="U148" i="24"/>
  <c r="V148" i="24" s="1"/>
  <c r="T117" i="25"/>
  <c r="T126" i="25"/>
  <c r="T127" i="25"/>
  <c r="T133" i="25"/>
  <c r="T141" i="25"/>
  <c r="T149" i="25"/>
  <c r="T157" i="25"/>
  <c r="T165" i="25"/>
  <c r="T173" i="25"/>
  <c r="T181" i="25"/>
  <c r="T189" i="25"/>
  <c r="T197" i="25"/>
  <c r="T142" i="25"/>
  <c r="T158" i="25"/>
  <c r="T190" i="25"/>
  <c r="T280" i="25"/>
  <c r="T139" i="25"/>
  <c r="T155" i="25"/>
  <c r="T171" i="25"/>
  <c r="T187" i="25"/>
  <c r="T209" i="25"/>
  <c r="T203" i="25"/>
  <c r="T260" i="25"/>
  <c r="T208" i="25"/>
  <c r="T247" i="25"/>
  <c r="T318" i="25"/>
  <c r="T283" i="25"/>
  <c r="T290" i="25"/>
  <c r="T308" i="25"/>
  <c r="T125" i="25"/>
  <c r="T128" i="25"/>
  <c r="T176" i="25"/>
  <c r="T146" i="25"/>
  <c r="T262" i="25"/>
  <c r="T273" i="25"/>
  <c r="T312" i="25"/>
  <c r="T121" i="25"/>
  <c r="T124" i="25"/>
  <c r="T118" i="25"/>
  <c r="T275" i="25"/>
  <c r="T145" i="25"/>
  <c r="T169" i="25"/>
  <c r="T177" i="25"/>
  <c r="T150" i="25"/>
  <c r="T198" i="25"/>
  <c r="T231" i="25"/>
  <c r="T131" i="25"/>
  <c r="T147" i="25"/>
  <c r="T163" i="25"/>
  <c r="T195" i="25"/>
  <c r="T205" i="25"/>
  <c r="T236" i="25"/>
  <c r="T268" i="25"/>
  <c r="T200" i="25"/>
  <c r="T282" i="25"/>
  <c r="T277" i="25"/>
  <c r="T316" i="25"/>
  <c r="T152" i="25"/>
  <c r="T184" i="25"/>
  <c r="T162" i="25"/>
  <c r="T202" i="25"/>
  <c r="T207" i="25"/>
  <c r="T294" i="25"/>
  <c r="T113" i="25"/>
  <c r="T122" i="25"/>
  <c r="T279" i="25"/>
  <c r="T132" i="25"/>
  <c r="T148" i="25"/>
  <c r="T156" i="25"/>
  <c r="T172" i="25"/>
  <c r="T180" i="25"/>
  <c r="T188" i="25"/>
  <c r="T138" i="25"/>
  <c r="T170" i="25"/>
  <c r="T258" i="25"/>
  <c r="T151" i="25"/>
  <c r="T183" i="25"/>
  <c r="T204" i="25"/>
  <c r="T311" i="25"/>
  <c r="T281" i="25"/>
  <c r="T120" i="25"/>
  <c r="T114" i="25"/>
  <c r="T168" i="25"/>
  <c r="T192" i="25"/>
  <c r="U204" i="24"/>
  <c r="V204" i="24" s="1"/>
  <c r="U120" i="24"/>
  <c r="V120" i="24" s="1"/>
  <c r="U209" i="24"/>
  <c r="V209" i="24" s="1"/>
  <c r="U175" i="24"/>
  <c r="U113" i="24"/>
  <c r="U202" i="24"/>
  <c r="V202" i="24" s="1"/>
  <c r="U198" i="24"/>
  <c r="U153" i="24"/>
  <c r="V153" i="24" s="1"/>
  <c r="U176" i="24"/>
  <c r="T111" i="25"/>
  <c r="T123" i="25"/>
  <c r="T140" i="25"/>
  <c r="T167" i="25"/>
  <c r="T206" i="25"/>
  <c r="T276" i="25"/>
  <c r="T136" i="25"/>
  <c r="T144" i="25"/>
  <c r="U191" i="24"/>
  <c r="U166" i="24"/>
  <c r="V166" i="24" s="1"/>
  <c r="U173" i="24"/>
  <c r="U127" i="24"/>
  <c r="V127" i="24" s="1"/>
  <c r="U114" i="24"/>
  <c r="V114" i="24" s="1"/>
  <c r="U132" i="24"/>
  <c r="T112" i="25"/>
  <c r="T196" i="25"/>
  <c r="T186" i="25"/>
  <c r="T135" i="25"/>
  <c r="T199" i="25"/>
  <c r="T143" i="25"/>
  <c r="T210" i="25"/>
  <c r="U117" i="24"/>
  <c r="V117" i="24" s="1"/>
  <c r="U185" i="24"/>
  <c r="T129" i="25"/>
  <c r="T153" i="25"/>
  <c r="T166" i="25"/>
  <c r="T179" i="25"/>
  <c r="T224" i="25"/>
  <c r="T232" i="25"/>
  <c r="T219" i="25"/>
  <c r="T234" i="25"/>
  <c r="T242" i="25"/>
  <c r="T266" i="25"/>
  <c r="T226" i="25"/>
  <c r="T310" i="25"/>
  <c r="T240" i="25"/>
  <c r="T259" i="25"/>
  <c r="T296" i="25"/>
  <c r="T286" i="25"/>
  <c r="T302" i="25"/>
  <c r="T306" i="25"/>
  <c r="T227" i="25"/>
  <c r="T254" i="25"/>
  <c r="T248" i="25"/>
  <c r="T301" i="25"/>
  <c r="T278" i="25"/>
  <c r="T229" i="25"/>
  <c r="T272" i="25"/>
  <c r="T222" i="25"/>
  <c r="T300" i="25"/>
  <c r="T252" i="25"/>
  <c r="T288" i="25"/>
  <c r="T291" i="25"/>
  <c r="T313" i="25"/>
  <c r="T297" i="25"/>
  <c r="T245" i="25"/>
  <c r="T253" i="25"/>
  <c r="T230" i="25"/>
  <c r="T307" i="25"/>
  <c r="T221" i="25"/>
  <c r="T241" i="25"/>
  <c r="T265" i="25"/>
  <c r="T255" i="25"/>
  <c r="T305" i="25"/>
  <c r="U129" i="24"/>
  <c r="V129" i="24" s="1"/>
  <c r="U146" i="24"/>
  <c r="V146" i="24" s="1"/>
  <c r="U190" i="24"/>
  <c r="V190" i="24" s="1"/>
  <c r="U251" i="24"/>
  <c r="V251" i="24" s="1"/>
  <c r="U219" i="24"/>
  <c r="U302" i="24"/>
  <c r="V302" i="24" s="1"/>
  <c r="U286" i="24"/>
  <c r="V286" i="24" s="1"/>
  <c r="U270" i="24"/>
  <c r="V270" i="24" s="1"/>
  <c r="U254" i="24"/>
  <c r="V254" i="24" s="1"/>
  <c r="U238" i="24"/>
  <c r="U222" i="24"/>
  <c r="V222" i="24" s="1"/>
  <c r="U267" i="24"/>
  <c r="V267" i="24" s="1"/>
  <c r="U297" i="24"/>
  <c r="U281" i="24"/>
  <c r="V281" i="24" s="1"/>
  <c r="U265" i="24"/>
  <c r="U233" i="24"/>
  <c r="U143" i="24"/>
  <c r="U303" i="24"/>
  <c r="U271" i="24"/>
  <c r="U126" i="24"/>
  <c r="U144" i="24"/>
  <c r="V144" i="24" s="1"/>
  <c r="U316" i="24"/>
  <c r="V316" i="24" s="1"/>
  <c r="U300" i="24"/>
  <c r="U268" i="24"/>
  <c r="U252" i="24"/>
  <c r="V252" i="24" s="1"/>
  <c r="U220" i="24"/>
  <c r="V220" i="24" s="1"/>
  <c r="T164" i="25"/>
  <c r="T154" i="25"/>
  <c r="T250" i="25"/>
  <c r="T256" i="25"/>
  <c r="T285" i="25"/>
  <c r="T243" i="25"/>
  <c r="T295" i="25"/>
  <c r="T317" i="25"/>
  <c r="U158" i="24"/>
  <c r="U197" i="24"/>
  <c r="U135" i="24"/>
  <c r="V135" i="24" s="1"/>
  <c r="U189" i="24"/>
  <c r="T233" i="25"/>
  <c r="T292" i="25"/>
  <c r="T223" i="25"/>
  <c r="T244" i="25"/>
  <c r="T263" i="25"/>
  <c r="T274" i="25"/>
  <c r="T299" i="25"/>
  <c r="U147" i="24"/>
  <c r="U138" i="24"/>
  <c r="V138" i="24" s="1"/>
  <c r="U118" i="24"/>
  <c r="V118" i="24" s="1"/>
  <c r="U200" i="24"/>
  <c r="T238" i="25"/>
  <c r="T270" i="25"/>
  <c r="T284" i="25"/>
  <c r="T264" i="25"/>
  <c r="T235" i="25"/>
  <c r="T251" i="25"/>
  <c r="T267" i="25"/>
  <c r="T287" i="25"/>
  <c r="T314" i="25"/>
  <c r="T309" i="25"/>
  <c r="T304" i="25"/>
  <c r="N217" i="24"/>
  <c r="Q217" i="24" s="1"/>
  <c r="U217" i="24"/>
  <c r="V217" i="24" s="1"/>
  <c r="U313" i="24"/>
  <c r="U236" i="24"/>
  <c r="J77" i="23"/>
  <c r="L77" i="23" s="1"/>
  <c r="U295" i="24"/>
  <c r="U243" i="24"/>
  <c r="V243" i="24" s="1"/>
  <c r="U174" i="24"/>
  <c r="V174" i="24" s="1"/>
  <c r="U314" i="24"/>
  <c r="V314" i="24" s="1"/>
  <c r="U298" i="24"/>
  <c r="V298" i="24" s="1"/>
  <c r="U282" i="24"/>
  <c r="V282" i="24" s="1"/>
  <c r="U266" i="24"/>
  <c r="V266" i="24" s="1"/>
  <c r="U250" i="24"/>
  <c r="V250" i="24" s="1"/>
  <c r="U234" i="24"/>
  <c r="V234" i="24" s="1"/>
  <c r="U307" i="24"/>
  <c r="U255" i="24"/>
  <c r="U309" i="24"/>
  <c r="U293" i="24"/>
  <c r="V293" i="24" s="1"/>
  <c r="U277" i="24"/>
  <c r="U261" i="24"/>
  <c r="V261" i="24" s="1"/>
  <c r="U245" i="24"/>
  <c r="U229" i="24"/>
  <c r="V229" i="24" s="1"/>
  <c r="U171" i="24"/>
  <c r="V171" i="24" s="1"/>
  <c r="U299" i="24"/>
  <c r="V299" i="24" s="1"/>
  <c r="U259" i="24"/>
  <c r="V259" i="24" s="1"/>
  <c r="U156" i="24"/>
  <c r="U140" i="24"/>
  <c r="U312" i="24"/>
  <c r="V312" i="24" s="1"/>
  <c r="U296" i="24"/>
  <c r="V296" i="24" s="1"/>
  <c r="U280" i="24"/>
  <c r="U264" i="24"/>
  <c r="V264" i="24" s="1"/>
  <c r="U248" i="24"/>
  <c r="U232" i="24"/>
  <c r="T225" i="25"/>
  <c r="T237" i="25"/>
  <c r="T261" i="25"/>
  <c r="T269" i="25"/>
  <c r="T293" i="25"/>
  <c r="T303" i="25"/>
  <c r="O218" i="25"/>
  <c r="S218" i="25" s="1"/>
  <c r="K218" i="25" s="1"/>
  <c r="T218" i="25"/>
  <c r="U218" i="25" s="1"/>
  <c r="U284" i="24"/>
  <c r="V284" i="24" s="1"/>
  <c r="U283" i="24"/>
  <c r="V283" i="24" s="1"/>
  <c r="U227" i="24"/>
  <c r="V227" i="24" s="1"/>
  <c r="U310" i="24"/>
  <c r="U294" i="24"/>
  <c r="V294" i="24" s="1"/>
  <c r="U278" i="24"/>
  <c r="V278" i="24" s="1"/>
  <c r="U262" i="24"/>
  <c r="U246" i="24"/>
  <c r="U230" i="24"/>
  <c r="V230" i="24" s="1"/>
  <c r="U291" i="24"/>
  <c r="V291" i="24" s="1"/>
  <c r="U239" i="24"/>
  <c r="V239" i="24" s="1"/>
  <c r="U133" i="24"/>
  <c r="U305" i="24"/>
  <c r="U289" i="24"/>
  <c r="V289" i="24" s="1"/>
  <c r="U273" i="24"/>
  <c r="V273" i="24" s="1"/>
  <c r="U257" i="24"/>
  <c r="U241" i="24"/>
  <c r="V241" i="24" s="1"/>
  <c r="U225" i="24"/>
  <c r="V225" i="24" s="1"/>
  <c r="U218" i="24"/>
  <c r="V218" i="24" s="1"/>
  <c r="U287" i="24"/>
  <c r="U247" i="24"/>
  <c r="U308" i="24"/>
  <c r="V308" i="24" s="1"/>
  <c r="U292" i="24"/>
  <c r="V292" i="24" s="1"/>
  <c r="U276" i="24"/>
  <c r="V276" i="24" s="1"/>
  <c r="U260" i="24"/>
  <c r="V260" i="24" s="1"/>
  <c r="U244" i="24"/>
  <c r="U228" i="24"/>
  <c r="T220" i="25"/>
  <c r="T228" i="25"/>
  <c r="T271" i="25"/>
  <c r="T115" i="25"/>
  <c r="T194" i="25"/>
  <c r="T246" i="25"/>
  <c r="T289" i="25"/>
  <c r="T175" i="25"/>
  <c r="T191" i="25"/>
  <c r="U311" i="24"/>
  <c r="U249" i="24"/>
  <c r="V249" i="24" s="1"/>
  <c r="U223" i="24"/>
  <c r="U263" i="24"/>
  <c r="U111" i="24"/>
  <c r="U306" i="24"/>
  <c r="V306" i="24" s="1"/>
  <c r="U290" i="24"/>
  <c r="V290" i="24" s="1"/>
  <c r="U274" i="24"/>
  <c r="V274" i="24" s="1"/>
  <c r="U258" i="24"/>
  <c r="V258" i="24" s="1"/>
  <c r="U242" i="24"/>
  <c r="V242" i="24" s="1"/>
  <c r="U226" i="24"/>
  <c r="V226" i="24" s="1"/>
  <c r="U279" i="24"/>
  <c r="V279" i="24" s="1"/>
  <c r="U231" i="24"/>
  <c r="V231" i="24" s="1"/>
  <c r="U317" i="24"/>
  <c r="U301" i="24"/>
  <c r="U285" i="24"/>
  <c r="U269" i="24"/>
  <c r="V269" i="24" s="1"/>
  <c r="U253" i="24"/>
  <c r="V253" i="24" s="1"/>
  <c r="U237" i="24"/>
  <c r="V237" i="24" s="1"/>
  <c r="U221" i="24"/>
  <c r="V221" i="24" s="1"/>
  <c r="U315" i="24"/>
  <c r="U275" i="24"/>
  <c r="U235" i="24"/>
  <c r="V235" i="24" s="1"/>
  <c r="U304" i="24"/>
  <c r="V304" i="24" s="1"/>
  <c r="U288" i="24"/>
  <c r="V288" i="24" s="1"/>
  <c r="U272" i="24"/>
  <c r="V272" i="24" s="1"/>
  <c r="U256" i="24"/>
  <c r="U240" i="24"/>
  <c r="V240" i="24" s="1"/>
  <c r="U224" i="24"/>
  <c r="T119" i="25"/>
  <c r="T137" i="25"/>
  <c r="T193" i="25"/>
  <c r="T134" i="25"/>
  <c r="T249" i="25"/>
  <c r="T257" i="25"/>
  <c r="T239" i="25"/>
  <c r="T315" i="25"/>
  <c r="T298" i="25"/>
  <c r="BO65" i="24"/>
  <c r="BR65" i="24" s="1"/>
  <c r="U65" i="24"/>
  <c r="V65" i="24" s="1"/>
  <c r="BO17" i="24"/>
  <c r="BR17" i="24" s="1"/>
  <c r="U17" i="24"/>
  <c r="V17" i="24" s="1"/>
  <c r="BO68" i="24"/>
  <c r="BR68" i="24" s="1"/>
  <c r="U68" i="24"/>
  <c r="BO20" i="24"/>
  <c r="BR20" i="24" s="1"/>
  <c r="U20" i="24"/>
  <c r="BO91" i="24"/>
  <c r="BR91" i="24" s="1"/>
  <c r="U91" i="24"/>
  <c r="BO43" i="24"/>
  <c r="BR43" i="24" s="1"/>
  <c r="U43" i="24"/>
  <c r="BO69" i="24"/>
  <c r="BR69" i="24" s="1"/>
  <c r="U69" i="24"/>
  <c r="V69" i="24" s="1"/>
  <c r="BO66" i="24"/>
  <c r="BR66" i="24" s="1"/>
  <c r="U66" i="24"/>
  <c r="BO50" i="24"/>
  <c r="BR50" i="24" s="1"/>
  <c r="U50" i="24"/>
  <c r="BO18" i="24"/>
  <c r="BR18" i="24" s="1"/>
  <c r="U18" i="24"/>
  <c r="BO97" i="24"/>
  <c r="BR97" i="24" s="1"/>
  <c r="U97" i="24"/>
  <c r="V97" i="24" s="1"/>
  <c r="BO57" i="24"/>
  <c r="BR57" i="24" s="1"/>
  <c r="U57" i="24"/>
  <c r="BO29" i="24"/>
  <c r="BR29" i="24" s="1"/>
  <c r="U29" i="24"/>
  <c r="BO13" i="24"/>
  <c r="BR13" i="24" s="1"/>
  <c r="U13" i="24"/>
  <c r="BO96" i="24"/>
  <c r="BR96" i="24" s="1"/>
  <c r="U96" i="24"/>
  <c r="BO80" i="24"/>
  <c r="BR80" i="24" s="1"/>
  <c r="U80" i="24"/>
  <c r="V80" i="24" s="1"/>
  <c r="BO64" i="24"/>
  <c r="BR64" i="24" s="1"/>
  <c r="U64" i="24"/>
  <c r="BO48" i="24"/>
  <c r="BR48" i="24" s="1"/>
  <c r="U48" i="24"/>
  <c r="BO32" i="24"/>
  <c r="BR32" i="24" s="1"/>
  <c r="U32" i="24"/>
  <c r="V32" i="24" s="1"/>
  <c r="BO16" i="24"/>
  <c r="BR16" i="24" s="1"/>
  <c r="U16" i="24"/>
  <c r="BO89" i="24"/>
  <c r="BR89" i="24" s="1"/>
  <c r="U89" i="24"/>
  <c r="V89" i="24" s="1"/>
  <c r="BO103" i="24"/>
  <c r="BR103" i="24" s="1"/>
  <c r="U103" i="24"/>
  <c r="BO87" i="24"/>
  <c r="BR87" i="24" s="1"/>
  <c r="U87" i="24"/>
  <c r="BO71" i="24"/>
  <c r="BR71" i="24" s="1"/>
  <c r="U71" i="24"/>
  <c r="BO55" i="24"/>
  <c r="BR55" i="24" s="1"/>
  <c r="U55" i="24"/>
  <c r="V55" i="24" s="1"/>
  <c r="BO39" i="24"/>
  <c r="BR39" i="24" s="1"/>
  <c r="U39" i="24"/>
  <c r="BO23" i="24"/>
  <c r="BR23" i="24" s="1"/>
  <c r="U23" i="24"/>
  <c r="BO7" i="24"/>
  <c r="BR7" i="24" s="1"/>
  <c r="U7" i="24"/>
  <c r="BO53" i="24"/>
  <c r="BR53" i="24" s="1"/>
  <c r="U53" i="24"/>
  <c r="BO94" i="24"/>
  <c r="BR94" i="24" s="1"/>
  <c r="U94" i="24"/>
  <c r="BO78" i="24"/>
  <c r="BR78" i="24" s="1"/>
  <c r="U78" i="24"/>
  <c r="BO62" i="24"/>
  <c r="BR62" i="24" s="1"/>
  <c r="U62" i="24"/>
  <c r="BO46" i="24"/>
  <c r="BR46" i="24" s="1"/>
  <c r="U46" i="24"/>
  <c r="BO30" i="24"/>
  <c r="BR30" i="24" s="1"/>
  <c r="U30" i="24"/>
  <c r="BO14" i="24"/>
  <c r="BR14" i="24" s="1"/>
  <c r="U14" i="24"/>
  <c r="BO105" i="24"/>
  <c r="BR105" i="24" s="1"/>
  <c r="U105" i="24"/>
  <c r="L18" i="1" s="1"/>
  <c r="BO100" i="24"/>
  <c r="BR100" i="24" s="1"/>
  <c r="U100" i="24"/>
  <c r="BO52" i="24"/>
  <c r="BR52" i="24" s="1"/>
  <c r="U52" i="24"/>
  <c r="BO101" i="24"/>
  <c r="BR101" i="24" s="1"/>
  <c r="U101" i="24"/>
  <c r="V101" i="24" s="1"/>
  <c r="BO59" i="24"/>
  <c r="BR59" i="24" s="1"/>
  <c r="U59" i="24"/>
  <c r="V59" i="24" s="1"/>
  <c r="BO11" i="24"/>
  <c r="BR11" i="24" s="1"/>
  <c r="U11" i="24"/>
  <c r="V11" i="24" s="1"/>
  <c r="BO82" i="24"/>
  <c r="BR82" i="24" s="1"/>
  <c r="U82" i="24"/>
  <c r="BO34" i="24"/>
  <c r="BR34" i="24" s="1"/>
  <c r="U34" i="24"/>
  <c r="BO85" i="24"/>
  <c r="BR85" i="24" s="1"/>
  <c r="U85" i="24"/>
  <c r="BO49" i="24"/>
  <c r="BR49" i="24" s="1"/>
  <c r="U49" i="24"/>
  <c r="BO25" i="24"/>
  <c r="BR25" i="24" s="1"/>
  <c r="U25" i="24"/>
  <c r="BO9" i="24"/>
  <c r="BR9" i="24" s="1"/>
  <c r="U9" i="24"/>
  <c r="BO92" i="24"/>
  <c r="BR92" i="24" s="1"/>
  <c r="U92" i="24"/>
  <c r="BO76" i="24"/>
  <c r="BR76" i="24" s="1"/>
  <c r="U76" i="24"/>
  <c r="BO60" i="24"/>
  <c r="BR60" i="24" s="1"/>
  <c r="U60" i="24"/>
  <c r="BO44" i="24"/>
  <c r="BR44" i="24" s="1"/>
  <c r="U44" i="24"/>
  <c r="V44" i="24" s="1"/>
  <c r="BO28" i="24"/>
  <c r="BR28" i="24" s="1"/>
  <c r="U28" i="24"/>
  <c r="BO12" i="24"/>
  <c r="BR12" i="24" s="1"/>
  <c r="U12" i="24"/>
  <c r="BO73" i="24"/>
  <c r="BR73" i="24" s="1"/>
  <c r="U73" i="24"/>
  <c r="BO99" i="24"/>
  <c r="BR99" i="24" s="1"/>
  <c r="U99" i="24"/>
  <c r="BO83" i="24"/>
  <c r="BR83" i="24" s="1"/>
  <c r="U83" i="24"/>
  <c r="BO67" i="24"/>
  <c r="BR67" i="24" s="1"/>
  <c r="U67" i="24"/>
  <c r="BO51" i="24"/>
  <c r="BR51" i="24" s="1"/>
  <c r="U51" i="24"/>
  <c r="V51" i="24" s="1"/>
  <c r="BO35" i="24"/>
  <c r="BR35" i="24" s="1"/>
  <c r="U35" i="24"/>
  <c r="BO19" i="24"/>
  <c r="BR19" i="24" s="1"/>
  <c r="U19" i="24"/>
  <c r="BO93" i="24"/>
  <c r="BR93" i="24" s="1"/>
  <c r="U93" i="24"/>
  <c r="BO41" i="24"/>
  <c r="BR41" i="24" s="1"/>
  <c r="U41" i="24"/>
  <c r="BO90" i="24"/>
  <c r="BR90" i="24" s="1"/>
  <c r="U90" i="24"/>
  <c r="BO74" i="24"/>
  <c r="BR74" i="24" s="1"/>
  <c r="U74" i="24"/>
  <c r="BO58" i="24"/>
  <c r="BR58" i="24" s="1"/>
  <c r="U58" i="24"/>
  <c r="BO42" i="24"/>
  <c r="BR42" i="24" s="1"/>
  <c r="U42" i="24"/>
  <c r="BO26" i="24"/>
  <c r="BR26" i="24" s="1"/>
  <c r="U26" i="24"/>
  <c r="BO10" i="24"/>
  <c r="BR10" i="24" s="1"/>
  <c r="U10" i="24"/>
  <c r="BO33" i="24"/>
  <c r="BR33" i="24" s="1"/>
  <c r="U33" i="24"/>
  <c r="BO84" i="24"/>
  <c r="BR84" i="24" s="1"/>
  <c r="U84" i="24"/>
  <c r="BO36" i="24"/>
  <c r="BR36" i="24" s="1"/>
  <c r="U36" i="24"/>
  <c r="V36" i="24" s="1"/>
  <c r="BO37" i="24"/>
  <c r="BR37" i="24" s="1"/>
  <c r="U37" i="24"/>
  <c r="BO75" i="24"/>
  <c r="BR75" i="24" s="1"/>
  <c r="U75" i="24"/>
  <c r="BO27" i="24"/>
  <c r="BR27" i="24" s="1"/>
  <c r="U27" i="24"/>
  <c r="BO98" i="24"/>
  <c r="BR98" i="24" s="1"/>
  <c r="U98" i="24"/>
  <c r="V98" i="24" s="1"/>
  <c r="BO77" i="24"/>
  <c r="BR77" i="24" s="1"/>
  <c r="U77" i="24"/>
  <c r="BO45" i="24"/>
  <c r="BR45" i="24" s="1"/>
  <c r="U45" i="24"/>
  <c r="BO21" i="24"/>
  <c r="BR21" i="24" s="1"/>
  <c r="U21" i="24"/>
  <c r="BO104" i="24"/>
  <c r="BR104" i="24" s="1"/>
  <c r="U104" i="24"/>
  <c r="BO88" i="24"/>
  <c r="BR88" i="24" s="1"/>
  <c r="U88" i="24"/>
  <c r="BO72" i="24"/>
  <c r="BR72" i="24" s="1"/>
  <c r="U72" i="24"/>
  <c r="BO56" i="24"/>
  <c r="BR56" i="24" s="1"/>
  <c r="U56" i="24"/>
  <c r="V56" i="24" s="1"/>
  <c r="BO40" i="24"/>
  <c r="BR40" i="24" s="1"/>
  <c r="U40" i="24"/>
  <c r="BO24" i="24"/>
  <c r="BR24" i="24" s="1"/>
  <c r="U24" i="24"/>
  <c r="BO8" i="24"/>
  <c r="BR8" i="24" s="1"/>
  <c r="U8" i="24"/>
  <c r="BO61" i="24"/>
  <c r="BR61" i="24" s="1"/>
  <c r="U61" i="24"/>
  <c r="BO95" i="24"/>
  <c r="BR95" i="24" s="1"/>
  <c r="U95" i="24"/>
  <c r="BO79" i="24"/>
  <c r="BR79" i="24" s="1"/>
  <c r="U79" i="24"/>
  <c r="BO63" i="24"/>
  <c r="BR63" i="24" s="1"/>
  <c r="U63" i="24"/>
  <c r="BO47" i="24"/>
  <c r="BR47" i="24" s="1"/>
  <c r="U47" i="24"/>
  <c r="BO31" i="24"/>
  <c r="BR31" i="24" s="1"/>
  <c r="U31" i="24"/>
  <c r="BO15" i="24"/>
  <c r="BR15" i="24" s="1"/>
  <c r="U15" i="24"/>
  <c r="BO81" i="24"/>
  <c r="BR81" i="24" s="1"/>
  <c r="U81" i="24"/>
  <c r="BO102" i="24"/>
  <c r="BR102" i="24" s="1"/>
  <c r="U102" i="24"/>
  <c r="V102" i="24" s="1"/>
  <c r="BO86" i="24"/>
  <c r="BR86" i="24" s="1"/>
  <c r="U86" i="24"/>
  <c r="BO70" i="24"/>
  <c r="BR70" i="24" s="1"/>
  <c r="U70" i="24"/>
  <c r="V70" i="24" s="1"/>
  <c r="BO54" i="24"/>
  <c r="BR54" i="24" s="1"/>
  <c r="U54" i="24"/>
  <c r="BO38" i="24"/>
  <c r="BR38" i="24" s="1"/>
  <c r="U38" i="24"/>
  <c r="BO22" i="24"/>
  <c r="BR22" i="24" s="1"/>
  <c r="U22" i="24"/>
  <c r="V22" i="24" s="1"/>
  <c r="BO6" i="24"/>
  <c r="BR6" i="24" s="1"/>
  <c r="U6" i="24"/>
  <c r="BN26" i="25"/>
  <c r="BR26" i="25" s="1"/>
  <c r="T26" i="25"/>
  <c r="BN36" i="25"/>
  <c r="BR36" i="25" s="1"/>
  <c r="T36" i="25"/>
  <c r="BN46" i="25"/>
  <c r="BR46" i="25" s="1"/>
  <c r="T46" i="25"/>
  <c r="BN41" i="25"/>
  <c r="BR41" i="25" s="1"/>
  <c r="T41" i="25"/>
  <c r="BN81" i="25"/>
  <c r="BR81" i="25" s="1"/>
  <c r="T81" i="25"/>
  <c r="BN16" i="25"/>
  <c r="BR16" i="25" s="1"/>
  <c r="T16" i="25"/>
  <c r="BN32" i="25"/>
  <c r="BR32" i="25" s="1"/>
  <c r="T32" i="25"/>
  <c r="BN52" i="25"/>
  <c r="BR52" i="25" s="1"/>
  <c r="T52" i="25"/>
  <c r="BN68" i="25"/>
  <c r="BR68" i="25" s="1"/>
  <c r="T68" i="25"/>
  <c r="BN84" i="25"/>
  <c r="BR84" i="25" s="1"/>
  <c r="T84" i="25"/>
  <c r="BN66" i="25"/>
  <c r="BR66" i="25" s="1"/>
  <c r="T66" i="25"/>
  <c r="BN82" i="25"/>
  <c r="BR82" i="25" s="1"/>
  <c r="T82" i="25"/>
  <c r="BN9" i="25"/>
  <c r="BR9" i="25" s="1"/>
  <c r="T9" i="25"/>
  <c r="BN17" i="25"/>
  <c r="BR17" i="25" s="1"/>
  <c r="T17" i="25"/>
  <c r="BN49" i="25"/>
  <c r="BR49" i="25" s="1"/>
  <c r="T49" i="25"/>
  <c r="BN73" i="25"/>
  <c r="BR73" i="25" s="1"/>
  <c r="T73" i="25"/>
  <c r="BN23" i="25"/>
  <c r="BR23" i="25" s="1"/>
  <c r="T23" i="25"/>
  <c r="BN43" i="25"/>
  <c r="BR43" i="25" s="1"/>
  <c r="T43" i="25"/>
  <c r="BN59" i="25"/>
  <c r="BR59" i="25" s="1"/>
  <c r="T59" i="25"/>
  <c r="BN75" i="25"/>
  <c r="BR75" i="25" s="1"/>
  <c r="T75" i="25"/>
  <c r="BN94" i="25"/>
  <c r="BR94" i="25" s="1"/>
  <c r="T94" i="25"/>
  <c r="BN98" i="25"/>
  <c r="BR98" i="25" s="1"/>
  <c r="T98" i="25"/>
  <c r="BN102" i="25"/>
  <c r="BR102" i="25" s="1"/>
  <c r="T102" i="25"/>
  <c r="BN14" i="25"/>
  <c r="BR14" i="25" s="1"/>
  <c r="T14" i="25"/>
  <c r="BN30" i="25"/>
  <c r="BR30" i="25" s="1"/>
  <c r="T30" i="25"/>
  <c r="BN37" i="25"/>
  <c r="BR37" i="25" s="1"/>
  <c r="T37" i="25"/>
  <c r="BN50" i="25"/>
  <c r="BR50" i="25" s="1"/>
  <c r="T50" i="25"/>
  <c r="BN45" i="25"/>
  <c r="BR45" i="25" s="1"/>
  <c r="T45" i="25"/>
  <c r="BN89" i="25"/>
  <c r="BR89" i="25" s="1"/>
  <c r="T89" i="25"/>
  <c r="BN20" i="25"/>
  <c r="BR20" i="25" s="1"/>
  <c r="T20" i="25"/>
  <c r="BN40" i="25"/>
  <c r="BR40" i="25" s="1"/>
  <c r="T40" i="25"/>
  <c r="BN56" i="25"/>
  <c r="BR56" i="25" s="1"/>
  <c r="T56" i="25"/>
  <c r="BN72" i="25"/>
  <c r="BR72" i="25" s="1"/>
  <c r="T72" i="25"/>
  <c r="BN88" i="25"/>
  <c r="BR88" i="25" s="1"/>
  <c r="T88" i="25"/>
  <c r="BN70" i="25"/>
  <c r="BR70" i="25" s="1"/>
  <c r="T70" i="25"/>
  <c r="BN86" i="25"/>
  <c r="BR86" i="25" s="1"/>
  <c r="T86" i="25"/>
  <c r="BN10" i="25"/>
  <c r="BR10" i="25" s="1"/>
  <c r="T10" i="25"/>
  <c r="BN25" i="25"/>
  <c r="BR25" i="25" s="1"/>
  <c r="T25" i="25"/>
  <c r="BN57" i="25"/>
  <c r="BR57" i="25" s="1"/>
  <c r="T57" i="25"/>
  <c r="BN77" i="25"/>
  <c r="BR77" i="25" s="1"/>
  <c r="T77" i="25"/>
  <c r="BN27" i="25"/>
  <c r="BR27" i="25" s="1"/>
  <c r="T27" i="25"/>
  <c r="BN47" i="25"/>
  <c r="BR47" i="25" s="1"/>
  <c r="T47" i="25"/>
  <c r="BN63" i="25"/>
  <c r="BR63" i="25" s="1"/>
  <c r="T63" i="25"/>
  <c r="BN79" i="25"/>
  <c r="BR79" i="25" s="1"/>
  <c r="T79" i="25"/>
  <c r="BN91" i="25"/>
  <c r="BR91" i="25" s="1"/>
  <c r="T91" i="25"/>
  <c r="BN95" i="25"/>
  <c r="BR95" i="25" s="1"/>
  <c r="T95" i="25"/>
  <c r="BN99" i="25"/>
  <c r="BR99" i="25" s="1"/>
  <c r="T99" i="25"/>
  <c r="BN103" i="25"/>
  <c r="BR103" i="25" s="1"/>
  <c r="T103" i="25"/>
  <c r="BN18" i="25"/>
  <c r="BR18" i="25" s="1"/>
  <c r="T18" i="25"/>
  <c r="BN38" i="25"/>
  <c r="BR38" i="25" s="1"/>
  <c r="T38" i="25"/>
  <c r="BN58" i="25"/>
  <c r="BR58" i="25" s="1"/>
  <c r="T58" i="25"/>
  <c r="BN53" i="25"/>
  <c r="BR53" i="25" s="1"/>
  <c r="T53" i="25"/>
  <c r="BN24" i="25"/>
  <c r="BR24" i="25" s="1"/>
  <c r="T24" i="25"/>
  <c r="BN60" i="25"/>
  <c r="BR60" i="25" s="1"/>
  <c r="T60" i="25"/>
  <c r="BN76" i="25"/>
  <c r="BR76" i="25" s="1"/>
  <c r="T76" i="25"/>
  <c r="BN54" i="25"/>
  <c r="BR54" i="25" s="1"/>
  <c r="T54" i="25"/>
  <c r="BN74" i="25"/>
  <c r="BR74" i="25" s="1"/>
  <c r="T74" i="25"/>
  <c r="BN90" i="25"/>
  <c r="BR90" i="25" s="1"/>
  <c r="T90" i="25"/>
  <c r="BN11" i="25"/>
  <c r="BR11" i="25" s="1"/>
  <c r="T11" i="25"/>
  <c r="BN29" i="25"/>
  <c r="BR29" i="25" s="1"/>
  <c r="T29" i="25"/>
  <c r="BN61" i="25"/>
  <c r="BR61" i="25" s="1"/>
  <c r="T61" i="25"/>
  <c r="BN15" i="25"/>
  <c r="BR15" i="25" s="1"/>
  <c r="T15" i="25"/>
  <c r="BN31" i="25"/>
  <c r="BR31" i="25" s="1"/>
  <c r="T31" i="25"/>
  <c r="BN51" i="25"/>
  <c r="BR51" i="25" s="1"/>
  <c r="T51" i="25"/>
  <c r="BN67" i="25"/>
  <c r="BR67" i="25" s="1"/>
  <c r="T67" i="25"/>
  <c r="BN83" i="25"/>
  <c r="BR83" i="25" s="1"/>
  <c r="T83" i="25"/>
  <c r="BN92" i="25"/>
  <c r="BR92" i="25" s="1"/>
  <c r="T92" i="25"/>
  <c r="BN96" i="25"/>
  <c r="BR96" i="25" s="1"/>
  <c r="T96" i="25"/>
  <c r="BN100" i="25"/>
  <c r="BR100" i="25" s="1"/>
  <c r="T100" i="25"/>
  <c r="BN104" i="25"/>
  <c r="BR104" i="25" s="1"/>
  <c r="T104" i="25"/>
  <c r="BN34" i="25"/>
  <c r="BR34" i="25" s="1"/>
  <c r="T34" i="25"/>
  <c r="BN44" i="25"/>
  <c r="BR44" i="25" s="1"/>
  <c r="T44" i="25"/>
  <c r="BN85" i="25"/>
  <c r="BR85" i="25" s="1"/>
  <c r="T85" i="25"/>
  <c r="BN22" i="25"/>
  <c r="BR22" i="25" s="1"/>
  <c r="T22" i="25"/>
  <c r="BN35" i="25"/>
  <c r="BR35" i="25" s="1"/>
  <c r="T35" i="25"/>
  <c r="BN42" i="25"/>
  <c r="BR42" i="25" s="1"/>
  <c r="T42" i="25"/>
  <c r="BN21" i="25"/>
  <c r="BR21" i="25" s="1"/>
  <c r="T21" i="25"/>
  <c r="BN69" i="25"/>
  <c r="BR69" i="25" s="1"/>
  <c r="T69" i="25"/>
  <c r="BN12" i="25"/>
  <c r="BR12" i="25" s="1"/>
  <c r="T12" i="25"/>
  <c r="BN28" i="25"/>
  <c r="BR28" i="25" s="1"/>
  <c r="T28" i="25"/>
  <c r="BN48" i="25"/>
  <c r="BR48" i="25" s="1"/>
  <c r="T48" i="25"/>
  <c r="BN64" i="25"/>
  <c r="BR64" i="25" s="1"/>
  <c r="T64" i="25"/>
  <c r="BN80" i="25"/>
  <c r="BR80" i="25" s="1"/>
  <c r="T80" i="25"/>
  <c r="BN62" i="25"/>
  <c r="BR62" i="25" s="1"/>
  <c r="T62" i="25"/>
  <c r="BN78" i="25"/>
  <c r="BR78" i="25" s="1"/>
  <c r="T78" i="25"/>
  <c r="BN8" i="25"/>
  <c r="BR8" i="25" s="1"/>
  <c r="T8" i="25"/>
  <c r="BN13" i="25"/>
  <c r="BR13" i="25" s="1"/>
  <c r="T13" i="25"/>
  <c r="BN33" i="25"/>
  <c r="BR33" i="25" s="1"/>
  <c r="T33" i="25"/>
  <c r="BN65" i="25"/>
  <c r="BR65" i="25" s="1"/>
  <c r="T65" i="25"/>
  <c r="BN19" i="25"/>
  <c r="BR19" i="25" s="1"/>
  <c r="T19" i="25"/>
  <c r="BN39" i="25"/>
  <c r="BR39" i="25" s="1"/>
  <c r="T39" i="25"/>
  <c r="BN55" i="25"/>
  <c r="BR55" i="25" s="1"/>
  <c r="T55" i="25"/>
  <c r="BN71" i="25"/>
  <c r="BR71" i="25" s="1"/>
  <c r="T71" i="25"/>
  <c r="BN87" i="25"/>
  <c r="BR87" i="25" s="1"/>
  <c r="T87" i="25"/>
  <c r="BN93" i="25"/>
  <c r="BR93" i="25" s="1"/>
  <c r="T93" i="25"/>
  <c r="BN97" i="25"/>
  <c r="BR97" i="25" s="1"/>
  <c r="T97" i="25"/>
  <c r="BN101" i="25"/>
  <c r="BR101" i="25" s="1"/>
  <c r="T101" i="25"/>
  <c r="BN105" i="25"/>
  <c r="BR105" i="25" s="1"/>
  <c r="T105" i="25"/>
  <c r="U195" i="24"/>
  <c r="U124" i="24"/>
  <c r="U168" i="24"/>
  <c r="V168" i="24" s="1"/>
  <c r="T116" i="25"/>
  <c r="T174" i="25"/>
  <c r="T201" i="25"/>
  <c r="O110" i="25"/>
  <c r="Q110" i="25" s="1"/>
  <c r="CF110" i="25" s="1"/>
  <c r="U121" i="24"/>
  <c r="V121" i="24" s="1"/>
  <c r="U151" i="24"/>
  <c r="V151" i="24" s="1"/>
  <c r="U130" i="24"/>
  <c r="V130" i="24" s="1"/>
  <c r="U180" i="24"/>
  <c r="U164" i="24"/>
  <c r="V164" i="24" s="1"/>
  <c r="T160" i="25"/>
  <c r="T130" i="25"/>
  <c r="T178" i="25"/>
  <c r="T159" i="25"/>
  <c r="U178" i="24"/>
  <c r="V178" i="24" s="1"/>
  <c r="U139" i="24"/>
  <c r="V139" i="24" s="1"/>
  <c r="U193" i="24"/>
  <c r="U160" i="24"/>
  <c r="T161" i="25"/>
  <c r="T185" i="25"/>
  <c r="T182" i="25"/>
  <c r="W44" i="2"/>
  <c r="D46" i="16" s="1"/>
  <c r="R10" i="25"/>
  <c r="R80" i="25"/>
  <c r="Q9" i="25"/>
  <c r="Q53" i="25"/>
  <c r="Q18" i="25"/>
  <c r="Q57" i="25"/>
  <c r="R55" i="25"/>
  <c r="Q94" i="25"/>
  <c r="R52" i="25"/>
  <c r="R93" i="25"/>
  <c r="Q12" i="25"/>
  <c r="R32" i="25"/>
  <c r="R59" i="25"/>
  <c r="R104" i="25"/>
  <c r="Q89" i="25"/>
  <c r="R65" i="25"/>
  <c r="Q13" i="25"/>
  <c r="R31" i="25"/>
  <c r="B25" i="2"/>
  <c r="Q66" i="25"/>
  <c r="Q35" i="25"/>
  <c r="R69" i="25"/>
  <c r="R76" i="25"/>
  <c r="Q37" i="25"/>
  <c r="R51" i="25"/>
  <c r="R84" i="25"/>
  <c r="R105" i="25"/>
  <c r="Q99" i="25"/>
  <c r="Q29" i="25"/>
  <c r="Q98" i="25"/>
  <c r="R54" i="25"/>
  <c r="Q34" i="25"/>
  <c r="R103" i="25"/>
  <c r="Q20" i="25"/>
  <c r="Q63" i="25"/>
  <c r="R33" i="25"/>
  <c r="R91" i="25"/>
  <c r="R58" i="25"/>
  <c r="R6" i="25"/>
  <c r="R90" i="25"/>
  <c r="Q16" i="25"/>
  <c r="R41" i="25"/>
  <c r="Q81" i="25"/>
  <c r="R82" i="25"/>
  <c r="R44" i="25"/>
  <c r="Q50" i="25"/>
  <c r="Q64" i="25"/>
  <c r="Q61" i="25"/>
  <c r="R72" i="25"/>
  <c r="Q71" i="25"/>
  <c r="Q62" i="25"/>
  <c r="R85" i="25"/>
  <c r="R87" i="25"/>
  <c r="R36" i="25"/>
  <c r="R100" i="25"/>
  <c r="R96" i="25"/>
  <c r="R8" i="25"/>
  <c r="R38" i="25"/>
  <c r="Q7" i="25"/>
  <c r="Q46" i="25"/>
  <c r="Q17" i="25"/>
  <c r="Q39" i="25"/>
  <c r="Q73" i="25"/>
  <c r="R86" i="25"/>
  <c r="R75" i="25"/>
  <c r="R22" i="25"/>
  <c r="R47" i="25"/>
  <c r="R70" i="25"/>
  <c r="R14" i="25"/>
  <c r="Q42" i="25"/>
  <c r="Q30" i="25"/>
  <c r="Q67" i="25"/>
  <c r="R74" i="25"/>
  <c r="R56" i="25"/>
  <c r="R83" i="25"/>
  <c r="Q101" i="25"/>
  <c r="Q79" i="25"/>
  <c r="R43" i="25"/>
  <c r="Q49" i="25"/>
  <c r="Q68" i="25"/>
  <c r="R45" i="25"/>
  <c r="R88" i="25"/>
  <c r="Q25" i="25"/>
  <c r="R26" i="25"/>
  <c r="Q24" i="25"/>
  <c r="Q48" i="25"/>
  <c r="R40" i="25"/>
  <c r="R21" i="25"/>
  <c r="R15" i="25"/>
  <c r="Q60" i="25"/>
  <c r="R23" i="25"/>
  <c r="R78" i="25"/>
  <c r="Q27" i="25"/>
  <c r="R77" i="25"/>
  <c r="Q102" i="25"/>
  <c r="R92" i="25"/>
  <c r="R28" i="25"/>
  <c r="R11" i="25"/>
  <c r="Q95" i="25"/>
  <c r="Q19" i="25"/>
  <c r="R97" i="25"/>
  <c r="P9" i="25"/>
  <c r="P13" i="25"/>
  <c r="P17" i="25"/>
  <c r="P21" i="25"/>
  <c r="P25" i="25"/>
  <c r="P29" i="25"/>
  <c r="P33" i="25"/>
  <c r="P37" i="25"/>
  <c r="P41" i="25"/>
  <c r="P45" i="25"/>
  <c r="P49" i="25"/>
  <c r="P53" i="25"/>
  <c r="P57" i="25"/>
  <c r="P61" i="25"/>
  <c r="P65" i="25"/>
  <c r="P69" i="25"/>
  <c r="P73" i="25"/>
  <c r="P77" i="25"/>
  <c r="P81" i="25"/>
  <c r="P85" i="25"/>
  <c r="P89" i="25"/>
  <c r="P93" i="25"/>
  <c r="P97" i="25"/>
  <c r="P101" i="25"/>
  <c r="P105" i="25"/>
  <c r="P113" i="25"/>
  <c r="P117" i="25"/>
  <c r="P121" i="25"/>
  <c r="P125" i="25"/>
  <c r="P129" i="25"/>
  <c r="P133" i="25"/>
  <c r="P137" i="25"/>
  <c r="P141" i="25"/>
  <c r="P145" i="25"/>
  <c r="P149" i="25"/>
  <c r="P153" i="25"/>
  <c r="P157" i="25"/>
  <c r="P161" i="25"/>
  <c r="P165" i="25"/>
  <c r="P169" i="25"/>
  <c r="P173" i="25"/>
  <c r="P177" i="25"/>
  <c r="P181" i="25"/>
  <c r="P185" i="25"/>
  <c r="P189" i="25"/>
  <c r="P193" i="25"/>
  <c r="P197" i="25"/>
  <c r="P201" i="25"/>
  <c r="P205" i="25"/>
  <c r="P209" i="25"/>
  <c r="P6" i="25"/>
  <c r="P10" i="25"/>
  <c r="P14" i="25"/>
  <c r="P18" i="25"/>
  <c r="P22" i="25"/>
  <c r="P26" i="25"/>
  <c r="P30" i="25"/>
  <c r="P34" i="25"/>
  <c r="P38" i="25"/>
  <c r="P42" i="25"/>
  <c r="P46" i="25"/>
  <c r="P50" i="25"/>
  <c r="P54" i="25"/>
  <c r="P58" i="25"/>
  <c r="P62" i="25"/>
  <c r="P66" i="25"/>
  <c r="P70" i="25"/>
  <c r="P74" i="25"/>
  <c r="P78" i="25"/>
  <c r="P82" i="25"/>
  <c r="P86" i="25"/>
  <c r="P90" i="25"/>
  <c r="P94" i="25"/>
  <c r="P98" i="25"/>
  <c r="P102" i="25"/>
  <c r="P110" i="25"/>
  <c r="P114" i="25"/>
  <c r="P118" i="25"/>
  <c r="P122" i="25"/>
  <c r="P126" i="25"/>
  <c r="P130" i="25"/>
  <c r="P134" i="25"/>
  <c r="P138" i="25"/>
  <c r="P142" i="25"/>
  <c r="P146" i="25"/>
  <c r="P150" i="25"/>
  <c r="P154" i="25"/>
  <c r="P158" i="25"/>
  <c r="P162" i="25"/>
  <c r="P166" i="25"/>
  <c r="P170" i="25"/>
  <c r="P174" i="25"/>
  <c r="P178" i="25"/>
  <c r="P7" i="25"/>
  <c r="P11" i="25"/>
  <c r="P15" i="25"/>
  <c r="P19" i="25"/>
  <c r="P23" i="25"/>
  <c r="P27" i="25"/>
  <c r="P31" i="25"/>
  <c r="P35" i="25"/>
  <c r="P39" i="25"/>
  <c r="P43" i="25"/>
  <c r="P47" i="25"/>
  <c r="P51" i="25"/>
  <c r="P55" i="25"/>
  <c r="P59" i="25"/>
  <c r="P63" i="25"/>
  <c r="P67" i="25"/>
  <c r="P71" i="25"/>
  <c r="P75" i="25"/>
  <c r="P79" i="25"/>
  <c r="P83" i="25"/>
  <c r="P87" i="25"/>
  <c r="P91" i="25"/>
  <c r="P95" i="25"/>
  <c r="P99" i="25"/>
  <c r="P103" i="25"/>
  <c r="P111" i="25"/>
  <c r="P115" i="25"/>
  <c r="P119" i="25"/>
  <c r="P123" i="25"/>
  <c r="P127" i="25"/>
  <c r="P131" i="25"/>
  <c r="P135" i="25"/>
  <c r="P139" i="25"/>
  <c r="P143" i="25"/>
  <c r="P147" i="25"/>
  <c r="P151" i="25"/>
  <c r="P155" i="25"/>
  <c r="P159" i="25"/>
  <c r="P163" i="25"/>
  <c r="P167" i="25"/>
  <c r="P171" i="25"/>
  <c r="P175" i="25"/>
  <c r="P179" i="25"/>
  <c r="P183" i="25"/>
  <c r="P187" i="25"/>
  <c r="P191" i="25"/>
  <c r="P195" i="25"/>
  <c r="P199" i="25"/>
  <c r="P203" i="25"/>
  <c r="P207" i="25"/>
  <c r="P218" i="25"/>
  <c r="P222" i="25"/>
  <c r="P226" i="25"/>
  <c r="P230" i="25"/>
  <c r="P234" i="25"/>
  <c r="P238" i="25"/>
  <c r="P242" i="25"/>
  <c r="P246" i="25"/>
  <c r="P250" i="25"/>
  <c r="P254" i="25"/>
  <c r="P20" i="25"/>
  <c r="P36" i="25"/>
  <c r="P52" i="25"/>
  <c r="P68" i="25"/>
  <c r="P84" i="25"/>
  <c r="P100" i="25"/>
  <c r="P120" i="25"/>
  <c r="P136" i="25"/>
  <c r="P152" i="25"/>
  <c r="P168" i="25"/>
  <c r="P182" i="25"/>
  <c r="P190" i="25"/>
  <c r="P198" i="25"/>
  <c r="P206" i="25"/>
  <c r="P220" i="25"/>
  <c r="P225" i="25"/>
  <c r="P231" i="25"/>
  <c r="P236" i="25"/>
  <c r="P241" i="25"/>
  <c r="P247" i="25"/>
  <c r="P252" i="25"/>
  <c r="P257" i="25"/>
  <c r="P261" i="25"/>
  <c r="P265" i="25"/>
  <c r="P269" i="25"/>
  <c r="P273" i="25"/>
  <c r="P277" i="25"/>
  <c r="P281" i="25"/>
  <c r="P285" i="25"/>
  <c r="P289" i="25"/>
  <c r="P293" i="25"/>
  <c r="P297" i="25"/>
  <c r="P301" i="25"/>
  <c r="P305" i="25"/>
  <c r="P309" i="25"/>
  <c r="P313" i="25"/>
  <c r="P317" i="25"/>
  <c r="P8" i="25"/>
  <c r="P56" i="25"/>
  <c r="P88" i="25"/>
  <c r="P140" i="25"/>
  <c r="P184" i="25"/>
  <c r="P208" i="25"/>
  <c r="P227" i="25"/>
  <c r="P248" i="25"/>
  <c r="P262" i="25"/>
  <c r="P270" i="25"/>
  <c r="P282" i="25"/>
  <c r="P294" i="25"/>
  <c r="P306" i="25"/>
  <c r="P318" i="25"/>
  <c r="P12" i="25"/>
  <c r="P28" i="25"/>
  <c r="P44" i="25"/>
  <c r="P60" i="25"/>
  <c r="P76" i="25"/>
  <c r="P92" i="25"/>
  <c r="P112" i="25"/>
  <c r="P128" i="25"/>
  <c r="P144" i="25"/>
  <c r="P160" i="25"/>
  <c r="P176" i="25"/>
  <c r="P186" i="25"/>
  <c r="P194" i="25"/>
  <c r="P202" i="25"/>
  <c r="P210" i="25"/>
  <c r="P223" i="25"/>
  <c r="P228" i="25"/>
  <c r="P233" i="25"/>
  <c r="P239" i="25"/>
  <c r="P244" i="25"/>
  <c r="P249" i="25"/>
  <c r="P255" i="25"/>
  <c r="P259" i="25"/>
  <c r="P263" i="25"/>
  <c r="P267" i="25"/>
  <c r="P271" i="25"/>
  <c r="P275" i="25"/>
  <c r="P279" i="25"/>
  <c r="P283" i="25"/>
  <c r="P287" i="25"/>
  <c r="P291" i="25"/>
  <c r="P295" i="25"/>
  <c r="P299" i="25"/>
  <c r="P303" i="25"/>
  <c r="P307" i="25"/>
  <c r="P311" i="25"/>
  <c r="P315" i="25"/>
  <c r="P5" i="25"/>
  <c r="P304" i="25"/>
  <c r="P24" i="25"/>
  <c r="P72" i="25"/>
  <c r="P124" i="25"/>
  <c r="P156" i="25"/>
  <c r="P192" i="25"/>
  <c r="P221" i="25"/>
  <c r="P232" i="25"/>
  <c r="P243" i="25"/>
  <c r="P258" i="25"/>
  <c r="P266" i="25"/>
  <c r="P278" i="25"/>
  <c r="P286" i="25"/>
  <c r="P298" i="25"/>
  <c r="P310" i="25"/>
  <c r="P314" i="25"/>
  <c r="P16" i="25"/>
  <c r="P32" i="25"/>
  <c r="P48" i="25"/>
  <c r="P64" i="25"/>
  <c r="P80" i="25"/>
  <c r="P96" i="25"/>
  <c r="P116" i="25"/>
  <c r="P132" i="25"/>
  <c r="P148" i="25"/>
  <c r="P164" i="25"/>
  <c r="P180" i="25"/>
  <c r="P188" i="25"/>
  <c r="P196" i="25"/>
  <c r="P204" i="25"/>
  <c r="P219" i="25"/>
  <c r="P224" i="25"/>
  <c r="P229" i="25"/>
  <c r="P235" i="25"/>
  <c r="P240" i="25"/>
  <c r="P245" i="25"/>
  <c r="P251" i="25"/>
  <c r="P256" i="25"/>
  <c r="P260" i="25"/>
  <c r="P264" i="25"/>
  <c r="P268" i="25"/>
  <c r="P272" i="25"/>
  <c r="P276" i="25"/>
  <c r="P280" i="25"/>
  <c r="P284" i="25"/>
  <c r="P288" i="25"/>
  <c r="P292" i="25"/>
  <c r="P296" i="25"/>
  <c r="P300" i="25"/>
  <c r="P308" i="25"/>
  <c r="P312" i="25"/>
  <c r="P316" i="25"/>
  <c r="P40" i="25"/>
  <c r="P104" i="25"/>
  <c r="P172" i="25"/>
  <c r="P200" i="25"/>
  <c r="P237" i="25"/>
  <c r="P253" i="25"/>
  <c r="P274" i="25"/>
  <c r="P290" i="25"/>
  <c r="P302" i="25"/>
  <c r="O5" i="25"/>
  <c r="CC18" i="25"/>
  <c r="CC38" i="25"/>
  <c r="CC58" i="25"/>
  <c r="CC53" i="25"/>
  <c r="CC24" i="25"/>
  <c r="CC60" i="25"/>
  <c r="CC76" i="25"/>
  <c r="CC74" i="25"/>
  <c r="CC90" i="25"/>
  <c r="CC11" i="25"/>
  <c r="CC61" i="25"/>
  <c r="CC85" i="25"/>
  <c r="CC31" i="25"/>
  <c r="CC67" i="25"/>
  <c r="CC83" i="25"/>
  <c r="CC92" i="25"/>
  <c r="CC100" i="25"/>
  <c r="CC22" i="25"/>
  <c r="CC42" i="25"/>
  <c r="CC69" i="25"/>
  <c r="CC28" i="25"/>
  <c r="CC64" i="25"/>
  <c r="CC13" i="25"/>
  <c r="CC33" i="25"/>
  <c r="CC65" i="25"/>
  <c r="CC19" i="25"/>
  <c r="CC55" i="25"/>
  <c r="CC71" i="25"/>
  <c r="CC87" i="25"/>
  <c r="CC97" i="25"/>
  <c r="CC105" i="25"/>
  <c r="CC26" i="25"/>
  <c r="CC36" i="25"/>
  <c r="CC46" i="25"/>
  <c r="CC41" i="25"/>
  <c r="CC81" i="25"/>
  <c r="CC16" i="25"/>
  <c r="CC32" i="25"/>
  <c r="CC52" i="25"/>
  <c r="CC68" i="25"/>
  <c r="CC84" i="25"/>
  <c r="CC66" i="25"/>
  <c r="CC82" i="25"/>
  <c r="CC9" i="25"/>
  <c r="CC17" i="25"/>
  <c r="CC49" i="25"/>
  <c r="CC73" i="25"/>
  <c r="CC23" i="25"/>
  <c r="CC43" i="25"/>
  <c r="CC59" i="25"/>
  <c r="CC75" i="25"/>
  <c r="CC94" i="25"/>
  <c r="CC98" i="25"/>
  <c r="CC102" i="25"/>
  <c r="CC34" i="25"/>
  <c r="CC44" i="25"/>
  <c r="CC54" i="25"/>
  <c r="CC29" i="25"/>
  <c r="CC15" i="25"/>
  <c r="CC51" i="25"/>
  <c r="CC96" i="25"/>
  <c r="CC104" i="25"/>
  <c r="CC35" i="25"/>
  <c r="CC21" i="25"/>
  <c r="CC12" i="25"/>
  <c r="CC48" i="25"/>
  <c r="CC80" i="25"/>
  <c r="CC62" i="25"/>
  <c r="CC78" i="25"/>
  <c r="CC8" i="25"/>
  <c r="CC39" i="25"/>
  <c r="CC93" i="25"/>
  <c r="CC101" i="25"/>
  <c r="CC14" i="25"/>
  <c r="CC30" i="25"/>
  <c r="CC37" i="25"/>
  <c r="CC50" i="25"/>
  <c r="CC45" i="25"/>
  <c r="CC89" i="25"/>
  <c r="CC20" i="25"/>
  <c r="CC40" i="25"/>
  <c r="CC56" i="25"/>
  <c r="CC72" i="25"/>
  <c r="CC88" i="25"/>
  <c r="CC70" i="25"/>
  <c r="CC86" i="25"/>
  <c r="CC10" i="25"/>
  <c r="CC25" i="25"/>
  <c r="CC57" i="25"/>
  <c r="CC77" i="25"/>
  <c r="CC27" i="25"/>
  <c r="CC47" i="25"/>
  <c r="CC63" i="25"/>
  <c r="CC79" i="25"/>
  <c r="CC91" i="25"/>
  <c r="CC95" i="25"/>
  <c r="CC99" i="25"/>
  <c r="CC103" i="25"/>
  <c r="AY7" i="19"/>
  <c r="BD7" i="19" s="1"/>
  <c r="BN7" i="19"/>
  <c r="AY8" i="19"/>
  <c r="BC8" i="19" s="1"/>
  <c r="BN8" i="19"/>
  <c r="AY6" i="19"/>
  <c r="BJ6" i="19" s="1"/>
  <c r="BN6" i="19"/>
  <c r="AY9" i="19"/>
  <c r="BN9" i="19"/>
  <c r="Q293" i="25"/>
  <c r="Q233" i="25"/>
  <c r="Q246" i="25"/>
  <c r="R238" i="25"/>
  <c r="Q285" i="25"/>
  <c r="AL34" i="25"/>
  <c r="H34" i="25"/>
  <c r="S34" i="25"/>
  <c r="K34" i="25" s="1"/>
  <c r="AL58" i="25"/>
  <c r="H58" i="25"/>
  <c r="S58" i="25"/>
  <c r="K58" i="25" s="1"/>
  <c r="H121" i="25"/>
  <c r="AL121" i="25"/>
  <c r="AL44" i="25"/>
  <c r="H44" i="25"/>
  <c r="S44" i="25"/>
  <c r="K44" i="25" s="1"/>
  <c r="AL76" i="25"/>
  <c r="H76" i="25"/>
  <c r="S76" i="25"/>
  <c r="K76" i="25" s="1"/>
  <c r="AL74" i="25"/>
  <c r="H74" i="25"/>
  <c r="S74" i="25"/>
  <c r="K74" i="25" s="1"/>
  <c r="AL124" i="25"/>
  <c r="H124" i="25"/>
  <c r="AL17" i="25"/>
  <c r="H17" i="25"/>
  <c r="S17" i="25"/>
  <c r="K17" i="25" s="1"/>
  <c r="AL73" i="25"/>
  <c r="H73" i="25"/>
  <c r="S73" i="25"/>
  <c r="K73" i="25" s="1"/>
  <c r="AL23" i="25"/>
  <c r="H23" i="25"/>
  <c r="S23" i="25"/>
  <c r="K23" i="25" s="1"/>
  <c r="AL43" i="25"/>
  <c r="H43" i="25"/>
  <c r="S43" i="25"/>
  <c r="K43" i="25" s="1"/>
  <c r="AL75" i="25"/>
  <c r="H75" i="25"/>
  <c r="S75" i="25"/>
  <c r="K75" i="25" s="1"/>
  <c r="H225" i="25"/>
  <c r="AL225" i="25"/>
  <c r="H292" i="25"/>
  <c r="AL292" i="25"/>
  <c r="AL98" i="25"/>
  <c r="H98" i="25"/>
  <c r="S98" i="25"/>
  <c r="K98" i="25" s="1"/>
  <c r="AL111" i="25"/>
  <c r="H111" i="25"/>
  <c r="H133" i="25"/>
  <c r="AL133" i="25"/>
  <c r="H141" i="25"/>
  <c r="AL141" i="25"/>
  <c r="H157" i="25"/>
  <c r="AL157" i="25"/>
  <c r="H173" i="25"/>
  <c r="AL173" i="25"/>
  <c r="H197" i="25"/>
  <c r="AL197" i="25"/>
  <c r="H158" i="25"/>
  <c r="AL158" i="25"/>
  <c r="H190" i="25"/>
  <c r="AL190" i="25"/>
  <c r="H237" i="25"/>
  <c r="AL237" i="25"/>
  <c r="H253" i="25"/>
  <c r="AL253" i="25"/>
  <c r="H269" i="25"/>
  <c r="AL269" i="25"/>
  <c r="AL155" i="25"/>
  <c r="H155" i="25"/>
  <c r="AL187" i="25"/>
  <c r="H187" i="25"/>
  <c r="AL201" i="25"/>
  <c r="H201" i="25"/>
  <c r="AL318" i="25"/>
  <c r="H318" i="25"/>
  <c r="AL14" i="25"/>
  <c r="H14" i="25"/>
  <c r="S14" i="25"/>
  <c r="K14" i="25" s="1"/>
  <c r="AL30" i="25"/>
  <c r="H30" i="25"/>
  <c r="S30" i="25"/>
  <c r="K30" i="25" s="1"/>
  <c r="AL37" i="25"/>
  <c r="H37" i="25"/>
  <c r="S37" i="25"/>
  <c r="K37" i="25" s="1"/>
  <c r="AL50" i="25"/>
  <c r="H50" i="25"/>
  <c r="S50" i="25"/>
  <c r="K50" i="25" s="1"/>
  <c r="AL45" i="25"/>
  <c r="H45" i="25"/>
  <c r="S45" i="25"/>
  <c r="K45" i="25" s="1"/>
  <c r="AL89" i="25"/>
  <c r="H89" i="25"/>
  <c r="S89" i="25"/>
  <c r="K89" i="25" s="1"/>
  <c r="AL20" i="25"/>
  <c r="H20" i="25"/>
  <c r="S20" i="25"/>
  <c r="K20" i="25" s="1"/>
  <c r="AL40" i="25"/>
  <c r="H40" i="25"/>
  <c r="S40" i="25"/>
  <c r="K40" i="25" s="1"/>
  <c r="AL56" i="25"/>
  <c r="H56" i="25"/>
  <c r="S56" i="25"/>
  <c r="K56" i="25" s="1"/>
  <c r="AL72" i="25"/>
  <c r="H72" i="25"/>
  <c r="S72" i="25"/>
  <c r="K72" i="25" s="1"/>
  <c r="AL88" i="25"/>
  <c r="H88" i="25"/>
  <c r="S88" i="25"/>
  <c r="K88" i="25" s="1"/>
  <c r="AL70" i="25"/>
  <c r="H70" i="25"/>
  <c r="S70" i="25"/>
  <c r="K70" i="25" s="1"/>
  <c r="AL86" i="25"/>
  <c r="H86" i="25"/>
  <c r="S86" i="25"/>
  <c r="K86" i="25" s="1"/>
  <c r="AL120" i="25"/>
  <c r="H120" i="25"/>
  <c r="H8" i="25"/>
  <c r="AL8" i="25"/>
  <c r="S8" i="25"/>
  <c r="K8" i="25" s="1"/>
  <c r="AL13" i="25"/>
  <c r="H13" i="25"/>
  <c r="S13" i="25"/>
  <c r="K13" i="25" s="1"/>
  <c r="AL33" i="25"/>
  <c r="H33" i="25"/>
  <c r="S33" i="25"/>
  <c r="K33" i="25" s="1"/>
  <c r="AL65" i="25"/>
  <c r="H65" i="25"/>
  <c r="S65" i="25"/>
  <c r="K65" i="25" s="1"/>
  <c r="H113" i="25"/>
  <c r="AL113" i="25"/>
  <c r="AL19" i="25"/>
  <c r="H19" i="25"/>
  <c r="S19" i="25"/>
  <c r="K19" i="25" s="1"/>
  <c r="AL39" i="25"/>
  <c r="H39" i="25"/>
  <c r="S39" i="25"/>
  <c r="K39" i="25" s="1"/>
  <c r="AL55" i="25"/>
  <c r="H55" i="25"/>
  <c r="S55" i="25"/>
  <c r="K55" i="25" s="1"/>
  <c r="AL71" i="25"/>
  <c r="H71" i="25"/>
  <c r="S71" i="25"/>
  <c r="K71" i="25" s="1"/>
  <c r="AL87" i="25"/>
  <c r="H87" i="25"/>
  <c r="S87" i="25"/>
  <c r="K87" i="25" s="1"/>
  <c r="H122" i="25"/>
  <c r="AL122" i="25"/>
  <c r="H224" i="25"/>
  <c r="AL224" i="25"/>
  <c r="H232" i="25"/>
  <c r="AL232" i="25"/>
  <c r="AL279" i="25"/>
  <c r="H279" i="25"/>
  <c r="AL93" i="25"/>
  <c r="H93" i="25"/>
  <c r="S93" i="25"/>
  <c r="K93" i="25" s="1"/>
  <c r="AL97" i="25"/>
  <c r="H97" i="25"/>
  <c r="S97" i="25"/>
  <c r="K97" i="25" s="1"/>
  <c r="AL101" i="25"/>
  <c r="H101" i="25"/>
  <c r="S101" i="25"/>
  <c r="K101" i="25" s="1"/>
  <c r="AL105" i="25"/>
  <c r="H105" i="25"/>
  <c r="S105" i="25"/>
  <c r="K105" i="25" s="1"/>
  <c r="AL123" i="25"/>
  <c r="H123" i="25"/>
  <c r="AL132" i="25"/>
  <c r="H132" i="25"/>
  <c r="AL140" i="25"/>
  <c r="H140" i="25"/>
  <c r="AL148" i="25"/>
  <c r="H148" i="25"/>
  <c r="AL156" i="25"/>
  <c r="H156" i="25"/>
  <c r="AL164" i="25"/>
  <c r="H164" i="25"/>
  <c r="AL172" i="25"/>
  <c r="H172" i="25"/>
  <c r="AL180" i="25"/>
  <c r="H180" i="25"/>
  <c r="AL188" i="25"/>
  <c r="H188" i="25"/>
  <c r="AL196" i="25"/>
  <c r="H196" i="25"/>
  <c r="H138" i="25"/>
  <c r="AL138" i="25"/>
  <c r="H154" i="25"/>
  <c r="AL154" i="25"/>
  <c r="H170" i="25"/>
  <c r="AL170" i="25"/>
  <c r="H186" i="25"/>
  <c r="AL186" i="25"/>
  <c r="H219" i="25"/>
  <c r="AL219" i="25"/>
  <c r="H234" i="25"/>
  <c r="AL234" i="25"/>
  <c r="H242" i="25"/>
  <c r="AL242" i="25"/>
  <c r="H250" i="25"/>
  <c r="AL250" i="25"/>
  <c r="H258" i="25"/>
  <c r="AL258" i="25"/>
  <c r="H266" i="25"/>
  <c r="AL266" i="25"/>
  <c r="AL276" i="25"/>
  <c r="H276" i="25"/>
  <c r="S276" i="25"/>
  <c r="K276" i="25" s="1"/>
  <c r="AL135" i="25"/>
  <c r="H135" i="25"/>
  <c r="AL151" i="25"/>
  <c r="H151" i="25"/>
  <c r="AL167" i="25"/>
  <c r="H167" i="25"/>
  <c r="AL183" i="25"/>
  <c r="H183" i="25"/>
  <c r="AL199" i="25"/>
  <c r="H199" i="25"/>
  <c r="S199" i="25"/>
  <c r="K199" i="25" s="1"/>
  <c r="H206" i="25"/>
  <c r="AL206" i="25"/>
  <c r="H226" i="25"/>
  <c r="AL226" i="25"/>
  <c r="AL310" i="25"/>
  <c r="H310" i="25"/>
  <c r="H240" i="25"/>
  <c r="AL240" i="25"/>
  <c r="H256" i="25"/>
  <c r="AL256" i="25"/>
  <c r="H285" i="25"/>
  <c r="AL285" i="25"/>
  <c r="S285" i="25"/>
  <c r="K285" i="25" s="1"/>
  <c r="AL204" i="25"/>
  <c r="H204" i="25"/>
  <c r="H243" i="25"/>
  <c r="AL243" i="25"/>
  <c r="H259" i="25"/>
  <c r="AL259" i="25"/>
  <c r="H296" i="25"/>
  <c r="AL296" i="25"/>
  <c r="AL311" i="25"/>
  <c r="H311" i="25"/>
  <c r="AL281" i="25"/>
  <c r="H281" i="25"/>
  <c r="H295" i="25"/>
  <c r="AL295" i="25"/>
  <c r="H286" i="25"/>
  <c r="AL286" i="25"/>
  <c r="AL302" i="25"/>
  <c r="H302" i="25"/>
  <c r="AL317" i="25"/>
  <c r="H317" i="25"/>
  <c r="AL306" i="25"/>
  <c r="H306" i="25"/>
  <c r="AL18" i="25"/>
  <c r="H18" i="25"/>
  <c r="S18" i="25"/>
  <c r="K18" i="25" s="1"/>
  <c r="AL38" i="25"/>
  <c r="H38" i="25"/>
  <c r="S38" i="25"/>
  <c r="K38" i="25" s="1"/>
  <c r="AL53" i="25"/>
  <c r="H53" i="25"/>
  <c r="S53" i="25"/>
  <c r="K53" i="25" s="1"/>
  <c r="AL24" i="25"/>
  <c r="H24" i="25"/>
  <c r="S24" i="25"/>
  <c r="K24" i="25" s="1"/>
  <c r="AL60" i="25"/>
  <c r="H60" i="25"/>
  <c r="S60" i="25"/>
  <c r="K60" i="25" s="1"/>
  <c r="AL54" i="25"/>
  <c r="H54" i="25"/>
  <c r="S54" i="25"/>
  <c r="K54" i="25" s="1"/>
  <c r="AL90" i="25"/>
  <c r="H90" i="25"/>
  <c r="S90" i="25"/>
  <c r="K90" i="25" s="1"/>
  <c r="AL9" i="25"/>
  <c r="H9" i="25"/>
  <c r="S9" i="25"/>
  <c r="K9" i="25" s="1"/>
  <c r="AL49" i="25"/>
  <c r="H49" i="25"/>
  <c r="S49" i="25"/>
  <c r="K49" i="25" s="1"/>
  <c r="H117" i="25"/>
  <c r="AL117" i="25"/>
  <c r="AL59" i="25"/>
  <c r="H59" i="25"/>
  <c r="S59" i="25"/>
  <c r="K59" i="25" s="1"/>
  <c r="H297" i="25"/>
  <c r="AL297" i="25"/>
  <c r="H126" i="25"/>
  <c r="AL126" i="25"/>
  <c r="H233" i="25"/>
  <c r="AL233" i="25"/>
  <c r="AL94" i="25"/>
  <c r="H94" i="25"/>
  <c r="S94" i="25"/>
  <c r="K94" i="25" s="1"/>
  <c r="AL102" i="25"/>
  <c r="H102" i="25"/>
  <c r="S102" i="25"/>
  <c r="K102" i="25" s="1"/>
  <c r="AL127" i="25"/>
  <c r="H127" i="25"/>
  <c r="H149" i="25"/>
  <c r="AL149" i="25"/>
  <c r="H165" i="25"/>
  <c r="AL165" i="25"/>
  <c r="H181" i="25"/>
  <c r="AL181" i="25"/>
  <c r="H189" i="25"/>
  <c r="AL189" i="25"/>
  <c r="H142" i="25"/>
  <c r="AL142" i="25"/>
  <c r="H174" i="25"/>
  <c r="AL174" i="25"/>
  <c r="H223" i="25"/>
  <c r="AL223" i="25"/>
  <c r="H245" i="25"/>
  <c r="AL245" i="25"/>
  <c r="H261" i="25"/>
  <c r="AL261" i="25"/>
  <c r="AL280" i="25"/>
  <c r="H280" i="25"/>
  <c r="AL139" i="25"/>
  <c r="H139" i="25"/>
  <c r="AL171" i="25"/>
  <c r="H171" i="25"/>
  <c r="AL209" i="25"/>
  <c r="H209" i="25"/>
  <c r="H230" i="25"/>
  <c r="AL230" i="25"/>
  <c r="H203" i="25"/>
  <c r="AL203" i="25"/>
  <c r="H244" i="25"/>
  <c r="AL244" i="25"/>
  <c r="H260" i="25"/>
  <c r="AL260" i="25"/>
  <c r="H293" i="25"/>
  <c r="AL293" i="25"/>
  <c r="AL208" i="25"/>
  <c r="H208" i="25"/>
  <c r="H247" i="25"/>
  <c r="AL247" i="25"/>
  <c r="H263" i="25"/>
  <c r="AL263" i="25"/>
  <c r="AL274" i="25"/>
  <c r="H274" i="25"/>
  <c r="H283" i="25"/>
  <c r="AL283" i="25"/>
  <c r="H299" i="25"/>
  <c r="AL299" i="25"/>
  <c r="H290" i="25"/>
  <c r="AL290" i="25"/>
  <c r="AL307" i="25"/>
  <c r="H307" i="25"/>
  <c r="AL303" i="25"/>
  <c r="H303" i="25"/>
  <c r="AL308" i="25"/>
  <c r="H308" i="25"/>
  <c r="AL22" i="25"/>
  <c r="H22" i="25"/>
  <c r="S22" i="25"/>
  <c r="K22" i="25" s="1"/>
  <c r="AL35" i="25"/>
  <c r="H35" i="25"/>
  <c r="S35" i="25"/>
  <c r="K35" i="25" s="1"/>
  <c r="AL42" i="25"/>
  <c r="H42" i="25"/>
  <c r="S42" i="25"/>
  <c r="K42" i="25" s="1"/>
  <c r="AL21" i="25"/>
  <c r="H21" i="25"/>
  <c r="S21" i="25"/>
  <c r="K21" i="25" s="1"/>
  <c r="AL69" i="25"/>
  <c r="H69" i="25"/>
  <c r="S69" i="25"/>
  <c r="K69" i="25" s="1"/>
  <c r="AL12" i="25"/>
  <c r="H12" i="25"/>
  <c r="S12" i="25"/>
  <c r="K12" i="25" s="1"/>
  <c r="AL28" i="25"/>
  <c r="H28" i="25"/>
  <c r="S28" i="25"/>
  <c r="K28" i="25" s="1"/>
  <c r="AL48" i="25"/>
  <c r="H48" i="25"/>
  <c r="S48" i="25"/>
  <c r="K48" i="25" s="1"/>
  <c r="AL64" i="25"/>
  <c r="H64" i="25"/>
  <c r="S64" i="25"/>
  <c r="K64" i="25" s="1"/>
  <c r="AL80" i="25"/>
  <c r="H80" i="25"/>
  <c r="S80" i="25"/>
  <c r="K80" i="25" s="1"/>
  <c r="AL62" i="25"/>
  <c r="H62" i="25"/>
  <c r="S62" i="25"/>
  <c r="K62" i="25" s="1"/>
  <c r="AL78" i="25"/>
  <c r="H78" i="25"/>
  <c r="S78" i="25"/>
  <c r="K78" i="25" s="1"/>
  <c r="AL112" i="25"/>
  <c r="H112" i="25"/>
  <c r="AL6" i="25"/>
  <c r="BR6" i="25"/>
  <c r="H6" i="25"/>
  <c r="S6" i="25"/>
  <c r="K6" i="25" s="1"/>
  <c r="H10" i="25"/>
  <c r="AL10" i="25"/>
  <c r="S10" i="25"/>
  <c r="K10" i="25" s="1"/>
  <c r="AL25" i="25"/>
  <c r="H25" i="25"/>
  <c r="S25" i="25"/>
  <c r="K25" i="25" s="1"/>
  <c r="AL57" i="25"/>
  <c r="H57" i="25"/>
  <c r="S57" i="25"/>
  <c r="K57" i="25" s="1"/>
  <c r="AL77" i="25"/>
  <c r="H77" i="25"/>
  <c r="S77" i="25"/>
  <c r="K77" i="25" s="1"/>
  <c r="H125" i="25"/>
  <c r="AL125" i="25"/>
  <c r="AL27" i="25"/>
  <c r="H27" i="25"/>
  <c r="S27" i="25"/>
  <c r="K27" i="25" s="1"/>
  <c r="AL47" i="25"/>
  <c r="H47" i="25"/>
  <c r="S47" i="25"/>
  <c r="K47" i="25" s="1"/>
  <c r="AL63" i="25"/>
  <c r="H63" i="25"/>
  <c r="S63" i="25"/>
  <c r="K63" i="25" s="1"/>
  <c r="AL79" i="25"/>
  <c r="H79" i="25"/>
  <c r="S79" i="25"/>
  <c r="K79" i="25" s="1"/>
  <c r="H114" i="25"/>
  <c r="AL114" i="25"/>
  <c r="H220" i="25"/>
  <c r="AL220" i="25"/>
  <c r="H228" i="25"/>
  <c r="AL228" i="25"/>
  <c r="AL271" i="25"/>
  <c r="H271" i="25"/>
  <c r="AL91" i="25"/>
  <c r="H91" i="25"/>
  <c r="S91" i="25"/>
  <c r="K91" i="25" s="1"/>
  <c r="AL95" i="25"/>
  <c r="H95" i="25"/>
  <c r="S95" i="25"/>
  <c r="K95" i="25" s="1"/>
  <c r="AL99" i="25"/>
  <c r="H99" i="25"/>
  <c r="S99" i="25"/>
  <c r="K99" i="25" s="1"/>
  <c r="AL103" i="25"/>
  <c r="H103" i="25"/>
  <c r="S103" i="25"/>
  <c r="K103" i="25" s="1"/>
  <c r="AL115" i="25"/>
  <c r="H115" i="25"/>
  <c r="AL128" i="25"/>
  <c r="H128" i="25"/>
  <c r="AL136" i="25"/>
  <c r="H136" i="25"/>
  <c r="S136" i="25"/>
  <c r="K136" i="25" s="1"/>
  <c r="AL144" i="25"/>
  <c r="H144" i="25"/>
  <c r="AL152" i="25"/>
  <c r="H152" i="25"/>
  <c r="AL160" i="25"/>
  <c r="H160" i="25"/>
  <c r="AL168" i="25"/>
  <c r="H168" i="25"/>
  <c r="AL176" i="25"/>
  <c r="H176" i="25"/>
  <c r="AL184" i="25"/>
  <c r="H184" i="25"/>
  <c r="AL192" i="25"/>
  <c r="H192" i="25"/>
  <c r="H130" i="25"/>
  <c r="AL130" i="25"/>
  <c r="H146" i="25"/>
  <c r="AL146" i="25"/>
  <c r="H162" i="25"/>
  <c r="AL162" i="25"/>
  <c r="H178" i="25"/>
  <c r="AL178" i="25"/>
  <c r="H194" i="25"/>
  <c r="AL194" i="25"/>
  <c r="H227" i="25"/>
  <c r="AL227" i="25"/>
  <c r="H238" i="25"/>
  <c r="AL238" i="25"/>
  <c r="H246" i="25"/>
  <c r="AL246" i="25"/>
  <c r="H254" i="25"/>
  <c r="AL254" i="25"/>
  <c r="H262" i="25"/>
  <c r="AL262" i="25"/>
  <c r="AL270" i="25"/>
  <c r="H270" i="25"/>
  <c r="H289" i="25"/>
  <c r="AL289" i="25"/>
  <c r="AL143" i="25"/>
  <c r="H143" i="25"/>
  <c r="AL159" i="25"/>
  <c r="H159" i="25"/>
  <c r="AL175" i="25"/>
  <c r="H175" i="25"/>
  <c r="AL191" i="25"/>
  <c r="H191" i="25"/>
  <c r="H202" i="25"/>
  <c r="AL202" i="25"/>
  <c r="H210" i="25"/>
  <c r="AL210" i="25"/>
  <c r="H284" i="25"/>
  <c r="AL284" i="25"/>
  <c r="H207" i="25"/>
  <c r="AL207" i="25"/>
  <c r="H248" i="25"/>
  <c r="AL248" i="25"/>
  <c r="H264" i="25"/>
  <c r="AL264" i="25"/>
  <c r="AL301" i="25"/>
  <c r="H301" i="25"/>
  <c r="H235" i="25"/>
  <c r="AL235" i="25"/>
  <c r="H251" i="25"/>
  <c r="AL251" i="25"/>
  <c r="H267" i="25"/>
  <c r="AL267" i="25"/>
  <c r="AL278" i="25"/>
  <c r="H278" i="25"/>
  <c r="AL273" i="25"/>
  <c r="H273" i="25"/>
  <c r="H287" i="25"/>
  <c r="AL287" i="25"/>
  <c r="AL314" i="25"/>
  <c r="H314" i="25"/>
  <c r="H294" i="25"/>
  <c r="AL294" i="25"/>
  <c r="AL309" i="25"/>
  <c r="H309" i="25"/>
  <c r="AL304" i="25"/>
  <c r="H304" i="25"/>
  <c r="AL312" i="25"/>
  <c r="H312" i="25"/>
  <c r="AL26" i="25"/>
  <c r="H26" i="25"/>
  <c r="S26" i="25"/>
  <c r="K26" i="25" s="1"/>
  <c r="AL36" i="25"/>
  <c r="H36" i="25"/>
  <c r="S36" i="25"/>
  <c r="K36" i="25" s="1"/>
  <c r="AL46" i="25"/>
  <c r="H46" i="25"/>
  <c r="S46" i="25"/>
  <c r="K46" i="25" s="1"/>
  <c r="AL41" i="25"/>
  <c r="H41" i="25"/>
  <c r="S41" i="25"/>
  <c r="K41" i="25" s="1"/>
  <c r="AL81" i="25"/>
  <c r="H81" i="25"/>
  <c r="S81" i="25"/>
  <c r="K81" i="25" s="1"/>
  <c r="AL16" i="25"/>
  <c r="H16" i="25"/>
  <c r="S16" i="25"/>
  <c r="K16" i="25" s="1"/>
  <c r="AL32" i="25"/>
  <c r="H32" i="25"/>
  <c r="S32" i="25"/>
  <c r="K32" i="25" s="1"/>
  <c r="AL52" i="25"/>
  <c r="H52" i="25"/>
  <c r="S52" i="25"/>
  <c r="K52" i="25" s="1"/>
  <c r="AL68" i="25"/>
  <c r="H68" i="25"/>
  <c r="S68" i="25"/>
  <c r="K68" i="25" s="1"/>
  <c r="AL84" i="25"/>
  <c r="H84" i="25"/>
  <c r="S84" i="25"/>
  <c r="K84" i="25" s="1"/>
  <c r="AL66" i="25"/>
  <c r="H66" i="25"/>
  <c r="S66" i="25"/>
  <c r="K66" i="25" s="1"/>
  <c r="AL82" i="25"/>
  <c r="H82" i="25"/>
  <c r="S82" i="25"/>
  <c r="K82" i="25" s="1"/>
  <c r="AL116" i="25"/>
  <c r="H116" i="25"/>
  <c r="BR7" i="25"/>
  <c r="H7" i="25"/>
  <c r="AL7" i="25"/>
  <c r="S7" i="25"/>
  <c r="K7" i="25" s="1"/>
  <c r="H11" i="25"/>
  <c r="AL11" i="25"/>
  <c r="S11" i="25"/>
  <c r="K11" i="25" s="1"/>
  <c r="AL29" i="25"/>
  <c r="H29" i="25"/>
  <c r="S29" i="25"/>
  <c r="K29" i="25" s="1"/>
  <c r="AL61" i="25"/>
  <c r="H61" i="25"/>
  <c r="S61" i="25"/>
  <c r="K61" i="25" s="1"/>
  <c r="AL85" i="25"/>
  <c r="H85" i="25"/>
  <c r="S85" i="25"/>
  <c r="K85" i="25" s="1"/>
  <c r="AL15" i="25"/>
  <c r="H15" i="25"/>
  <c r="S15" i="25"/>
  <c r="K15" i="25" s="1"/>
  <c r="AL31" i="25"/>
  <c r="H31" i="25"/>
  <c r="S31" i="25"/>
  <c r="K31" i="25" s="1"/>
  <c r="AL51" i="25"/>
  <c r="H51" i="25"/>
  <c r="S51" i="25"/>
  <c r="K51" i="25" s="1"/>
  <c r="AL67" i="25"/>
  <c r="H67" i="25"/>
  <c r="S67" i="25"/>
  <c r="K67" i="25" s="1"/>
  <c r="AL83" i="25"/>
  <c r="H83" i="25"/>
  <c r="S83" i="25"/>
  <c r="K83" i="25" s="1"/>
  <c r="H118" i="25"/>
  <c r="AL118" i="25"/>
  <c r="H221" i="25"/>
  <c r="AL221" i="25"/>
  <c r="H229" i="25"/>
  <c r="AL229" i="25"/>
  <c r="AL275" i="25"/>
  <c r="H275" i="25"/>
  <c r="AL92" i="25"/>
  <c r="H92" i="25"/>
  <c r="S92" i="25"/>
  <c r="K92" i="25" s="1"/>
  <c r="AL96" i="25"/>
  <c r="H96" i="25"/>
  <c r="S96" i="25"/>
  <c r="K96" i="25" s="1"/>
  <c r="AL100" i="25"/>
  <c r="H100" i="25"/>
  <c r="S100" i="25"/>
  <c r="K100" i="25" s="1"/>
  <c r="AL104" i="25"/>
  <c r="H104" i="25"/>
  <c r="S104" i="25"/>
  <c r="K104" i="25" s="1"/>
  <c r="AL119" i="25"/>
  <c r="H119" i="25"/>
  <c r="H129" i="25"/>
  <c r="AL129" i="25"/>
  <c r="H137" i="25"/>
  <c r="AL137" i="25"/>
  <c r="H145" i="25"/>
  <c r="AL145" i="25"/>
  <c r="H153" i="25"/>
  <c r="AL153" i="25"/>
  <c r="H161" i="25"/>
  <c r="AL161" i="25"/>
  <c r="H169" i="25"/>
  <c r="AL169" i="25"/>
  <c r="H177" i="25"/>
  <c r="AL177" i="25"/>
  <c r="H185" i="25"/>
  <c r="AL185" i="25"/>
  <c r="H193" i="25"/>
  <c r="AL193" i="25"/>
  <c r="H134" i="25"/>
  <c r="AL134" i="25"/>
  <c r="H150" i="25"/>
  <c r="AL150" i="25"/>
  <c r="H166" i="25"/>
  <c r="AL166" i="25"/>
  <c r="H182" i="25"/>
  <c r="AL182" i="25"/>
  <c r="H198" i="25"/>
  <c r="AL198" i="25"/>
  <c r="H231" i="25"/>
  <c r="AL231" i="25"/>
  <c r="H241" i="25"/>
  <c r="AL241" i="25"/>
  <c r="H249" i="25"/>
  <c r="AL249" i="25"/>
  <c r="H257" i="25"/>
  <c r="AL257" i="25"/>
  <c r="H265" i="25"/>
  <c r="AL265" i="25"/>
  <c r="AL272" i="25"/>
  <c r="H272" i="25"/>
  <c r="AL131" i="25"/>
  <c r="H131" i="25"/>
  <c r="AL147" i="25"/>
  <c r="H147" i="25"/>
  <c r="AL163" i="25"/>
  <c r="H163" i="25"/>
  <c r="AL179" i="25"/>
  <c r="H179" i="25"/>
  <c r="AL195" i="25"/>
  <c r="H195" i="25"/>
  <c r="AL205" i="25"/>
  <c r="H205" i="25"/>
  <c r="H222" i="25"/>
  <c r="AL222" i="25"/>
  <c r="H300" i="25"/>
  <c r="AL300" i="25"/>
  <c r="H236" i="25"/>
  <c r="AL236" i="25"/>
  <c r="H252" i="25"/>
  <c r="AL252" i="25"/>
  <c r="H268" i="25"/>
  <c r="AL268" i="25"/>
  <c r="AL200" i="25"/>
  <c r="H200" i="25"/>
  <c r="H239" i="25"/>
  <c r="AL239" i="25"/>
  <c r="H255" i="25"/>
  <c r="AL255" i="25"/>
  <c r="H288" i="25"/>
  <c r="AL288" i="25"/>
  <c r="AL282" i="25"/>
  <c r="H282" i="25"/>
  <c r="AL277" i="25"/>
  <c r="H277" i="25"/>
  <c r="H291" i="25"/>
  <c r="AL291" i="25"/>
  <c r="AL315" i="25"/>
  <c r="H315" i="25"/>
  <c r="H298" i="25"/>
  <c r="AL298" i="25"/>
  <c r="AL313" i="25"/>
  <c r="H313" i="25"/>
  <c r="AL305" i="25"/>
  <c r="H305" i="25"/>
  <c r="AL316" i="25"/>
  <c r="H316" i="25"/>
  <c r="B37" i="2"/>
  <c r="B35" i="2"/>
  <c r="J67" i="23"/>
  <c r="L67" i="23" s="1"/>
  <c r="G71" i="23"/>
  <c r="H71" i="23" s="1"/>
  <c r="G17" i="23"/>
  <c r="H17" i="23" s="1"/>
  <c r="G32" i="23"/>
  <c r="H32" i="23" s="1"/>
  <c r="G54" i="23"/>
  <c r="H54" i="23" s="1"/>
  <c r="G101" i="23"/>
  <c r="H101" i="23" s="1"/>
  <c r="G30" i="23"/>
  <c r="H30" i="23" s="1"/>
  <c r="G51" i="23"/>
  <c r="H51" i="23" s="1"/>
  <c r="J103" i="23"/>
  <c r="K103" i="23" s="1"/>
  <c r="G25" i="23"/>
  <c r="H25" i="23" s="1"/>
  <c r="G80" i="23"/>
  <c r="H80" i="23" s="1"/>
  <c r="G21" i="23"/>
  <c r="H21" i="23" s="1"/>
  <c r="G105" i="23"/>
  <c r="H105" i="23" s="1"/>
  <c r="J63" i="23"/>
  <c r="L63" i="23" s="1"/>
  <c r="J88" i="23"/>
  <c r="K88" i="23" s="1"/>
  <c r="J49" i="23"/>
  <c r="K49" i="23" s="1"/>
  <c r="G92" i="23"/>
  <c r="H92" i="23" s="1"/>
  <c r="G22" i="23"/>
  <c r="H22" i="23" s="1"/>
  <c r="J20" i="23"/>
  <c r="L20" i="23" s="1"/>
  <c r="G53" i="23"/>
  <c r="H53" i="23" s="1"/>
  <c r="G73" i="23"/>
  <c r="H73" i="23" s="1"/>
  <c r="G46" i="23"/>
  <c r="H46" i="23" s="1"/>
  <c r="G6" i="23"/>
  <c r="H6" i="23" s="1"/>
  <c r="G94" i="23"/>
  <c r="H94" i="23" s="1"/>
  <c r="G90" i="23"/>
  <c r="H90" i="23" s="1"/>
  <c r="G14" i="23"/>
  <c r="H14" i="23" s="1"/>
  <c r="J60" i="23"/>
  <c r="K60" i="23" s="1"/>
  <c r="J10" i="8"/>
  <c r="B156" i="2" s="1"/>
  <c r="B220" i="2" s="1"/>
  <c r="J84" i="23"/>
  <c r="L84" i="23" s="1"/>
  <c r="G81" i="23"/>
  <c r="H81" i="23" s="1"/>
  <c r="H187" i="24"/>
  <c r="AM187" i="24"/>
  <c r="H125" i="24"/>
  <c r="AM125" i="24"/>
  <c r="H295" i="24"/>
  <c r="AM295" i="24"/>
  <c r="AM243" i="24"/>
  <c r="H243" i="24"/>
  <c r="AM174" i="24"/>
  <c r="H174" i="24"/>
  <c r="H142" i="24"/>
  <c r="AM142" i="24"/>
  <c r="H298" i="24"/>
  <c r="AM298" i="24"/>
  <c r="H266" i="24"/>
  <c r="AM266" i="24"/>
  <c r="H183" i="24"/>
  <c r="AM183" i="24"/>
  <c r="H255" i="24"/>
  <c r="AM255" i="24"/>
  <c r="AM197" i="24"/>
  <c r="H197" i="24"/>
  <c r="AM137" i="24"/>
  <c r="H137" i="24"/>
  <c r="H293" i="24"/>
  <c r="AM293" i="24"/>
  <c r="H261" i="24"/>
  <c r="AM261" i="24"/>
  <c r="H229" i="24"/>
  <c r="AM229" i="24"/>
  <c r="H299" i="24"/>
  <c r="AM299" i="24"/>
  <c r="H128" i="24"/>
  <c r="AM128" i="24"/>
  <c r="H115" i="24"/>
  <c r="AM115" i="24"/>
  <c r="AM161" i="24"/>
  <c r="H161" i="24"/>
  <c r="AM204" i="24"/>
  <c r="H204" i="24"/>
  <c r="AM188" i="24"/>
  <c r="H188" i="24"/>
  <c r="AM156" i="24"/>
  <c r="H156" i="24"/>
  <c r="H296" i="24"/>
  <c r="AM296" i="24"/>
  <c r="H264" i="24"/>
  <c r="AM264" i="24"/>
  <c r="H248" i="24"/>
  <c r="AM248" i="24"/>
  <c r="H117" i="24"/>
  <c r="AM117" i="24"/>
  <c r="H195" i="24"/>
  <c r="AM195" i="24"/>
  <c r="H207" i="24"/>
  <c r="AM207" i="24"/>
  <c r="H147" i="24"/>
  <c r="AM147" i="24"/>
  <c r="H283" i="24"/>
  <c r="AM283" i="24"/>
  <c r="AM227" i="24"/>
  <c r="H227" i="24"/>
  <c r="H186" i="24"/>
  <c r="AM186" i="24"/>
  <c r="AM170" i="24"/>
  <c r="H170" i="24"/>
  <c r="H154" i="24"/>
  <c r="AM154" i="24"/>
  <c r="AM138" i="24"/>
  <c r="H138" i="24"/>
  <c r="AM310" i="24"/>
  <c r="H310" i="24"/>
  <c r="AM294" i="24"/>
  <c r="H294" i="24"/>
  <c r="H278" i="24"/>
  <c r="AM278" i="24"/>
  <c r="AM262" i="24"/>
  <c r="H262" i="24"/>
  <c r="H246" i="24"/>
  <c r="AM246" i="24"/>
  <c r="AM230" i="24"/>
  <c r="H230" i="24"/>
  <c r="AM167" i="24"/>
  <c r="H167" i="24"/>
  <c r="AM291" i="24"/>
  <c r="H291" i="24"/>
  <c r="AM239" i="24"/>
  <c r="H239" i="24"/>
  <c r="AM190" i="24"/>
  <c r="H190" i="24"/>
  <c r="AM185" i="24"/>
  <c r="H185" i="24"/>
  <c r="AM149" i="24"/>
  <c r="H149" i="24"/>
  <c r="H133" i="24"/>
  <c r="AM133" i="24"/>
  <c r="AM305" i="24"/>
  <c r="H305" i="24"/>
  <c r="AM289" i="24"/>
  <c r="H289" i="24"/>
  <c r="H273" i="24"/>
  <c r="AM273" i="24"/>
  <c r="AM257" i="24"/>
  <c r="H257" i="24"/>
  <c r="AM241" i="24"/>
  <c r="H241" i="24"/>
  <c r="AM225" i="24"/>
  <c r="H225" i="24"/>
  <c r="AM159" i="24"/>
  <c r="H159" i="24"/>
  <c r="AM218" i="24"/>
  <c r="H218" i="24"/>
  <c r="AM287" i="24"/>
  <c r="H287" i="24"/>
  <c r="H247" i="24"/>
  <c r="AM247" i="24"/>
  <c r="AM124" i="24"/>
  <c r="H124" i="24"/>
  <c r="H112" i="24"/>
  <c r="AM112" i="24"/>
  <c r="AM205" i="24"/>
  <c r="H205" i="24"/>
  <c r="AM181" i="24"/>
  <c r="H181" i="24"/>
  <c r="H157" i="24"/>
  <c r="AM157" i="24"/>
  <c r="AM118" i="24"/>
  <c r="H118" i="24"/>
  <c r="AM200" i="24"/>
  <c r="H200" i="24"/>
  <c r="AM184" i="24"/>
  <c r="H184" i="24"/>
  <c r="H168" i="24"/>
  <c r="AM168" i="24"/>
  <c r="H152" i="24"/>
  <c r="AM152" i="24"/>
  <c r="AM136" i="24"/>
  <c r="H136" i="24"/>
  <c r="AM308" i="24"/>
  <c r="H308" i="24"/>
  <c r="AM292" i="24"/>
  <c r="H292" i="24"/>
  <c r="AM276" i="24"/>
  <c r="H276" i="24"/>
  <c r="AM260" i="24"/>
  <c r="H260" i="24"/>
  <c r="AM244" i="24"/>
  <c r="H244" i="24"/>
  <c r="H228" i="24"/>
  <c r="AM228" i="24"/>
  <c r="AM113" i="24"/>
  <c r="H113" i="24"/>
  <c r="AM163" i="24"/>
  <c r="H163" i="24"/>
  <c r="H202" i="24"/>
  <c r="AM202" i="24"/>
  <c r="AM158" i="24"/>
  <c r="H158" i="24"/>
  <c r="AM314" i="24"/>
  <c r="H314" i="24"/>
  <c r="H282" i="24"/>
  <c r="AM282" i="24"/>
  <c r="AM250" i="24"/>
  <c r="H250" i="24"/>
  <c r="H234" i="24"/>
  <c r="AM234" i="24"/>
  <c r="H307" i="24"/>
  <c r="AM307" i="24"/>
  <c r="AM198" i="24"/>
  <c r="H198" i="24"/>
  <c r="H153" i="24"/>
  <c r="AM153" i="24"/>
  <c r="H309" i="24"/>
  <c r="AM309" i="24"/>
  <c r="AM277" i="24"/>
  <c r="H277" i="24"/>
  <c r="AM245" i="24"/>
  <c r="H245" i="24"/>
  <c r="AM171" i="24"/>
  <c r="H171" i="24"/>
  <c r="H135" i="24"/>
  <c r="AM135" i="24"/>
  <c r="H259" i="24"/>
  <c r="AM259" i="24"/>
  <c r="H194" i="24"/>
  <c r="AM194" i="24"/>
  <c r="H189" i="24"/>
  <c r="AM189" i="24"/>
  <c r="AM122" i="24"/>
  <c r="H122" i="24"/>
  <c r="H172" i="24"/>
  <c r="AM172" i="24"/>
  <c r="H140" i="24"/>
  <c r="AM140" i="24"/>
  <c r="AM312" i="24"/>
  <c r="H312" i="24"/>
  <c r="AM280" i="24"/>
  <c r="H280" i="24"/>
  <c r="AM232" i="24"/>
  <c r="H232" i="24"/>
  <c r="H199" i="24"/>
  <c r="AM199" i="24"/>
  <c r="AM121" i="24"/>
  <c r="H121" i="24"/>
  <c r="H191" i="24"/>
  <c r="AM191" i="24"/>
  <c r="H131" i="24"/>
  <c r="AM131" i="24"/>
  <c r="AM263" i="24"/>
  <c r="H263" i="24"/>
  <c r="AM111" i="24"/>
  <c r="H111" i="24"/>
  <c r="AM182" i="24"/>
  <c r="H182" i="24"/>
  <c r="H166" i="24"/>
  <c r="AM166" i="24"/>
  <c r="AM150" i="24"/>
  <c r="H150" i="24"/>
  <c r="H134" i="24"/>
  <c r="AM134" i="24"/>
  <c r="AM306" i="24"/>
  <c r="H306" i="24"/>
  <c r="H290" i="24"/>
  <c r="AM290" i="24"/>
  <c r="H274" i="24"/>
  <c r="AM274" i="24"/>
  <c r="H258" i="24"/>
  <c r="AM258" i="24"/>
  <c r="H242" i="24"/>
  <c r="AM242" i="24"/>
  <c r="AM226" i="24"/>
  <c r="H226" i="24"/>
  <c r="AM155" i="24"/>
  <c r="H155" i="24"/>
  <c r="H279" i="24"/>
  <c r="AM279" i="24"/>
  <c r="AM231" i="24"/>
  <c r="H231" i="24"/>
  <c r="AM123" i="24"/>
  <c r="H123" i="24"/>
  <c r="AM173" i="24"/>
  <c r="H173" i="24"/>
  <c r="AM145" i="24"/>
  <c r="H145" i="24"/>
  <c r="AM317" i="24"/>
  <c r="H317" i="24"/>
  <c r="H301" i="24"/>
  <c r="AM301" i="24"/>
  <c r="AM285" i="24"/>
  <c r="H285" i="24"/>
  <c r="AM269" i="24"/>
  <c r="H269" i="24"/>
  <c r="AM253" i="24"/>
  <c r="H253" i="24"/>
  <c r="AM237" i="24"/>
  <c r="H237" i="24"/>
  <c r="AM221" i="24"/>
  <c r="H221" i="24"/>
  <c r="H151" i="24"/>
  <c r="AM151" i="24"/>
  <c r="H315" i="24"/>
  <c r="AM315" i="24"/>
  <c r="H275" i="24"/>
  <c r="AM275" i="24"/>
  <c r="H235" i="24"/>
  <c r="AM235" i="24"/>
  <c r="H210" i="24"/>
  <c r="AM210" i="24"/>
  <c r="H127" i="24"/>
  <c r="AM127" i="24"/>
  <c r="AM201" i="24"/>
  <c r="H201" i="24"/>
  <c r="AM177" i="24"/>
  <c r="H177" i="24"/>
  <c r="H130" i="24"/>
  <c r="AM130" i="24"/>
  <c r="H114" i="24"/>
  <c r="AM114" i="24"/>
  <c r="AM196" i="24"/>
  <c r="H196" i="24"/>
  <c r="AM180" i="24"/>
  <c r="H180" i="24"/>
  <c r="H164" i="24"/>
  <c r="AM164" i="24"/>
  <c r="AM148" i="24"/>
  <c r="H148" i="24"/>
  <c r="H132" i="24"/>
  <c r="AM132" i="24"/>
  <c r="H304" i="24"/>
  <c r="AM304" i="24"/>
  <c r="H288" i="24"/>
  <c r="AM288" i="24"/>
  <c r="AM272" i="24"/>
  <c r="H272" i="24"/>
  <c r="AM256" i="24"/>
  <c r="H256" i="24"/>
  <c r="H240" i="24"/>
  <c r="AM240" i="24"/>
  <c r="H224" i="24"/>
  <c r="AM224" i="24"/>
  <c r="H203" i="24"/>
  <c r="AM203" i="24"/>
  <c r="AM129" i="24"/>
  <c r="H129" i="24"/>
  <c r="H179" i="24"/>
  <c r="AM179" i="24"/>
  <c r="H311" i="24"/>
  <c r="AM311" i="24"/>
  <c r="H251" i="24"/>
  <c r="AM251" i="24"/>
  <c r="H120" i="24"/>
  <c r="AM120" i="24"/>
  <c r="H178" i="24"/>
  <c r="AM178" i="24"/>
  <c r="AM162" i="24"/>
  <c r="H162" i="24"/>
  <c r="H146" i="24"/>
  <c r="AM146" i="24"/>
  <c r="AM219" i="24"/>
  <c r="H219" i="24"/>
  <c r="H302" i="24"/>
  <c r="AM302" i="24"/>
  <c r="AM286" i="24"/>
  <c r="H286" i="24"/>
  <c r="H270" i="24"/>
  <c r="AM270" i="24"/>
  <c r="H254" i="24"/>
  <c r="AM254" i="24"/>
  <c r="AM238" i="24"/>
  <c r="H238" i="24"/>
  <c r="H222" i="24"/>
  <c r="AM222" i="24"/>
  <c r="AM139" i="24"/>
  <c r="H139" i="24"/>
  <c r="AM267" i="24"/>
  <c r="H267" i="24"/>
  <c r="AM116" i="24"/>
  <c r="H116" i="24"/>
  <c r="AM209" i="24"/>
  <c r="H209" i="24"/>
  <c r="AM165" i="24"/>
  <c r="H165" i="24"/>
  <c r="H141" i="24"/>
  <c r="AM141" i="24"/>
  <c r="H313" i="24"/>
  <c r="AM313" i="24"/>
  <c r="AM297" i="24"/>
  <c r="H297" i="24"/>
  <c r="H281" i="24"/>
  <c r="AM281" i="24"/>
  <c r="AM265" i="24"/>
  <c r="H265" i="24"/>
  <c r="AM249" i="24"/>
  <c r="H249" i="24"/>
  <c r="H233" i="24"/>
  <c r="AM233" i="24"/>
  <c r="H175" i="24"/>
  <c r="AM175" i="24"/>
  <c r="H143" i="24"/>
  <c r="AM143" i="24"/>
  <c r="H303" i="24"/>
  <c r="AM303" i="24"/>
  <c r="H271" i="24"/>
  <c r="AM271" i="24"/>
  <c r="AM223" i="24"/>
  <c r="H223" i="24"/>
  <c r="AM206" i="24"/>
  <c r="H206" i="24"/>
  <c r="H119" i="24"/>
  <c r="AM119" i="24"/>
  <c r="H193" i="24"/>
  <c r="AM193" i="24"/>
  <c r="AM169" i="24"/>
  <c r="H169" i="24"/>
  <c r="H126" i="24"/>
  <c r="AM126" i="24"/>
  <c r="AM208" i="24"/>
  <c r="H208" i="24"/>
  <c r="AM192" i="24"/>
  <c r="H192" i="24"/>
  <c r="AM176" i="24"/>
  <c r="H176" i="24"/>
  <c r="H160" i="24"/>
  <c r="AM160" i="24"/>
  <c r="H144" i="24"/>
  <c r="AM144" i="24"/>
  <c r="AM316" i="24"/>
  <c r="H316" i="24"/>
  <c r="AM300" i="24"/>
  <c r="H300" i="24"/>
  <c r="H284" i="24"/>
  <c r="AM284" i="24"/>
  <c r="H268" i="24"/>
  <c r="AM268" i="24"/>
  <c r="H252" i="24"/>
  <c r="AM252" i="24"/>
  <c r="H236" i="24"/>
  <c r="AM236" i="24"/>
  <c r="AM220" i="24"/>
  <c r="H220" i="24"/>
  <c r="G52" i="23"/>
  <c r="H52" i="23" s="1"/>
  <c r="G87" i="23"/>
  <c r="H87" i="23" s="1"/>
  <c r="G47" i="23"/>
  <c r="H47" i="23" s="1"/>
  <c r="G15" i="23"/>
  <c r="H15" i="23" s="1"/>
  <c r="P301" i="24"/>
  <c r="P275" i="24"/>
  <c r="P307" i="24"/>
  <c r="P228" i="24"/>
  <c r="P256" i="24"/>
  <c r="P285" i="24"/>
  <c r="P317" i="24"/>
  <c r="P238" i="24"/>
  <c r="P309" i="24"/>
  <c r="P247" i="24"/>
  <c r="P263" i="24"/>
  <c r="P295" i="24"/>
  <c r="P311" i="24"/>
  <c r="P232" i="24"/>
  <c r="P296" i="24"/>
  <c r="P293" i="24"/>
  <c r="P226" i="24"/>
  <c r="P242" i="24"/>
  <c r="P258" i="24"/>
  <c r="P290" i="24"/>
  <c r="P260" i="24"/>
  <c r="P289" i="24"/>
  <c r="P219" i="24"/>
  <c r="P267" i="24"/>
  <c r="P240" i="24"/>
  <c r="P305" i="24"/>
  <c r="P230" i="24"/>
  <c r="G34" i="23"/>
  <c r="H34" i="23" s="1"/>
  <c r="P218" i="24"/>
  <c r="P234" i="24"/>
  <c r="P250" i="24"/>
  <c r="P266" i="24"/>
  <c r="P314" i="24"/>
  <c r="P276" i="24"/>
  <c r="P304" i="24"/>
  <c r="P241" i="24"/>
  <c r="P227" i="24"/>
  <c r="P243" i="24"/>
  <c r="P259" i="24"/>
  <c r="P291" i="24"/>
  <c r="P288" i="24"/>
  <c r="P221" i="24"/>
  <c r="P253" i="24"/>
  <c r="P270" i="24"/>
  <c r="P302" i="24"/>
  <c r="P252" i="24"/>
  <c r="P284" i="24"/>
  <c r="P312" i="24"/>
  <c r="P249" i="24"/>
  <c r="P231" i="24"/>
  <c r="P279" i="24"/>
  <c r="P264" i="24"/>
  <c r="P229" i="24"/>
  <c r="P261" i="24"/>
  <c r="P294" i="24"/>
  <c r="P282" i="24"/>
  <c r="P298" i="24"/>
  <c r="P244" i="24"/>
  <c r="P273" i="24"/>
  <c r="P222" i="24"/>
  <c r="P254" i="24"/>
  <c r="P286" i="24"/>
  <c r="P281" i="24"/>
  <c r="P257" i="24"/>
  <c r="P278" i="24"/>
  <c r="P310" i="24"/>
  <c r="P236" i="24"/>
  <c r="P297" i="24"/>
  <c r="P223" i="24"/>
  <c r="P287" i="24"/>
  <c r="P303" i="24"/>
  <c r="P248" i="24"/>
  <c r="P245" i="24"/>
  <c r="P277" i="24"/>
  <c r="P313" i="24"/>
  <c r="P274" i="24"/>
  <c r="P306" i="24"/>
  <c r="P220" i="24"/>
  <c r="P292" i="24"/>
  <c r="P225" i="24"/>
  <c r="P235" i="24"/>
  <c r="P251" i="24"/>
  <c r="P283" i="24"/>
  <c r="P299" i="24"/>
  <c r="P315" i="24"/>
  <c r="P272" i="24"/>
  <c r="P308" i="24"/>
  <c r="P237" i="24"/>
  <c r="P269" i="24"/>
  <c r="P246" i="24"/>
  <c r="P262" i="24"/>
  <c r="P268" i="24"/>
  <c r="P300" i="24"/>
  <c r="P233" i="24"/>
  <c r="P265" i="24"/>
  <c r="P239" i="24"/>
  <c r="P255" i="24"/>
  <c r="P271" i="24"/>
  <c r="P224" i="24"/>
  <c r="P280" i="24"/>
  <c r="P316" i="24"/>
  <c r="AM104" i="24"/>
  <c r="AM40" i="24"/>
  <c r="AM95" i="24"/>
  <c r="AM31" i="24"/>
  <c r="AM81" i="24"/>
  <c r="AM58" i="24"/>
  <c r="AM10" i="24"/>
  <c r="AM65" i="24"/>
  <c r="AM100" i="24"/>
  <c r="AM36" i="24"/>
  <c r="AM37" i="24"/>
  <c r="AM43" i="24"/>
  <c r="AM69" i="24"/>
  <c r="AM54" i="24"/>
  <c r="AM22" i="24"/>
  <c r="AM85" i="24"/>
  <c r="AM49" i="24"/>
  <c r="AM25" i="24"/>
  <c r="AM9" i="24"/>
  <c r="AM92" i="24"/>
  <c r="AM76" i="24"/>
  <c r="AM60" i="24"/>
  <c r="AM44" i="24"/>
  <c r="AM28" i="24"/>
  <c r="AM12" i="24"/>
  <c r="AM73" i="24"/>
  <c r="AM99" i="24"/>
  <c r="AM83" i="24"/>
  <c r="AM67" i="24"/>
  <c r="AM51" i="24"/>
  <c r="AM35" i="24"/>
  <c r="AM19" i="24"/>
  <c r="AM93" i="24"/>
  <c r="AM41" i="24"/>
  <c r="AM94" i="24"/>
  <c r="AM78" i="24"/>
  <c r="AM62" i="24"/>
  <c r="AM46" i="24"/>
  <c r="AM30" i="24"/>
  <c r="AM14" i="24"/>
  <c r="AM77" i="24"/>
  <c r="AM88" i="24"/>
  <c r="AM56" i="24"/>
  <c r="AM61" i="24"/>
  <c r="AM63" i="24"/>
  <c r="AM42" i="24"/>
  <c r="AM17" i="24"/>
  <c r="AM68" i="24"/>
  <c r="AM101" i="24"/>
  <c r="AM75" i="24"/>
  <c r="AM11" i="24"/>
  <c r="AM70" i="24"/>
  <c r="AM45" i="24"/>
  <c r="AM21" i="24"/>
  <c r="AM72" i="24"/>
  <c r="AM24" i="24"/>
  <c r="AM8" i="24"/>
  <c r="AM79" i="24"/>
  <c r="AM47" i="24"/>
  <c r="AM15" i="24"/>
  <c r="AM90" i="24"/>
  <c r="AM74" i="24"/>
  <c r="AM26" i="24"/>
  <c r="AM105" i="24"/>
  <c r="AM33" i="24"/>
  <c r="AM84" i="24"/>
  <c r="AM52" i="24"/>
  <c r="AM20" i="24"/>
  <c r="AM91" i="24"/>
  <c r="AM59" i="24"/>
  <c r="AM27" i="24"/>
  <c r="AM102" i="24"/>
  <c r="AM86" i="24"/>
  <c r="AM38" i="24"/>
  <c r="AM6" i="24"/>
  <c r="AM97" i="24"/>
  <c r="AM57" i="24"/>
  <c r="AM29" i="24"/>
  <c r="AM13" i="24"/>
  <c r="AM96" i="24"/>
  <c r="AM80" i="24"/>
  <c r="AM64" i="24"/>
  <c r="AM48" i="24"/>
  <c r="AM32" i="24"/>
  <c r="AM16" i="24"/>
  <c r="AM89" i="24"/>
  <c r="AM103" i="24"/>
  <c r="AM87" i="24"/>
  <c r="AM71" i="24"/>
  <c r="AM55" i="24"/>
  <c r="AM39" i="24"/>
  <c r="AM23" i="24"/>
  <c r="AM7" i="24"/>
  <c r="AM53" i="24"/>
  <c r="AM98" i="24"/>
  <c r="AM82" i="24"/>
  <c r="AM66" i="24"/>
  <c r="AM50" i="24"/>
  <c r="AM34" i="24"/>
  <c r="AM18" i="24"/>
  <c r="Q34" i="23"/>
  <c r="Q44" i="23"/>
  <c r="Q106" i="23"/>
  <c r="Q14" i="23"/>
  <c r="Q81" i="23"/>
  <c r="Q91" i="23"/>
  <c r="Q6" i="23"/>
  <c r="Q48" i="23"/>
  <c r="Q82" i="23"/>
  <c r="Q93" i="23"/>
  <c r="Q22" i="23"/>
  <c r="Q99" i="23"/>
  <c r="Q42" i="23"/>
  <c r="Q35" i="23"/>
  <c r="H49" i="24"/>
  <c r="H92" i="24"/>
  <c r="H28" i="24"/>
  <c r="H67" i="24"/>
  <c r="H19" i="24"/>
  <c r="H94" i="24"/>
  <c r="H46" i="24"/>
  <c r="H30" i="24"/>
  <c r="Q9" i="23"/>
  <c r="Q78" i="23"/>
  <c r="Q75" i="23"/>
  <c r="Q88" i="23"/>
  <c r="Q63" i="23"/>
  <c r="Q101" i="23"/>
  <c r="Q29" i="23"/>
  <c r="Q98" i="23"/>
  <c r="Q19" i="23"/>
  <c r="Q12" i="23"/>
  <c r="Q89" i="23"/>
  <c r="Q33" i="23"/>
  <c r="Q38" i="23"/>
  <c r="Q102" i="23"/>
  <c r="Q27" i="23"/>
  <c r="Q95" i="23"/>
  <c r="Q37" i="23"/>
  <c r="Q58" i="23"/>
  <c r="Q7" i="23"/>
  <c r="Q28" i="23"/>
  <c r="Q47" i="23"/>
  <c r="J24" i="23"/>
  <c r="K24" i="23" s="1"/>
  <c r="J97" i="23"/>
  <c r="K97" i="23" s="1"/>
  <c r="H77" i="24"/>
  <c r="H45" i="24"/>
  <c r="H21" i="24"/>
  <c r="H104" i="24"/>
  <c r="H88" i="24"/>
  <c r="H72" i="24"/>
  <c r="H56" i="24"/>
  <c r="H40" i="24"/>
  <c r="H24" i="24"/>
  <c r="H8" i="24"/>
  <c r="H61" i="24"/>
  <c r="H95" i="24"/>
  <c r="H79" i="24"/>
  <c r="H63" i="24"/>
  <c r="H47" i="24"/>
  <c r="H31" i="24"/>
  <c r="H15" i="24"/>
  <c r="H81" i="24"/>
  <c r="H5" i="24"/>
  <c r="BY5" i="24" s="1"/>
  <c r="H90" i="24"/>
  <c r="H74" i="24"/>
  <c r="H58" i="24"/>
  <c r="H42" i="24"/>
  <c r="H26" i="24"/>
  <c r="H10" i="24"/>
  <c r="Q23" i="23"/>
  <c r="Q59" i="23"/>
  <c r="Q13" i="23"/>
  <c r="Q76" i="23"/>
  <c r="Q17" i="23"/>
  <c r="Q96" i="23"/>
  <c r="Q21" i="23"/>
  <c r="Q87" i="23"/>
  <c r="H25" i="24"/>
  <c r="H76" i="24"/>
  <c r="H12" i="24"/>
  <c r="H99" i="24"/>
  <c r="H35" i="24"/>
  <c r="H41" i="24"/>
  <c r="H62" i="24"/>
  <c r="H14" i="24"/>
  <c r="Q94" i="23"/>
  <c r="Q71" i="23"/>
  <c r="Q84" i="23"/>
  <c r="Q24" i="23"/>
  <c r="Q97" i="23"/>
  <c r="Q54" i="23"/>
  <c r="Q103" i="23"/>
  <c r="Q20" i="23"/>
  <c r="Q31" i="23"/>
  <c r="Q10" i="23"/>
  <c r="Q40" i="23"/>
  <c r="Q64" i="23"/>
  <c r="Q61" i="23"/>
  <c r="Q57" i="23"/>
  <c r="H105" i="24"/>
  <c r="H65" i="24"/>
  <c r="H33" i="24"/>
  <c r="H17" i="24"/>
  <c r="H100" i="24"/>
  <c r="H84" i="24"/>
  <c r="H68" i="24"/>
  <c r="H52" i="24"/>
  <c r="H36" i="24"/>
  <c r="H20" i="24"/>
  <c r="H101" i="24"/>
  <c r="H37" i="24"/>
  <c r="H91" i="24"/>
  <c r="H75" i="24"/>
  <c r="H59" i="24"/>
  <c r="H43" i="24"/>
  <c r="H27" i="24"/>
  <c r="H11" i="24"/>
  <c r="H69" i="24"/>
  <c r="H102" i="24"/>
  <c r="H86" i="24"/>
  <c r="H70" i="24"/>
  <c r="H54" i="24"/>
  <c r="H38" i="24"/>
  <c r="H22" i="24"/>
  <c r="H6" i="24"/>
  <c r="Q62" i="23"/>
  <c r="Q67" i="23"/>
  <c r="Q36" i="23"/>
  <c r="Q85" i="23"/>
  <c r="Q68" i="23"/>
  <c r="Q86" i="23"/>
  <c r="Q73" i="23"/>
  <c r="Q104" i="23"/>
  <c r="Q100" i="23"/>
  <c r="H85" i="24"/>
  <c r="H9" i="24"/>
  <c r="H60" i="24"/>
  <c r="H44" i="24"/>
  <c r="H73" i="24"/>
  <c r="H83" i="24"/>
  <c r="H51" i="24"/>
  <c r="H93" i="24"/>
  <c r="H78" i="24"/>
  <c r="Q25" i="23"/>
  <c r="Q30" i="23"/>
  <c r="Q11" i="23"/>
  <c r="Q45" i="23"/>
  <c r="Q50" i="23"/>
  <c r="Q51" i="23"/>
  <c r="Q15" i="23"/>
  <c r="Q49" i="23"/>
  <c r="Q32" i="23"/>
  <c r="Q56" i="23"/>
  <c r="Q74" i="23"/>
  <c r="G82" i="23"/>
  <c r="H82" i="23" s="1"/>
  <c r="G102" i="23"/>
  <c r="H102" i="23" s="1"/>
  <c r="G13" i="23"/>
  <c r="H13" i="23" s="1"/>
  <c r="G104" i="23"/>
  <c r="H104" i="23" s="1"/>
  <c r="Q41" i="23"/>
  <c r="Q46" i="23"/>
  <c r="Q16" i="23"/>
  <c r="Q92" i="23"/>
  <c r="Q43" i="23"/>
  <c r="Q105" i="23"/>
  <c r="Q18" i="23"/>
  <c r="Q66" i="23"/>
  <c r="Q55" i="23"/>
  <c r="Q39" i="23"/>
  <c r="Q72" i="23"/>
  <c r="Q69" i="23"/>
  <c r="Q70" i="23"/>
  <c r="Q60" i="23"/>
  <c r="Q53" i="23"/>
  <c r="Q77" i="23"/>
  <c r="Q52" i="23"/>
  <c r="Q80" i="23"/>
  <c r="Q26" i="23"/>
  <c r="Q90" i="23"/>
  <c r="Q65" i="23"/>
  <c r="Q8" i="23"/>
  <c r="Q83" i="23"/>
  <c r="Q79" i="23"/>
  <c r="H97" i="24"/>
  <c r="H57" i="24"/>
  <c r="H29" i="24"/>
  <c r="H13" i="24"/>
  <c r="H96" i="24"/>
  <c r="H80" i="24"/>
  <c r="H64" i="24"/>
  <c r="H48" i="24"/>
  <c r="H32" i="24"/>
  <c r="H16" i="24"/>
  <c r="H89" i="24"/>
  <c r="H103" i="24"/>
  <c r="H87" i="24"/>
  <c r="H71" i="24"/>
  <c r="H55" i="24"/>
  <c r="H39" i="24"/>
  <c r="H23" i="24"/>
  <c r="H7" i="24"/>
  <c r="H53" i="24"/>
  <c r="H98" i="24"/>
  <c r="H82" i="24"/>
  <c r="H66" i="24"/>
  <c r="H50" i="24"/>
  <c r="H34" i="24"/>
  <c r="H18" i="24"/>
  <c r="G85" i="23"/>
  <c r="H85" i="23" s="1"/>
  <c r="J83" i="23"/>
  <c r="L83" i="23" s="1"/>
  <c r="G12" i="23"/>
  <c r="H12" i="23" s="1"/>
  <c r="J65" i="23"/>
  <c r="L65" i="23" s="1"/>
  <c r="G61" i="23"/>
  <c r="H61" i="23" s="1"/>
  <c r="J58" i="23"/>
  <c r="L58" i="23" s="1"/>
  <c r="J100" i="23"/>
  <c r="K100" i="23" s="1"/>
  <c r="G26" i="23"/>
  <c r="H26" i="23" s="1"/>
  <c r="G91" i="23"/>
  <c r="H91" i="23" s="1"/>
  <c r="G40" i="23"/>
  <c r="H40" i="23" s="1"/>
  <c r="G55" i="23"/>
  <c r="H55" i="23" s="1"/>
  <c r="J74" i="23"/>
  <c r="L74" i="23" s="1"/>
  <c r="G35" i="23"/>
  <c r="H35" i="23" s="1"/>
  <c r="G68" i="23"/>
  <c r="H68" i="23" s="1"/>
  <c r="G29" i="23"/>
  <c r="H29" i="23" s="1"/>
  <c r="J72" i="23"/>
  <c r="K72" i="23" s="1"/>
  <c r="G45" i="23"/>
  <c r="H45" i="23" s="1"/>
  <c r="J66" i="23"/>
  <c r="L66" i="23" s="1"/>
  <c r="J95" i="23"/>
  <c r="K95" i="23" s="1"/>
  <c r="J93" i="23"/>
  <c r="L93" i="23" s="1"/>
  <c r="J42" i="23"/>
  <c r="L42" i="23" s="1"/>
  <c r="J57" i="23"/>
  <c r="K57" i="23" s="1"/>
  <c r="G37" i="23"/>
  <c r="H37" i="23" s="1"/>
  <c r="G50" i="23"/>
  <c r="H50" i="23" s="1"/>
  <c r="G64" i="23"/>
  <c r="H64" i="23" s="1"/>
  <c r="G18" i="23"/>
  <c r="H18" i="23" s="1"/>
  <c r="G10" i="23"/>
  <c r="H10" i="23" s="1"/>
  <c r="G28" i="23"/>
  <c r="H28" i="23" s="1"/>
  <c r="G8" i="23"/>
  <c r="H8" i="23" s="1"/>
  <c r="G19" i="23"/>
  <c r="H19" i="23" s="1"/>
  <c r="K26" i="23"/>
  <c r="L26" i="23"/>
  <c r="K44" i="23"/>
  <c r="L44" i="23"/>
  <c r="K102" i="23"/>
  <c r="L102" i="23"/>
  <c r="L56" i="23"/>
  <c r="K56" i="23"/>
  <c r="L35" i="23"/>
  <c r="K35" i="23"/>
  <c r="K13" i="23"/>
  <c r="L13" i="23"/>
  <c r="K30" i="23"/>
  <c r="L30" i="23"/>
  <c r="K73" i="23"/>
  <c r="L73" i="23"/>
  <c r="L16" i="23"/>
  <c r="K16" i="23"/>
  <c r="L43" i="23"/>
  <c r="K43" i="23"/>
  <c r="K33" i="23"/>
  <c r="L33" i="23"/>
  <c r="K92" i="23"/>
  <c r="L92" i="23"/>
  <c r="L59" i="23"/>
  <c r="K59" i="23"/>
  <c r="L104" i="23"/>
  <c r="K104" i="23"/>
  <c r="L47" i="23"/>
  <c r="K47" i="23"/>
  <c r="K45" i="23"/>
  <c r="L45" i="23"/>
  <c r="K101" i="23"/>
  <c r="L101" i="23"/>
  <c r="K37" i="23"/>
  <c r="L37" i="23"/>
  <c r="L79" i="23"/>
  <c r="K79" i="23"/>
  <c r="K22" i="23"/>
  <c r="L22" i="23"/>
  <c r="L12" i="23"/>
  <c r="K12" i="23"/>
  <c r="L39" i="23"/>
  <c r="K39" i="23"/>
  <c r="K21" i="23"/>
  <c r="L21" i="23"/>
  <c r="L75" i="23"/>
  <c r="K75" i="23"/>
  <c r="K17" i="23"/>
  <c r="L17" i="23"/>
  <c r="L71" i="23"/>
  <c r="K71" i="23"/>
  <c r="K69" i="23"/>
  <c r="L69" i="23"/>
  <c r="K9" i="23"/>
  <c r="L9" i="23"/>
  <c r="K29" i="23"/>
  <c r="L29" i="23"/>
  <c r="K14" i="23"/>
  <c r="L14" i="23"/>
  <c r="K53" i="23"/>
  <c r="L53" i="23"/>
  <c r="L55" i="23"/>
  <c r="K55" i="23"/>
  <c r="L51" i="23"/>
  <c r="K51" i="23"/>
  <c r="K41" i="23"/>
  <c r="L41" i="23"/>
  <c r="L96" i="23"/>
  <c r="K96" i="23"/>
  <c r="K82" i="23"/>
  <c r="L82" i="23"/>
  <c r="K50" i="23"/>
  <c r="L50" i="23"/>
  <c r="L6" i="23"/>
  <c r="K6" i="23"/>
  <c r="K61" i="23"/>
  <c r="L61" i="23"/>
  <c r="L7" i="23"/>
  <c r="K7" i="23"/>
  <c r="L87" i="23"/>
  <c r="K87" i="23"/>
  <c r="K85" i="23"/>
  <c r="L85" i="23"/>
  <c r="K25" i="23"/>
  <c r="L25" i="23"/>
  <c r="L91" i="23"/>
  <c r="K91" i="23"/>
  <c r="K38" i="23"/>
  <c r="L38" i="23"/>
  <c r="K81" i="23"/>
  <c r="L81" i="23"/>
  <c r="L31" i="23"/>
  <c r="K31" i="23"/>
  <c r="K106" i="23"/>
  <c r="L106" i="23"/>
  <c r="L80" i="23"/>
  <c r="K80" i="23"/>
  <c r="L8" i="23"/>
  <c r="K8" i="23"/>
  <c r="K54" i="23"/>
  <c r="L54" i="23"/>
  <c r="K28" i="23"/>
  <c r="L28" i="23"/>
  <c r="K70" i="23"/>
  <c r="L70" i="23"/>
  <c r="L40" i="23"/>
  <c r="K40" i="23"/>
  <c r="L19" i="23"/>
  <c r="K19" i="23"/>
  <c r="K78" i="23"/>
  <c r="L78" i="23"/>
  <c r="K68" i="23"/>
  <c r="L68" i="23"/>
  <c r="L15" i="23"/>
  <c r="K15" i="23"/>
  <c r="L64" i="23"/>
  <c r="K64" i="23"/>
  <c r="L27" i="23"/>
  <c r="K27" i="23"/>
  <c r="K76" i="23"/>
  <c r="L76" i="23"/>
  <c r="L99" i="23"/>
  <c r="K99" i="23"/>
  <c r="K46" i="23"/>
  <c r="L46" i="23"/>
  <c r="K89" i="23"/>
  <c r="L89" i="23"/>
  <c r="K94" i="23"/>
  <c r="L94" i="23"/>
  <c r="K52" i="23"/>
  <c r="L52" i="23"/>
  <c r="L48" i="23"/>
  <c r="K48" i="23"/>
  <c r="L11" i="23"/>
  <c r="K11" i="23"/>
  <c r="K62" i="23"/>
  <c r="L62" i="23"/>
  <c r="L23" i="23"/>
  <c r="K23" i="23"/>
  <c r="K86" i="23"/>
  <c r="L86" i="23"/>
  <c r="K10" i="23"/>
  <c r="L10" i="23"/>
  <c r="K36" i="23"/>
  <c r="L36" i="23"/>
  <c r="K105" i="23"/>
  <c r="L105" i="23"/>
  <c r="L32" i="23"/>
  <c r="K32" i="23"/>
  <c r="K18" i="23"/>
  <c r="L18" i="23"/>
  <c r="K98" i="23"/>
  <c r="L98" i="23"/>
  <c r="K90" i="23"/>
  <c r="L90" i="23"/>
  <c r="K34" i="23"/>
  <c r="L34" i="23"/>
  <c r="C230" i="2"/>
  <c r="B230" i="2"/>
  <c r="B146" i="2"/>
  <c r="A189" i="2"/>
  <c r="F230" i="2"/>
  <c r="B231" i="2"/>
  <c r="H231" i="2"/>
  <c r="C44" i="16" s="1"/>
  <c r="F143" i="2"/>
  <c r="E38" i="1" s="1"/>
  <c r="A190" i="2" s="1"/>
  <c r="G143" i="2"/>
  <c r="G231" i="2"/>
  <c r="C231" i="2"/>
  <c r="A231" i="2" s="1"/>
  <c r="B145" i="2"/>
  <c r="AO2" i="19"/>
  <c r="H234" i="2"/>
  <c r="F234" i="2"/>
  <c r="K49" i="16"/>
  <c r="M49" i="16" s="1"/>
  <c r="B196" i="2"/>
  <c r="A196" i="2"/>
  <c r="A2" i="21"/>
  <c r="K48" i="2"/>
  <c r="G89" i="19"/>
  <c r="G64" i="19"/>
  <c r="G65" i="19"/>
  <c r="G90" i="19"/>
  <c r="G91" i="19"/>
  <c r="AY106" i="19"/>
  <c r="G66" i="19"/>
  <c r="BN106" i="19"/>
  <c r="Q164" i="24" l="1"/>
  <c r="S258" i="25"/>
  <c r="K258" i="25" s="1"/>
  <c r="P185" i="24"/>
  <c r="Q167" i="24"/>
  <c r="Q111" i="25"/>
  <c r="P191" i="24"/>
  <c r="Q160" i="24"/>
  <c r="Q124" i="24"/>
  <c r="Q139" i="24"/>
  <c r="Q188" i="24"/>
  <c r="Q119" i="24"/>
  <c r="S119" i="25"/>
  <c r="K119" i="25" s="1"/>
  <c r="V119" i="25" s="1"/>
  <c r="Q195" i="24"/>
  <c r="Q130" i="24"/>
  <c r="B86" i="2"/>
  <c r="Q284" i="25"/>
  <c r="S163" i="25"/>
  <c r="K163" i="25" s="1"/>
  <c r="W163" i="25" s="1"/>
  <c r="Z163" i="25" s="1"/>
  <c r="AA163" i="25" s="1"/>
  <c r="S287" i="25"/>
  <c r="K287" i="25" s="1"/>
  <c r="W287" i="25" s="1"/>
  <c r="Z287" i="25" s="1"/>
  <c r="AA287" i="25" s="1"/>
  <c r="S299" i="25"/>
  <c r="K299" i="25" s="1"/>
  <c r="Q191" i="25"/>
  <c r="Q286" i="25"/>
  <c r="S314" i="25"/>
  <c r="K314" i="25" s="1"/>
  <c r="W314" i="25" s="1"/>
  <c r="Z314" i="25" s="1"/>
  <c r="AA314" i="25" s="1"/>
  <c r="AB314" i="25" s="1"/>
  <c r="S178" i="25"/>
  <c r="K178" i="25" s="1"/>
  <c r="AD178" i="25" s="1"/>
  <c r="AE178" i="25" s="1"/>
  <c r="R258" i="25"/>
  <c r="R190" i="25"/>
  <c r="R116" i="25"/>
  <c r="R203" i="25"/>
  <c r="R119" i="25"/>
  <c r="S112" i="25"/>
  <c r="K112" i="25" s="1"/>
  <c r="R284" i="25"/>
  <c r="Q287" i="25"/>
  <c r="B91" i="2"/>
  <c r="S262" i="25"/>
  <c r="K262" i="25" s="1"/>
  <c r="V262" i="25" s="1"/>
  <c r="S189" i="25"/>
  <c r="K189" i="25" s="1"/>
  <c r="V189" i="25" s="1"/>
  <c r="S188" i="25"/>
  <c r="K188" i="25" s="1"/>
  <c r="AD188" i="25" s="1"/>
  <c r="AE188" i="25" s="1"/>
  <c r="Q262" i="25"/>
  <c r="Q299" i="25"/>
  <c r="R163" i="25"/>
  <c r="R169" i="25"/>
  <c r="S169" i="25"/>
  <c r="K169" i="25" s="1"/>
  <c r="V169" i="25" s="1"/>
  <c r="S273" i="25"/>
  <c r="K273" i="25" s="1"/>
  <c r="W273" i="25" s="1"/>
  <c r="Z273" i="25" s="1"/>
  <c r="AA273" i="25" s="1"/>
  <c r="AB273" i="25" s="1"/>
  <c r="S115" i="25"/>
  <c r="K115" i="25" s="1"/>
  <c r="AD115" i="25" s="1"/>
  <c r="AE115" i="25" s="1"/>
  <c r="S203" i="25"/>
  <c r="K203" i="25" s="1"/>
  <c r="V203" i="25" s="1"/>
  <c r="Q220" i="25"/>
  <c r="Q112" i="25"/>
  <c r="R188" i="25"/>
  <c r="R178" i="25"/>
  <c r="Q273" i="25"/>
  <c r="R220" i="25"/>
  <c r="Q173" i="25"/>
  <c r="S191" i="25"/>
  <c r="K191" i="25" s="1"/>
  <c r="AD191" i="25" s="1"/>
  <c r="AE191" i="25" s="1"/>
  <c r="S173" i="25"/>
  <c r="K173" i="25" s="1"/>
  <c r="AD173" i="25" s="1"/>
  <c r="AE173" i="25" s="1"/>
  <c r="Q314" i="25"/>
  <c r="Q138" i="25"/>
  <c r="Q189" i="25"/>
  <c r="S138" i="25"/>
  <c r="K138" i="25" s="1"/>
  <c r="V138" i="25" s="1"/>
  <c r="S155" i="25"/>
  <c r="K155" i="25" s="1"/>
  <c r="V155" i="25" s="1"/>
  <c r="S116" i="25"/>
  <c r="K116" i="25" s="1"/>
  <c r="AD116" i="25" s="1"/>
  <c r="AE116" i="25" s="1"/>
  <c r="S190" i="25"/>
  <c r="K190" i="25" s="1"/>
  <c r="AD190" i="25" s="1"/>
  <c r="AE190" i="25" s="1"/>
  <c r="S111" i="25"/>
  <c r="K111" i="25" s="1"/>
  <c r="V111" i="25" s="1"/>
  <c r="Q115" i="25"/>
  <c r="R155" i="25"/>
  <c r="Q294" i="25"/>
  <c r="R312" i="25"/>
  <c r="S250" i="25"/>
  <c r="K250" i="25" s="1"/>
  <c r="AD250" i="25" s="1"/>
  <c r="AE250" i="25" s="1"/>
  <c r="Q138" i="24"/>
  <c r="S235" i="25"/>
  <c r="K235" i="25" s="1"/>
  <c r="W235" i="25" s="1"/>
  <c r="Z235" i="25" s="1"/>
  <c r="AA235" i="25" s="1"/>
  <c r="Q245" i="25"/>
  <c r="Q235" i="25"/>
  <c r="Q283" i="25"/>
  <c r="Q184" i="24"/>
  <c r="S263" i="25"/>
  <c r="K263" i="25" s="1"/>
  <c r="W263" i="25" s="1"/>
  <c r="Z263" i="25" s="1"/>
  <c r="AA263" i="25" s="1"/>
  <c r="AB263" i="25" s="1"/>
  <c r="R283" i="25"/>
  <c r="R236" i="25"/>
  <c r="Q135" i="24"/>
  <c r="P118" i="24"/>
  <c r="Q198" i="24"/>
  <c r="Q180" i="24"/>
  <c r="Q187" i="24"/>
  <c r="S160" i="25"/>
  <c r="K160" i="25" s="1"/>
  <c r="W160" i="25" s="1"/>
  <c r="Z160" i="25" s="1"/>
  <c r="AA160" i="25" s="1"/>
  <c r="R131" i="25"/>
  <c r="Q157" i="24"/>
  <c r="Q194" i="24"/>
  <c r="S270" i="25"/>
  <c r="K270" i="25" s="1"/>
  <c r="V270" i="25" s="1"/>
  <c r="R253" i="25"/>
  <c r="R301" i="25"/>
  <c r="S232" i="25"/>
  <c r="K232" i="25" s="1"/>
  <c r="V232" i="25" s="1"/>
  <c r="S121" i="25"/>
  <c r="K121" i="25" s="1"/>
  <c r="V121" i="25" s="1"/>
  <c r="Q288" i="25"/>
  <c r="R234" i="25"/>
  <c r="Q270" i="25"/>
  <c r="Q280" i="25"/>
  <c r="R197" i="25"/>
  <c r="R244" i="25"/>
  <c r="S317" i="25"/>
  <c r="K317" i="25" s="1"/>
  <c r="AD317" i="25" s="1"/>
  <c r="AE317" i="25" s="1"/>
  <c r="Q317" i="25"/>
  <c r="S265" i="25"/>
  <c r="K265" i="25" s="1"/>
  <c r="V265" i="25" s="1"/>
  <c r="CD33" i="24"/>
  <c r="CD7" i="24"/>
  <c r="CE55" i="24"/>
  <c r="CD23" i="24"/>
  <c r="CD99" i="24"/>
  <c r="CE43" i="24"/>
  <c r="CD12" i="24"/>
  <c r="CE12" i="24"/>
  <c r="CD34" i="24"/>
  <c r="CD15" i="24"/>
  <c r="CE28" i="24"/>
  <c r="S120" i="25"/>
  <c r="K120" i="25" s="1"/>
  <c r="AD120" i="25" s="1"/>
  <c r="AE120" i="25" s="1"/>
  <c r="R288" i="25"/>
  <c r="Q277" i="25"/>
  <c r="R280" i="25"/>
  <c r="S279" i="25"/>
  <c r="K279" i="25" s="1"/>
  <c r="V279" i="25" s="1"/>
  <c r="Q265" i="25"/>
  <c r="R277" i="25"/>
  <c r="Q303" i="25"/>
  <c r="Q279" i="25"/>
  <c r="S303" i="25"/>
  <c r="K303" i="25" s="1"/>
  <c r="AD303" i="25" s="1"/>
  <c r="AE303" i="25" s="1"/>
  <c r="S234" i="25"/>
  <c r="K234" i="25" s="1"/>
  <c r="V234" i="25" s="1"/>
  <c r="Q232" i="25"/>
  <c r="Q226" i="25"/>
  <c r="R186" i="25"/>
  <c r="S301" i="25"/>
  <c r="K301" i="25" s="1"/>
  <c r="AD301" i="25" s="1"/>
  <c r="AE301" i="25" s="1"/>
  <c r="S244" i="25"/>
  <c r="K244" i="25" s="1"/>
  <c r="AD244" i="25" s="1"/>
  <c r="AE244" i="25" s="1"/>
  <c r="R226" i="25"/>
  <c r="S253" i="25"/>
  <c r="K253" i="25" s="1"/>
  <c r="AD253" i="25" s="1"/>
  <c r="AE253" i="25" s="1"/>
  <c r="R129" i="25"/>
  <c r="S251" i="25"/>
  <c r="K251" i="25" s="1"/>
  <c r="W251" i="25" s="1"/>
  <c r="Z251" i="25" s="1"/>
  <c r="AA251" i="25" s="1"/>
  <c r="R261" i="25"/>
  <c r="R318" i="25"/>
  <c r="R295" i="25"/>
  <c r="S278" i="25"/>
  <c r="K278" i="25" s="1"/>
  <c r="V278" i="25" s="1"/>
  <c r="S243" i="25"/>
  <c r="K243" i="25" s="1"/>
  <c r="W243" i="25" s="1"/>
  <c r="Z243" i="25" s="1"/>
  <c r="AA243" i="25" s="1"/>
  <c r="AB243" i="25" s="1"/>
  <c r="R241" i="25"/>
  <c r="Q219" i="25"/>
  <c r="R249" i="25"/>
  <c r="R227" i="25"/>
  <c r="R251" i="25"/>
  <c r="S152" i="25"/>
  <c r="K152" i="25" s="1"/>
  <c r="W152" i="25" s="1"/>
  <c r="Z152" i="25" s="1"/>
  <c r="AA152" i="25" s="1"/>
  <c r="S206" i="25"/>
  <c r="K206" i="25" s="1"/>
  <c r="V206" i="25" s="1"/>
  <c r="S140" i="25"/>
  <c r="K140" i="25" s="1"/>
  <c r="V140" i="25" s="1"/>
  <c r="R152" i="25"/>
  <c r="S204" i="25"/>
  <c r="K204" i="25" s="1"/>
  <c r="AD204" i="25" s="1"/>
  <c r="AE204" i="25" s="1"/>
  <c r="S159" i="25"/>
  <c r="K159" i="25" s="1"/>
  <c r="V159" i="25" s="1"/>
  <c r="S177" i="25"/>
  <c r="K177" i="25" s="1"/>
  <c r="V177" i="25" s="1"/>
  <c r="S153" i="25"/>
  <c r="K153" i="25" s="1"/>
  <c r="W153" i="25" s="1"/>
  <c r="Z153" i="25" s="1"/>
  <c r="AA153" i="25" s="1"/>
  <c r="AB153" i="25" s="1"/>
  <c r="S149" i="25"/>
  <c r="K149" i="25" s="1"/>
  <c r="V149" i="25" s="1"/>
  <c r="Q221" i="25"/>
  <c r="R196" i="25"/>
  <c r="S271" i="25"/>
  <c r="K271" i="25" s="1"/>
  <c r="V271" i="25" s="1"/>
  <c r="S117" i="25"/>
  <c r="K117" i="25" s="1"/>
  <c r="W117" i="25" s="1"/>
  <c r="Z117" i="25" s="1"/>
  <c r="AA117" i="25" s="1"/>
  <c r="Q275" i="25"/>
  <c r="Q309" i="25"/>
  <c r="Q236" i="25"/>
  <c r="Q122" i="25"/>
  <c r="R121" i="25"/>
  <c r="Q182" i="25"/>
  <c r="Q114" i="24"/>
  <c r="Q169" i="24"/>
  <c r="Q148" i="24"/>
  <c r="S129" i="25"/>
  <c r="K129" i="25" s="1"/>
  <c r="AD129" i="25" s="1"/>
  <c r="AE129" i="25" s="1"/>
  <c r="Q145" i="25"/>
  <c r="Q189" i="24"/>
  <c r="Q122" i="24"/>
  <c r="S186" i="25"/>
  <c r="K186" i="25" s="1"/>
  <c r="AD186" i="25" s="1"/>
  <c r="AE186" i="25" s="1"/>
  <c r="Q157" i="25"/>
  <c r="Q175" i="24"/>
  <c r="S151" i="25"/>
  <c r="K151" i="25" s="1"/>
  <c r="AD151" i="25" s="1"/>
  <c r="AE151" i="25" s="1"/>
  <c r="S157" i="25"/>
  <c r="K157" i="25" s="1"/>
  <c r="AD157" i="25" s="1"/>
  <c r="AE157" i="25" s="1"/>
  <c r="Q170" i="25"/>
  <c r="Q120" i="25"/>
  <c r="S182" i="25"/>
  <c r="K182" i="25" s="1"/>
  <c r="V182" i="25" s="1"/>
  <c r="S145" i="25"/>
  <c r="K145" i="25" s="1"/>
  <c r="AD145" i="25" s="1"/>
  <c r="AE145" i="25" s="1"/>
  <c r="Q200" i="24"/>
  <c r="Q171" i="24"/>
  <c r="Q204" i="24"/>
  <c r="S170" i="25"/>
  <c r="K170" i="25" s="1"/>
  <c r="AD170" i="25" s="1"/>
  <c r="AE170" i="25" s="1"/>
  <c r="S197" i="25"/>
  <c r="K197" i="25" s="1"/>
  <c r="AD197" i="25" s="1"/>
  <c r="AE197" i="25" s="1"/>
  <c r="Q151" i="25"/>
  <c r="Q159" i="24"/>
  <c r="Q170" i="24"/>
  <c r="S249" i="25"/>
  <c r="K249" i="25" s="1"/>
  <c r="V249" i="25" s="1"/>
  <c r="S260" i="25"/>
  <c r="K260" i="25" s="1"/>
  <c r="AD260" i="25" s="1"/>
  <c r="AE260" i="25" s="1"/>
  <c r="S306" i="25"/>
  <c r="K306" i="25" s="1"/>
  <c r="AD306" i="25" s="1"/>
  <c r="AE306" i="25" s="1"/>
  <c r="S286" i="25"/>
  <c r="K286" i="25" s="1"/>
  <c r="AD286" i="25" s="1"/>
  <c r="AE286" i="25" s="1"/>
  <c r="S256" i="25"/>
  <c r="K256" i="25" s="1"/>
  <c r="V256" i="25" s="1"/>
  <c r="Q306" i="25"/>
  <c r="R219" i="25"/>
  <c r="Q225" i="25"/>
  <c r="R143" i="25"/>
  <c r="Q140" i="25"/>
  <c r="Q136" i="24"/>
  <c r="CE95" i="24"/>
  <c r="Q295" i="25"/>
  <c r="Q241" i="25"/>
  <c r="Q227" i="25"/>
  <c r="Q318" i="25"/>
  <c r="R225" i="25"/>
  <c r="P197" i="24"/>
  <c r="Q190" i="24"/>
  <c r="S205" i="25"/>
  <c r="K205" i="25" s="1"/>
  <c r="V205" i="25" s="1"/>
  <c r="S229" i="25"/>
  <c r="K229" i="25" s="1"/>
  <c r="V229" i="25" s="1"/>
  <c r="R294" i="25"/>
  <c r="Q243" i="25"/>
  <c r="Q278" i="25"/>
  <c r="Q260" i="25"/>
  <c r="Q259" i="25"/>
  <c r="Q229" i="25"/>
  <c r="Q204" i="25"/>
  <c r="S261" i="25"/>
  <c r="K261" i="25" s="1"/>
  <c r="V261" i="25" s="1"/>
  <c r="S259" i="25"/>
  <c r="K259" i="25" s="1"/>
  <c r="V259" i="25" s="1"/>
  <c r="S180" i="25"/>
  <c r="K180" i="25" s="1"/>
  <c r="V180" i="25" s="1"/>
  <c r="Q256" i="25"/>
  <c r="Q159" i="25"/>
  <c r="P193" i="24"/>
  <c r="CE23" i="24"/>
  <c r="Q177" i="25"/>
  <c r="Q173" i="24"/>
  <c r="Q156" i="24"/>
  <c r="Q180" i="25"/>
  <c r="S143" i="25"/>
  <c r="K143" i="25" s="1"/>
  <c r="V143" i="25" s="1"/>
  <c r="R205" i="25"/>
  <c r="R153" i="25"/>
  <c r="R206" i="25"/>
  <c r="Q208" i="24"/>
  <c r="CE15" i="24"/>
  <c r="S137" i="25"/>
  <c r="K137" i="25" s="1"/>
  <c r="W137" i="25" s="1"/>
  <c r="Z137" i="25" s="1"/>
  <c r="AA137" i="25" s="1"/>
  <c r="AB137" i="25" s="1"/>
  <c r="S142" i="25"/>
  <c r="K142" i="25" s="1"/>
  <c r="AD142" i="25" s="1"/>
  <c r="AE142" i="25" s="1"/>
  <c r="S167" i="25"/>
  <c r="K167" i="25" s="1"/>
  <c r="AD167" i="25" s="1"/>
  <c r="AE167" i="25" s="1"/>
  <c r="S224" i="25"/>
  <c r="K224" i="25" s="1"/>
  <c r="AD224" i="25" s="1"/>
  <c r="AE224" i="25" s="1"/>
  <c r="R276" i="25"/>
  <c r="R247" i="25"/>
  <c r="R298" i="25"/>
  <c r="Q135" i="25"/>
  <c r="Q136" i="25"/>
  <c r="R195" i="25"/>
  <c r="Q192" i="24"/>
  <c r="Q116" i="24"/>
  <c r="R185" i="25"/>
  <c r="R113" i="25"/>
  <c r="Q141" i="24"/>
  <c r="Q117" i="24"/>
  <c r="S238" i="25"/>
  <c r="K238" i="25" s="1"/>
  <c r="V238" i="25" s="1"/>
  <c r="S247" i="25"/>
  <c r="K247" i="25" s="1"/>
  <c r="AD247" i="25" s="1"/>
  <c r="AE247" i="25" s="1"/>
  <c r="S187" i="25"/>
  <c r="K187" i="25" s="1"/>
  <c r="AD187" i="25" s="1"/>
  <c r="AE187" i="25" s="1"/>
  <c r="R293" i="25"/>
  <c r="R181" i="25"/>
  <c r="R142" i="25"/>
  <c r="Q201" i="24"/>
  <c r="S298" i="25"/>
  <c r="K298" i="25" s="1"/>
  <c r="V298" i="25" s="1"/>
  <c r="S193" i="25"/>
  <c r="K193" i="25" s="1"/>
  <c r="V193" i="25" s="1"/>
  <c r="S274" i="25"/>
  <c r="K274" i="25" s="1"/>
  <c r="V274" i="25" s="1"/>
  <c r="S113" i="25"/>
  <c r="K113" i="25" s="1"/>
  <c r="V113" i="25" s="1"/>
  <c r="R246" i="25"/>
  <c r="R233" i="25"/>
  <c r="R193" i="25"/>
  <c r="Q167" i="25"/>
  <c r="Q137" i="25"/>
  <c r="Q146" i="24"/>
  <c r="Q274" i="25"/>
  <c r="Q171" i="25"/>
  <c r="Q181" i="24"/>
  <c r="S195" i="25"/>
  <c r="K195" i="25" s="1"/>
  <c r="AD195" i="25" s="1"/>
  <c r="AE195" i="25" s="1"/>
  <c r="Q224" i="25"/>
  <c r="Q126" i="24"/>
  <c r="Q166" i="24"/>
  <c r="S181" i="25"/>
  <c r="K181" i="25" s="1"/>
  <c r="AD181" i="25" s="1"/>
  <c r="AE181" i="25" s="1"/>
  <c r="S135" i="25"/>
  <c r="K135" i="25" s="1"/>
  <c r="W135" i="25" s="1"/>
  <c r="Z135" i="25" s="1"/>
  <c r="AA135" i="25" s="1"/>
  <c r="AB135" i="25" s="1"/>
  <c r="S185" i="25"/>
  <c r="K185" i="25" s="1"/>
  <c r="V185" i="25" s="1"/>
  <c r="S202" i="25"/>
  <c r="K202" i="25" s="1"/>
  <c r="V202" i="25" s="1"/>
  <c r="S171" i="25"/>
  <c r="K171" i="25" s="1"/>
  <c r="AD171" i="25" s="1"/>
  <c r="AE171" i="25" s="1"/>
  <c r="Q199" i="25"/>
  <c r="Q202" i="25"/>
  <c r="R187" i="25"/>
  <c r="Q237" i="25"/>
  <c r="R222" i="25"/>
  <c r="S254" i="25"/>
  <c r="K254" i="25" s="1"/>
  <c r="AD254" i="25" s="1"/>
  <c r="AE254" i="25" s="1"/>
  <c r="S267" i="25"/>
  <c r="K267" i="25" s="1"/>
  <c r="W267" i="25" s="1"/>
  <c r="Z267" i="25" s="1"/>
  <c r="AA267" i="25" s="1"/>
  <c r="AB267" i="25" s="1"/>
  <c r="R164" i="25"/>
  <c r="R124" i="25"/>
  <c r="S297" i="25"/>
  <c r="K297" i="25" s="1"/>
  <c r="AD297" i="25" s="1"/>
  <c r="AE297" i="25" s="1"/>
  <c r="Q250" i="25"/>
  <c r="R245" i="25"/>
  <c r="R308" i="25"/>
  <c r="S313" i="25"/>
  <c r="K313" i="25" s="1"/>
  <c r="V313" i="25" s="1"/>
  <c r="S179" i="25"/>
  <c r="K179" i="25" s="1"/>
  <c r="AD179" i="25" s="1"/>
  <c r="AE179" i="25" s="1"/>
  <c r="S131" i="25"/>
  <c r="K131" i="25" s="1"/>
  <c r="V131" i="25" s="1"/>
  <c r="S257" i="25"/>
  <c r="K257" i="25" s="1"/>
  <c r="AD257" i="25" s="1"/>
  <c r="AE257" i="25" s="1"/>
  <c r="S312" i="25"/>
  <c r="K312" i="25" s="1"/>
  <c r="W312" i="25" s="1"/>
  <c r="Z312" i="25" s="1"/>
  <c r="AA312" i="25" s="1"/>
  <c r="AB312" i="25" s="1"/>
  <c r="S127" i="25"/>
  <c r="K127" i="25" s="1"/>
  <c r="W127" i="25" s="1"/>
  <c r="Z127" i="25" s="1"/>
  <c r="AA127" i="25" s="1"/>
  <c r="AB127" i="25" s="1"/>
  <c r="Q307" i="25"/>
  <c r="Q290" i="25"/>
  <c r="R179" i="25"/>
  <c r="Q141" i="25"/>
  <c r="R114" i="25"/>
  <c r="Q175" i="25"/>
  <c r="R161" i="25"/>
  <c r="Q165" i="25"/>
  <c r="Q228" i="25"/>
  <c r="Q126" i="25"/>
  <c r="S114" i="25"/>
  <c r="K114" i="25" s="1"/>
  <c r="AD114" i="25" s="1"/>
  <c r="AE114" i="25" s="1"/>
  <c r="S308" i="25"/>
  <c r="K308" i="25" s="1"/>
  <c r="V308" i="25" s="1"/>
  <c r="S165" i="25"/>
  <c r="K165" i="25" s="1"/>
  <c r="W165" i="25" s="1"/>
  <c r="Z165" i="25" s="1"/>
  <c r="AA165" i="25" s="1"/>
  <c r="AB165" i="25" s="1"/>
  <c r="S141" i="25"/>
  <c r="K141" i="25" s="1"/>
  <c r="W141" i="25" s="1"/>
  <c r="Z141" i="25" s="1"/>
  <c r="AA141" i="25" s="1"/>
  <c r="Q297" i="25"/>
  <c r="Q313" i="25"/>
  <c r="R223" i="25"/>
  <c r="Q257" i="25"/>
  <c r="Q160" i="25"/>
  <c r="R209" i="25"/>
  <c r="S194" i="25"/>
  <c r="K194" i="25" s="1"/>
  <c r="AD194" i="25" s="1"/>
  <c r="AE194" i="25" s="1"/>
  <c r="S176" i="25"/>
  <c r="K176" i="25" s="1"/>
  <c r="W176" i="25" s="1"/>
  <c r="Z176" i="25" s="1"/>
  <c r="AA176" i="25" s="1"/>
  <c r="S124" i="25"/>
  <c r="K124" i="25" s="1"/>
  <c r="AD124" i="25" s="1"/>
  <c r="AE124" i="25" s="1"/>
  <c r="Q282" i="25"/>
  <c r="R307" i="25"/>
  <c r="Q223" i="25"/>
  <c r="S198" i="25"/>
  <c r="K198" i="25" s="1"/>
  <c r="AD198" i="25" s="1"/>
  <c r="AE198" i="25" s="1"/>
  <c r="S161" i="25"/>
  <c r="K161" i="25" s="1"/>
  <c r="AD161" i="25" s="1"/>
  <c r="AE161" i="25" s="1"/>
  <c r="S304" i="25"/>
  <c r="K304" i="25" s="1"/>
  <c r="AD304" i="25" s="1"/>
  <c r="AE304" i="25" s="1"/>
  <c r="S209" i="25"/>
  <c r="K209" i="25" s="1"/>
  <c r="V209" i="25" s="1"/>
  <c r="Q263" i="25"/>
  <c r="Q296" i="25"/>
  <c r="Q176" i="25"/>
  <c r="S175" i="25"/>
  <c r="K175" i="25" s="1"/>
  <c r="AD175" i="25" s="1"/>
  <c r="AE175" i="25" s="1"/>
  <c r="S126" i="25"/>
  <c r="K126" i="25" s="1"/>
  <c r="V126" i="25" s="1"/>
  <c r="Q230" i="25"/>
  <c r="Q266" i="25"/>
  <c r="Q222" i="25"/>
  <c r="Q194" i="25"/>
  <c r="Q198" i="25"/>
  <c r="R127" i="25"/>
  <c r="Q115" i="24"/>
  <c r="S208" i="25"/>
  <c r="K208" i="25" s="1"/>
  <c r="AD208" i="25" s="1"/>
  <c r="AE208" i="25" s="1"/>
  <c r="S118" i="25"/>
  <c r="K118" i="25" s="1"/>
  <c r="AD118" i="25" s="1"/>
  <c r="AE118" i="25" s="1"/>
  <c r="R148" i="25"/>
  <c r="S146" i="25"/>
  <c r="K146" i="25" s="1"/>
  <c r="AD146" i="25" s="1"/>
  <c r="AE146" i="25" s="1"/>
  <c r="S158" i="25"/>
  <c r="K158" i="25" s="1"/>
  <c r="AD158" i="25" s="1"/>
  <c r="AE158" i="25" s="1"/>
  <c r="S192" i="25"/>
  <c r="K192" i="25" s="1"/>
  <c r="W192" i="25" s="1"/>
  <c r="Z192" i="25" s="1"/>
  <c r="AA192" i="25" s="1"/>
  <c r="S290" i="25"/>
  <c r="K290" i="25" s="1"/>
  <c r="V290" i="25" s="1"/>
  <c r="S174" i="25"/>
  <c r="K174" i="25" s="1"/>
  <c r="W174" i="25" s="1"/>
  <c r="Z174" i="25" s="1"/>
  <c r="AA174" i="25" s="1"/>
  <c r="S266" i="25"/>
  <c r="K266" i="25" s="1"/>
  <c r="W266" i="25" s="1"/>
  <c r="Z266" i="25" s="1"/>
  <c r="AA266" i="25" s="1"/>
  <c r="S164" i="25"/>
  <c r="K164" i="25" s="1"/>
  <c r="W164" i="25" s="1"/>
  <c r="Z164" i="25" s="1"/>
  <c r="AA164" i="25" s="1"/>
  <c r="AB164" i="25" s="1"/>
  <c r="S237" i="25"/>
  <c r="K237" i="25" s="1"/>
  <c r="V237" i="25" s="1"/>
  <c r="Q231" i="25"/>
  <c r="Q267" i="25"/>
  <c r="Q310" i="25"/>
  <c r="Q302" i="25"/>
  <c r="Q242" i="25"/>
  <c r="Q304" i="25"/>
  <c r="Q271" i="25"/>
  <c r="Q254" i="25"/>
  <c r="Q149" i="25"/>
  <c r="Q158" i="25"/>
  <c r="Q118" i="25"/>
  <c r="R146" i="25"/>
  <c r="S228" i="25"/>
  <c r="K228" i="25" s="1"/>
  <c r="AD228" i="25" s="1"/>
  <c r="AE228" i="25" s="1"/>
  <c r="S230" i="25"/>
  <c r="K230" i="25" s="1"/>
  <c r="V230" i="25" s="1"/>
  <c r="S296" i="25"/>
  <c r="K296" i="25" s="1"/>
  <c r="V296" i="25" s="1"/>
  <c r="S183" i="25"/>
  <c r="K183" i="25" s="1"/>
  <c r="V183" i="25" s="1"/>
  <c r="S242" i="25"/>
  <c r="K242" i="25" s="1"/>
  <c r="AD242" i="25" s="1"/>
  <c r="AE242" i="25" s="1"/>
  <c r="R231" i="25"/>
  <c r="R310" i="25"/>
  <c r="R302" i="25"/>
  <c r="R166" i="25"/>
  <c r="R183" i="25"/>
  <c r="S282" i="25"/>
  <c r="K282" i="25" s="1"/>
  <c r="V282" i="25" s="1"/>
  <c r="S221" i="25"/>
  <c r="K221" i="25" s="1"/>
  <c r="AD221" i="25" s="1"/>
  <c r="AE221" i="25" s="1"/>
  <c r="S264" i="25"/>
  <c r="K264" i="25" s="1"/>
  <c r="AD264" i="25" s="1"/>
  <c r="AE264" i="25" s="1"/>
  <c r="S132" i="25"/>
  <c r="K132" i="25" s="1"/>
  <c r="W132" i="25" s="1"/>
  <c r="Z132" i="25" s="1"/>
  <c r="AA132" i="25" s="1"/>
  <c r="AB132" i="25" s="1"/>
  <c r="R275" i="25"/>
  <c r="R309" i="25"/>
  <c r="S281" i="25"/>
  <c r="K281" i="25" s="1"/>
  <c r="AD281" i="25" s="1"/>
  <c r="AE281" i="25" s="1"/>
  <c r="Q281" i="25"/>
  <c r="S166" i="25"/>
  <c r="K166" i="25" s="1"/>
  <c r="AD166" i="25" s="1"/>
  <c r="AE166" i="25" s="1"/>
  <c r="Q264" i="25"/>
  <c r="R117" i="25"/>
  <c r="R162" i="25"/>
  <c r="S200" i="25"/>
  <c r="K200" i="25" s="1"/>
  <c r="V200" i="25" s="1"/>
  <c r="S130" i="25"/>
  <c r="K130" i="25" s="1"/>
  <c r="AD130" i="25" s="1"/>
  <c r="AE130" i="25" s="1"/>
  <c r="S196" i="25"/>
  <c r="K196" i="25" s="1"/>
  <c r="V196" i="25" s="1"/>
  <c r="S148" i="25"/>
  <c r="K148" i="25" s="1"/>
  <c r="V148" i="25" s="1"/>
  <c r="S122" i="25"/>
  <c r="K122" i="25" s="1"/>
  <c r="W122" i="25" s="1"/>
  <c r="Z122" i="25" s="1"/>
  <c r="AA122" i="25" s="1"/>
  <c r="R208" i="25"/>
  <c r="Q192" i="25"/>
  <c r="R200" i="25"/>
  <c r="R130" i="25"/>
  <c r="Q316" i="25"/>
  <c r="CE37" i="24"/>
  <c r="Q150" i="24"/>
  <c r="S316" i="25"/>
  <c r="K316" i="25" s="1"/>
  <c r="W316" i="25" s="1"/>
  <c r="Z316" i="25" s="1"/>
  <c r="AA316" i="25" s="1"/>
  <c r="AB316" i="25" s="1"/>
  <c r="CE8" i="24"/>
  <c r="S311" i="25"/>
  <c r="K311" i="25" s="1"/>
  <c r="AD311" i="25" s="1"/>
  <c r="AE311" i="25" s="1"/>
  <c r="S292" i="25"/>
  <c r="K292" i="25" s="1"/>
  <c r="AD292" i="25" s="1"/>
  <c r="AE292" i="25" s="1"/>
  <c r="Q292" i="25"/>
  <c r="Q268" i="25"/>
  <c r="Q305" i="25"/>
  <c r="Q291" i="25"/>
  <c r="Q269" i="25"/>
  <c r="Q289" i="25"/>
  <c r="Q315" i="25"/>
  <c r="S255" i="25"/>
  <c r="K255" i="25" s="1"/>
  <c r="AD255" i="25" s="1"/>
  <c r="AE255" i="25" s="1"/>
  <c r="R268" i="25"/>
  <c r="R305" i="25"/>
  <c r="R291" i="25"/>
  <c r="R269" i="25"/>
  <c r="R289" i="25"/>
  <c r="R315" i="25"/>
  <c r="S272" i="25"/>
  <c r="K272" i="25" s="1"/>
  <c r="AD272" i="25" s="1"/>
  <c r="AE272" i="25" s="1"/>
  <c r="Q240" i="25"/>
  <c r="Q255" i="25"/>
  <c r="Q239" i="25"/>
  <c r="Q252" i="25"/>
  <c r="Q272" i="25"/>
  <c r="Q300" i="25"/>
  <c r="R240" i="25"/>
  <c r="R239" i="25"/>
  <c r="R252" i="25"/>
  <c r="R300" i="25"/>
  <c r="S248" i="25"/>
  <c r="K248" i="25" s="1"/>
  <c r="V248" i="25" s="1"/>
  <c r="Q248" i="25"/>
  <c r="Q311" i="25"/>
  <c r="Q196" i="24"/>
  <c r="Q207" i="24"/>
  <c r="Q143" i="24"/>
  <c r="Q205" i="24"/>
  <c r="Q149" i="24"/>
  <c r="Q182" i="24"/>
  <c r="Q162" i="24"/>
  <c r="Q203" i="24"/>
  <c r="Q177" i="24"/>
  <c r="Q128" i="24"/>
  <c r="Q165" i="24"/>
  <c r="Q186" i="24"/>
  <c r="Q131" i="24"/>
  <c r="Q142" i="24"/>
  <c r="Q154" i="24"/>
  <c r="S207" i="25"/>
  <c r="K207" i="25" s="1"/>
  <c r="V207" i="25" s="1"/>
  <c r="P129" i="24"/>
  <c r="S168" i="25"/>
  <c r="K168" i="25" s="1"/>
  <c r="W168" i="25" s="1"/>
  <c r="Z168" i="25" s="1"/>
  <c r="AA168" i="25" s="1"/>
  <c r="AB168" i="25" s="1"/>
  <c r="R144" i="25"/>
  <c r="P168" i="24"/>
  <c r="P111" i="24"/>
  <c r="S123" i="25"/>
  <c r="K123" i="25" s="1"/>
  <c r="V123" i="25" s="1"/>
  <c r="Q209" i="24"/>
  <c r="P113" i="24"/>
  <c r="Q174" i="24"/>
  <c r="P120" i="24"/>
  <c r="Q199" i="24"/>
  <c r="Q161" i="24"/>
  <c r="S139" i="25"/>
  <c r="K139" i="25" s="1"/>
  <c r="V139" i="25" s="1"/>
  <c r="S133" i="25"/>
  <c r="K133" i="25" s="1"/>
  <c r="V133" i="25" s="1"/>
  <c r="R168" i="25"/>
  <c r="S128" i="25"/>
  <c r="K128" i="25" s="1"/>
  <c r="W128" i="25" s="1"/>
  <c r="Z128" i="25" s="1"/>
  <c r="AA128" i="25" s="1"/>
  <c r="R125" i="25"/>
  <c r="R207" i="25"/>
  <c r="R210" i="25"/>
  <c r="S144" i="25"/>
  <c r="K144" i="25" s="1"/>
  <c r="W144" i="25" s="1"/>
  <c r="Z144" i="25" s="1"/>
  <c r="AA144" i="25" s="1"/>
  <c r="S125" i="25"/>
  <c r="K125" i="25" s="1"/>
  <c r="V125" i="25" s="1"/>
  <c r="Q123" i="25"/>
  <c r="Q133" i="25"/>
  <c r="S210" i="25"/>
  <c r="K210" i="25" s="1"/>
  <c r="V210" i="25" s="1"/>
  <c r="Q139" i="25"/>
  <c r="R128" i="25"/>
  <c r="S147" i="25"/>
  <c r="K147" i="25" s="1"/>
  <c r="AD147" i="25" s="1"/>
  <c r="AE147" i="25" s="1"/>
  <c r="S162" i="25"/>
  <c r="K162" i="25" s="1"/>
  <c r="AD162" i="25" s="1"/>
  <c r="AE162" i="25" s="1"/>
  <c r="S172" i="25"/>
  <c r="K172" i="25" s="1"/>
  <c r="V172" i="25" s="1"/>
  <c r="S201" i="25"/>
  <c r="K201" i="25" s="1"/>
  <c r="V201" i="25" s="1"/>
  <c r="Q172" i="24"/>
  <c r="Q183" i="24"/>
  <c r="Q125" i="24"/>
  <c r="Q155" i="24"/>
  <c r="S150" i="25"/>
  <c r="K150" i="25" s="1"/>
  <c r="AD150" i="25" s="1"/>
  <c r="AE150" i="25" s="1"/>
  <c r="S154" i="25"/>
  <c r="K154" i="25" s="1"/>
  <c r="AD154" i="25" s="1"/>
  <c r="AE154" i="25" s="1"/>
  <c r="R184" i="25"/>
  <c r="R174" i="25"/>
  <c r="Q156" i="25"/>
  <c r="Q172" i="25"/>
  <c r="Q178" i="24"/>
  <c r="R154" i="25"/>
  <c r="Q147" i="25"/>
  <c r="R132" i="25"/>
  <c r="R150" i="25"/>
  <c r="Q176" i="24"/>
  <c r="Q201" i="25"/>
  <c r="Q127" i="24"/>
  <c r="S134" i="25"/>
  <c r="K134" i="25" s="1"/>
  <c r="AD134" i="25" s="1"/>
  <c r="AE134" i="25" s="1"/>
  <c r="S184" i="25"/>
  <c r="K184" i="25" s="1"/>
  <c r="W184" i="25" s="1"/>
  <c r="Z184" i="25" s="1"/>
  <c r="AA184" i="25" s="1"/>
  <c r="AB184" i="25" s="1"/>
  <c r="Q133" i="24"/>
  <c r="Q132" i="24"/>
  <c r="Q134" i="24"/>
  <c r="S156" i="25"/>
  <c r="K156" i="25" s="1"/>
  <c r="W156" i="25" s="1"/>
  <c r="Z156" i="25" s="1"/>
  <c r="AA156" i="25" s="1"/>
  <c r="AB156" i="25" s="1"/>
  <c r="R134" i="25"/>
  <c r="CD55" i="24"/>
  <c r="CD11" i="24"/>
  <c r="CD28" i="24"/>
  <c r="CD24" i="24"/>
  <c r="CE5" i="24"/>
  <c r="CE16" i="24"/>
  <c r="CE79" i="24"/>
  <c r="CE36" i="24"/>
  <c r="CE40" i="24"/>
  <c r="CE44" i="24"/>
  <c r="CD16" i="24"/>
  <c r="CD27" i="24"/>
  <c r="CD44" i="24"/>
  <c r="CD40" i="24"/>
  <c r="CD5" i="24"/>
  <c r="CE32" i="24"/>
  <c r="CE24" i="24"/>
  <c r="CE10" i="24"/>
  <c r="CE76" i="24"/>
  <c r="CD32" i="24"/>
  <c r="CD43" i="24"/>
  <c r="CD76" i="24"/>
  <c r="CD56" i="24"/>
  <c r="CE14" i="24"/>
  <c r="CE64" i="24"/>
  <c r="CE56" i="24"/>
  <c r="CE100" i="24"/>
  <c r="CE26" i="24"/>
  <c r="CE9" i="24"/>
  <c r="CD64" i="24"/>
  <c r="CD37" i="24"/>
  <c r="CD10" i="24"/>
  <c r="CD9" i="24"/>
  <c r="CE30" i="24"/>
  <c r="CE13" i="24"/>
  <c r="CE34" i="24"/>
  <c r="CE17" i="24"/>
  <c r="CE58" i="24"/>
  <c r="CE49" i="24"/>
  <c r="CD14" i="24"/>
  <c r="CD13" i="24"/>
  <c r="CD26" i="24"/>
  <c r="CD22" i="24"/>
  <c r="CE94" i="24"/>
  <c r="CE57" i="24"/>
  <c r="CE11" i="24"/>
  <c r="CE33" i="24"/>
  <c r="CE19" i="24"/>
  <c r="CD30" i="24"/>
  <c r="CD57" i="24"/>
  <c r="CD100" i="24"/>
  <c r="CD19" i="24"/>
  <c r="CE7" i="24"/>
  <c r="CE6" i="24"/>
  <c r="CE27" i="24"/>
  <c r="CE22" i="24"/>
  <c r="AH272" i="25"/>
  <c r="AH31" i="25"/>
  <c r="AH304" i="25"/>
  <c r="AH207" i="25"/>
  <c r="AH247" i="25"/>
  <c r="AH189" i="25"/>
  <c r="AH126" i="25"/>
  <c r="AH286" i="25"/>
  <c r="AH158" i="25"/>
  <c r="AH292" i="25"/>
  <c r="AH282" i="25"/>
  <c r="AH177" i="25"/>
  <c r="AH77" i="25"/>
  <c r="AH234" i="25"/>
  <c r="AH156" i="25"/>
  <c r="AH43" i="25"/>
  <c r="AH313" i="25"/>
  <c r="AH300" i="25"/>
  <c r="AH195" i="25"/>
  <c r="AH166" i="25"/>
  <c r="AH153" i="25"/>
  <c r="AH61" i="25"/>
  <c r="AH82" i="25"/>
  <c r="AH41" i="25"/>
  <c r="AH314" i="25"/>
  <c r="AH251" i="25"/>
  <c r="AH202" i="25"/>
  <c r="AH159" i="25"/>
  <c r="AH254" i="25"/>
  <c r="AH130" i="25"/>
  <c r="AH176" i="25"/>
  <c r="AH103" i="25"/>
  <c r="AH228" i="25"/>
  <c r="AH79" i="25"/>
  <c r="AH80" i="25"/>
  <c r="AH35" i="25"/>
  <c r="AH290" i="25"/>
  <c r="AH274" i="25"/>
  <c r="AH260" i="25"/>
  <c r="AH261" i="25"/>
  <c r="AH149" i="25"/>
  <c r="AH94" i="25"/>
  <c r="AH117" i="25"/>
  <c r="AH90" i="25"/>
  <c r="AH317" i="25"/>
  <c r="AH199" i="25"/>
  <c r="AH170" i="25"/>
  <c r="AH196" i="25"/>
  <c r="AH132" i="25"/>
  <c r="AH65" i="25"/>
  <c r="AH72" i="25"/>
  <c r="AH30" i="25"/>
  <c r="AH157" i="25"/>
  <c r="AH111" i="25"/>
  <c r="AH17" i="25"/>
  <c r="AH121" i="25"/>
  <c r="AH268" i="25"/>
  <c r="AH32" i="25"/>
  <c r="AH289" i="25"/>
  <c r="AH178" i="25"/>
  <c r="AH136" i="25"/>
  <c r="AH38" i="25"/>
  <c r="AH311" i="25"/>
  <c r="AH285" i="25"/>
  <c r="AH39" i="25"/>
  <c r="AH86" i="25"/>
  <c r="AH155" i="25"/>
  <c r="AH239" i="25"/>
  <c r="AH147" i="25"/>
  <c r="AH249" i="25"/>
  <c r="AH193" i="25"/>
  <c r="AH129" i="25"/>
  <c r="AH100" i="25"/>
  <c r="AH221" i="25"/>
  <c r="AH67" i="25"/>
  <c r="AH68" i="25"/>
  <c r="AH26" i="25"/>
  <c r="AH278" i="25"/>
  <c r="AH264" i="25"/>
  <c r="AH270" i="25"/>
  <c r="AH227" i="25"/>
  <c r="AH152" i="25"/>
  <c r="AH91" i="25"/>
  <c r="AH27" i="25"/>
  <c r="AH10" i="25"/>
  <c r="AH28" i="25"/>
  <c r="AH303" i="25"/>
  <c r="AH208" i="25"/>
  <c r="AH230" i="25"/>
  <c r="AH139" i="25"/>
  <c r="AH174" i="25"/>
  <c r="AH24" i="25"/>
  <c r="AH243" i="25"/>
  <c r="AH151" i="25"/>
  <c r="AH250" i="25"/>
  <c r="AH172" i="25"/>
  <c r="AH101" i="25"/>
  <c r="AH224" i="25"/>
  <c r="AH71" i="25"/>
  <c r="AH20" i="25"/>
  <c r="AH201" i="25"/>
  <c r="AH237" i="25"/>
  <c r="AH76" i="25"/>
  <c r="AH231" i="25"/>
  <c r="AH92" i="25"/>
  <c r="AH11" i="25"/>
  <c r="AH112" i="25"/>
  <c r="AH69" i="25"/>
  <c r="AH310" i="25"/>
  <c r="AH276" i="25"/>
  <c r="AH93" i="25"/>
  <c r="AH45" i="25"/>
  <c r="AH316" i="25"/>
  <c r="AH291" i="25"/>
  <c r="AH252" i="25"/>
  <c r="AH198" i="25"/>
  <c r="AH169" i="25"/>
  <c r="AH275" i="25"/>
  <c r="AH15" i="25"/>
  <c r="AH7" i="25"/>
  <c r="AH16" i="25"/>
  <c r="AH309" i="25"/>
  <c r="AH284" i="25"/>
  <c r="AH191" i="25"/>
  <c r="AH162" i="25"/>
  <c r="AH192" i="25"/>
  <c r="AH128" i="25"/>
  <c r="AH57" i="25"/>
  <c r="AH78" i="25"/>
  <c r="AH21" i="25"/>
  <c r="AH181" i="25"/>
  <c r="AH127" i="25"/>
  <c r="AH297" i="25"/>
  <c r="AH49" i="25"/>
  <c r="AH18" i="25"/>
  <c r="AH295" i="25"/>
  <c r="AH256" i="25"/>
  <c r="AH219" i="25"/>
  <c r="AH148" i="25"/>
  <c r="AH279" i="25"/>
  <c r="AH19" i="25"/>
  <c r="AH8" i="25"/>
  <c r="AH70" i="25"/>
  <c r="AH50" i="25"/>
  <c r="AH197" i="25"/>
  <c r="AH225" i="25"/>
  <c r="AH23" i="25"/>
  <c r="AH58" i="25"/>
  <c r="AH150" i="25"/>
  <c r="AH145" i="25"/>
  <c r="AH29" i="25"/>
  <c r="AH66" i="25"/>
  <c r="AH235" i="25"/>
  <c r="AH168" i="25"/>
  <c r="AH6" i="25"/>
  <c r="AH64" i="25"/>
  <c r="AH209" i="25"/>
  <c r="AH54" i="25"/>
  <c r="AH183" i="25"/>
  <c r="AH266" i="25"/>
  <c r="AH123" i="25"/>
  <c r="AH56" i="25"/>
  <c r="AH298" i="25"/>
  <c r="AH277" i="25"/>
  <c r="AH131" i="25"/>
  <c r="AH241" i="25"/>
  <c r="AH185" i="25"/>
  <c r="AH96" i="25"/>
  <c r="AH118" i="25"/>
  <c r="AH51" i="25"/>
  <c r="AH52" i="25"/>
  <c r="AH312" i="25"/>
  <c r="AH287" i="25"/>
  <c r="AH248" i="25"/>
  <c r="AH194" i="25"/>
  <c r="AH144" i="25"/>
  <c r="AH271" i="25"/>
  <c r="AH12" i="25"/>
  <c r="AH307" i="25"/>
  <c r="AH263" i="25"/>
  <c r="AH280" i="25"/>
  <c r="AH142" i="25"/>
  <c r="AH233" i="25"/>
  <c r="AH59" i="25"/>
  <c r="AH53" i="25"/>
  <c r="AH281" i="25"/>
  <c r="AH135" i="25"/>
  <c r="AH242" i="25"/>
  <c r="AH164" i="25"/>
  <c r="AH97" i="25"/>
  <c r="AH122" i="25"/>
  <c r="AH55" i="25"/>
  <c r="AH120" i="25"/>
  <c r="AH89" i="25"/>
  <c r="AH187" i="25"/>
  <c r="AH190" i="25"/>
  <c r="AH75" i="25"/>
  <c r="AH44" i="25"/>
  <c r="P121" i="24"/>
  <c r="AH288" i="25"/>
  <c r="AH222" i="25"/>
  <c r="AH265" i="25"/>
  <c r="AH119" i="25"/>
  <c r="AH99" i="25"/>
  <c r="AH63" i="25"/>
  <c r="AH22" i="25"/>
  <c r="AH299" i="25"/>
  <c r="AH244" i="25"/>
  <c r="AH204" i="25"/>
  <c r="AH188" i="25"/>
  <c r="AH33" i="25"/>
  <c r="AH124" i="25"/>
  <c r="AH305" i="25"/>
  <c r="AH205" i="25"/>
  <c r="AH182" i="25"/>
  <c r="AH116" i="25"/>
  <c r="AH267" i="25"/>
  <c r="AH301" i="25"/>
  <c r="AH210" i="25"/>
  <c r="AH262" i="25"/>
  <c r="AH146" i="25"/>
  <c r="AH184" i="25"/>
  <c r="AH115" i="25"/>
  <c r="AH293" i="25"/>
  <c r="AH165" i="25"/>
  <c r="AH102" i="25"/>
  <c r="AH306" i="25"/>
  <c r="AH240" i="25"/>
  <c r="AH186" i="25"/>
  <c r="AH88" i="25"/>
  <c r="AH37" i="25"/>
  <c r="AH173" i="25"/>
  <c r="AH73" i="25"/>
  <c r="AH34" i="25"/>
  <c r="AH200" i="25"/>
  <c r="AH179" i="25"/>
  <c r="AH46" i="25"/>
  <c r="AH143" i="25"/>
  <c r="AH246" i="25"/>
  <c r="AH220" i="25"/>
  <c r="AH245" i="25"/>
  <c r="AH302" i="25"/>
  <c r="AH296" i="25"/>
  <c r="AH226" i="25"/>
  <c r="AH154" i="25"/>
  <c r="AH14" i="25"/>
  <c r="AH269" i="25"/>
  <c r="AH141" i="25"/>
  <c r="AH98" i="25"/>
  <c r="AH236" i="25"/>
  <c r="AH161" i="25"/>
  <c r="AH85" i="25"/>
  <c r="AH81" i="25"/>
  <c r="AH175" i="25"/>
  <c r="AH125" i="25"/>
  <c r="AH25" i="25"/>
  <c r="AH62" i="25"/>
  <c r="AH42" i="25"/>
  <c r="AH9" i="25"/>
  <c r="AH140" i="25"/>
  <c r="AH315" i="25"/>
  <c r="AH255" i="25"/>
  <c r="AH163" i="25"/>
  <c r="AH257" i="25"/>
  <c r="AH134" i="25"/>
  <c r="AH137" i="25"/>
  <c r="AH104" i="25"/>
  <c r="AH229" i="25"/>
  <c r="AH83" i="25"/>
  <c r="AH84" i="25"/>
  <c r="AH36" i="25"/>
  <c r="AH294" i="25"/>
  <c r="AH273" i="25"/>
  <c r="AH238" i="25"/>
  <c r="AH160" i="25"/>
  <c r="AH95" i="25"/>
  <c r="AH114" i="25"/>
  <c r="AH47" i="25"/>
  <c r="AH48" i="25"/>
  <c r="AH308" i="25"/>
  <c r="AH283" i="25"/>
  <c r="AH203" i="25"/>
  <c r="AH171" i="25"/>
  <c r="AH223" i="25"/>
  <c r="AH60" i="25"/>
  <c r="AH259" i="25"/>
  <c r="AH206" i="25"/>
  <c r="AH167" i="25"/>
  <c r="AH258" i="25"/>
  <c r="AH138" i="25"/>
  <c r="AH180" i="25"/>
  <c r="AH105" i="25"/>
  <c r="AH232" i="25"/>
  <c r="AH87" i="25"/>
  <c r="AH113" i="25"/>
  <c r="AH13" i="25"/>
  <c r="AH40" i="25"/>
  <c r="AH318" i="25"/>
  <c r="AH253" i="25"/>
  <c r="AH133" i="25"/>
  <c r="AH74" i="25"/>
  <c r="P153" i="24"/>
  <c r="Q123" i="24"/>
  <c r="Q158" i="24"/>
  <c r="Q152" i="24"/>
  <c r="P140" i="24"/>
  <c r="P144" i="24"/>
  <c r="Q137" i="24"/>
  <c r="P147" i="24"/>
  <c r="Q179" i="24"/>
  <c r="AP105" i="24"/>
  <c r="AP104" i="24"/>
  <c r="Q163" i="24"/>
  <c r="Q145" i="24"/>
  <c r="B39" i="2"/>
  <c r="Q206" i="24"/>
  <c r="Q112" i="24"/>
  <c r="V210" i="24"/>
  <c r="L19" i="1"/>
  <c r="BC7" i="19"/>
  <c r="B38" i="2"/>
  <c r="D38" i="2" s="1"/>
  <c r="CF125" i="25"/>
  <c r="CF123" i="25"/>
  <c r="CF132" i="25"/>
  <c r="CF112" i="25"/>
  <c r="CF114" i="25"/>
  <c r="CF117" i="25"/>
  <c r="CF122" i="25"/>
  <c r="CF128" i="25"/>
  <c r="CF116" i="25"/>
  <c r="CF115" i="25"/>
  <c r="CF111" i="25"/>
  <c r="CF118" i="25"/>
  <c r="CF113" i="25"/>
  <c r="BY195" i="24"/>
  <c r="BZ200" i="25"/>
  <c r="BZ188" i="25"/>
  <c r="BZ124" i="25"/>
  <c r="BZ160" i="25"/>
  <c r="BZ198" i="25"/>
  <c r="BZ203" i="25"/>
  <c r="BZ171" i="25"/>
  <c r="BZ155" i="25"/>
  <c r="BZ123" i="25"/>
  <c r="BZ150" i="25"/>
  <c r="BZ134" i="25"/>
  <c r="BZ209" i="25"/>
  <c r="BZ177" i="25"/>
  <c r="BZ145" i="25"/>
  <c r="BZ113" i="25"/>
  <c r="BY171" i="24"/>
  <c r="BY185" i="24"/>
  <c r="BY156" i="24"/>
  <c r="BZ180" i="25"/>
  <c r="BZ194" i="25"/>
  <c r="BZ144" i="25"/>
  <c r="BZ190" i="25"/>
  <c r="BZ136" i="25"/>
  <c r="BZ199" i="25"/>
  <c r="BZ183" i="25"/>
  <c r="BZ167" i="25"/>
  <c r="BZ135" i="25"/>
  <c r="BZ119" i="25"/>
  <c r="BZ178" i="25"/>
  <c r="BZ162" i="25"/>
  <c r="BZ130" i="25"/>
  <c r="BZ114" i="25"/>
  <c r="BZ189" i="25"/>
  <c r="BZ157" i="25"/>
  <c r="BZ141" i="25"/>
  <c r="BZ172" i="25"/>
  <c r="BZ116" i="25"/>
  <c r="BZ151" i="25"/>
  <c r="BZ146" i="25"/>
  <c r="BZ205" i="25"/>
  <c r="BZ173" i="25"/>
  <c r="BZ125" i="25"/>
  <c r="BZ132" i="25"/>
  <c r="BZ202" i="25"/>
  <c r="BZ140" i="25"/>
  <c r="BZ152" i="25"/>
  <c r="BZ187" i="25"/>
  <c r="BZ139" i="25"/>
  <c r="BZ166" i="25"/>
  <c r="BZ118" i="25"/>
  <c r="BZ193" i="25"/>
  <c r="BZ161" i="25"/>
  <c r="BZ129" i="25"/>
  <c r="BZ204" i="25"/>
  <c r="BZ164" i="25"/>
  <c r="BZ192" i="25"/>
  <c r="BZ186" i="25"/>
  <c r="BZ128" i="25"/>
  <c r="BZ208" i="25"/>
  <c r="BZ182" i="25"/>
  <c r="BZ120" i="25"/>
  <c r="BZ195" i="25"/>
  <c r="BZ179" i="25"/>
  <c r="BZ163" i="25"/>
  <c r="BZ147" i="25"/>
  <c r="BZ131" i="25"/>
  <c r="BZ115" i="25"/>
  <c r="BZ174" i="25"/>
  <c r="BZ158" i="25"/>
  <c r="BZ142" i="25"/>
  <c r="BZ126" i="25"/>
  <c r="BZ201" i="25"/>
  <c r="BZ185" i="25"/>
  <c r="BZ169" i="25"/>
  <c r="BZ153" i="25"/>
  <c r="BZ137" i="25"/>
  <c r="BZ121" i="25"/>
  <c r="Q210" i="24"/>
  <c r="BZ196" i="25"/>
  <c r="BZ148" i="25"/>
  <c r="BZ156" i="25"/>
  <c r="BZ210" i="25"/>
  <c r="BZ176" i="25"/>
  <c r="BZ112" i="25"/>
  <c r="BZ184" i="25"/>
  <c r="BZ206" i="25"/>
  <c r="BZ168" i="25"/>
  <c r="BZ207" i="25"/>
  <c r="BZ191" i="25"/>
  <c r="BZ175" i="25"/>
  <c r="BZ159" i="25"/>
  <c r="BZ143" i="25"/>
  <c r="BZ127" i="25"/>
  <c r="BZ111" i="25"/>
  <c r="BZ170" i="25"/>
  <c r="BZ154" i="25"/>
  <c r="BZ138" i="25"/>
  <c r="BZ122" i="25"/>
  <c r="BZ197" i="25"/>
  <c r="BZ181" i="25"/>
  <c r="BZ165" i="25"/>
  <c r="BZ149" i="25"/>
  <c r="BZ133" i="25"/>
  <c r="BZ117" i="25"/>
  <c r="BZ110" i="25"/>
  <c r="BY130" i="24"/>
  <c r="BY133" i="24"/>
  <c r="BY139" i="24"/>
  <c r="BY158" i="24"/>
  <c r="BY190" i="24"/>
  <c r="BY174" i="24"/>
  <c r="BY151" i="24"/>
  <c r="BY166" i="24"/>
  <c r="BY117" i="24"/>
  <c r="BY114" i="24"/>
  <c r="BY147" i="24"/>
  <c r="BY146" i="24"/>
  <c r="BY120" i="24"/>
  <c r="BY153" i="24"/>
  <c r="BY144" i="24"/>
  <c r="BY168" i="24"/>
  <c r="BY209" i="24"/>
  <c r="BY113" i="24"/>
  <c r="BY204" i="24"/>
  <c r="BY193" i="24"/>
  <c r="BY143" i="24"/>
  <c r="BY132" i="24"/>
  <c r="BY189" i="24"/>
  <c r="BY176" i="24"/>
  <c r="BY198" i="24"/>
  <c r="BY191" i="24"/>
  <c r="J254" i="24"/>
  <c r="X254" i="24" s="1"/>
  <c r="AA254" i="24" s="1"/>
  <c r="AB254" i="24" s="1"/>
  <c r="AC254" i="24" s="1"/>
  <c r="J190" i="24"/>
  <c r="AI190" i="24" s="1"/>
  <c r="O255" i="24"/>
  <c r="J306" i="24"/>
  <c r="X306" i="24" s="1"/>
  <c r="AA306" i="24" s="1"/>
  <c r="AB306" i="24" s="1"/>
  <c r="AC306" i="24" s="1"/>
  <c r="O224" i="24"/>
  <c r="J278" i="24"/>
  <c r="AE278" i="24" s="1"/>
  <c r="AF278" i="24" s="1"/>
  <c r="O244" i="24"/>
  <c r="O286" i="24"/>
  <c r="O252" i="24"/>
  <c r="O219" i="24"/>
  <c r="O280" i="24"/>
  <c r="J130" i="24"/>
  <c r="AI130" i="24" s="1"/>
  <c r="J283" i="24"/>
  <c r="AE283" i="24" s="1"/>
  <c r="AF283" i="24" s="1"/>
  <c r="J281" i="24"/>
  <c r="AE281" i="24" s="1"/>
  <c r="AF281" i="24" s="1"/>
  <c r="O308" i="24"/>
  <c r="J261" i="24"/>
  <c r="W261" i="24" s="1"/>
  <c r="Y261" i="24" s="1"/>
  <c r="O237" i="24"/>
  <c r="J171" i="24"/>
  <c r="AI171" i="24" s="1"/>
  <c r="J193" i="24"/>
  <c r="AI193" i="24" s="1"/>
  <c r="J147" i="24"/>
  <c r="AI147" i="24" s="1"/>
  <c r="J158" i="24"/>
  <c r="AI158" i="24" s="1"/>
  <c r="O220" i="24"/>
  <c r="O200" i="24"/>
  <c r="BY200" i="24" s="1"/>
  <c r="J266" i="24"/>
  <c r="AI266" i="24" s="1"/>
  <c r="J191" i="24"/>
  <c r="AI191" i="24" s="1"/>
  <c r="O173" i="24"/>
  <c r="BY173" i="24" s="1"/>
  <c r="O310" i="24"/>
  <c r="O288" i="24"/>
  <c r="J312" i="24"/>
  <c r="X312" i="24" s="1"/>
  <c r="AA312" i="24" s="1"/>
  <c r="AB312" i="24" s="1"/>
  <c r="AC312" i="24" s="1"/>
  <c r="J284" i="24"/>
  <c r="AE284" i="24" s="1"/>
  <c r="AF284" i="24" s="1"/>
  <c r="J249" i="24"/>
  <c r="AE249" i="24" s="1"/>
  <c r="AF249" i="24" s="1"/>
  <c r="O289" i="24"/>
  <c r="O248" i="24"/>
  <c r="J132" i="24"/>
  <c r="AI132" i="24" s="1"/>
  <c r="O303" i="24"/>
  <c r="J313" i="24"/>
  <c r="W313" i="24" s="1"/>
  <c r="J291" i="24"/>
  <c r="AI291" i="24" s="1"/>
  <c r="J227" i="24"/>
  <c r="AI227" i="24" s="1"/>
  <c r="O275" i="24"/>
  <c r="O222" i="24"/>
  <c r="O225" i="24"/>
  <c r="O246" i="24"/>
  <c r="O197" i="24"/>
  <c r="BY197" i="24" s="1"/>
  <c r="O202" i="24"/>
  <c r="BY202" i="24" s="1"/>
  <c r="J290" i="24"/>
  <c r="W290" i="24" s="1"/>
  <c r="Y290" i="24" s="1"/>
  <c r="O276" i="24"/>
  <c r="J245" i="24"/>
  <c r="W245" i="24" s="1"/>
  <c r="O228" i="24"/>
  <c r="J258" i="24"/>
  <c r="W258" i="24" s="1"/>
  <c r="Y258" i="24" s="1"/>
  <c r="O241" i="24"/>
  <c r="J300" i="24"/>
  <c r="AI300" i="24" s="1"/>
  <c r="J143" i="24"/>
  <c r="AI143" i="24" s="1"/>
  <c r="J185" i="24"/>
  <c r="AI185" i="24" s="1"/>
  <c r="O236" i="24"/>
  <c r="J176" i="24"/>
  <c r="AI176" i="24" s="1"/>
  <c r="J139" i="24"/>
  <c r="AI139" i="24" s="1"/>
  <c r="O311" i="24"/>
  <c r="O135" i="24"/>
  <c r="BY135" i="24" s="1"/>
  <c r="O180" i="24"/>
  <c r="BY180" i="24" s="1"/>
  <c r="O315" i="24"/>
  <c r="J279" i="24"/>
  <c r="X279" i="24" s="1"/>
  <c r="AA279" i="24" s="1"/>
  <c r="AB279" i="24" s="1"/>
  <c r="AC279" i="24" s="1"/>
  <c r="J263" i="24"/>
  <c r="AE263" i="24" s="1"/>
  <c r="AF263" i="24" s="1"/>
  <c r="J292" i="24"/>
  <c r="AI292" i="24" s="1"/>
  <c r="O138" i="24"/>
  <c r="BY138" i="24" s="1"/>
  <c r="J238" i="24"/>
  <c r="X238" i="24" s="1"/>
  <c r="AA238" i="24" s="1"/>
  <c r="AB238" i="24" s="1"/>
  <c r="AC238" i="24" s="1"/>
  <c r="O302" i="24"/>
  <c r="O305" i="24"/>
  <c r="J195" i="24"/>
  <c r="AE195" i="24" s="1"/>
  <c r="AF195" i="24" s="1"/>
  <c r="J198" i="24"/>
  <c r="AI198" i="24" s="1"/>
  <c r="J218" i="24"/>
  <c r="X218" i="24" s="1"/>
  <c r="AA218" i="24" s="1"/>
  <c r="AB218" i="24" s="1"/>
  <c r="AC218" i="24" s="1"/>
  <c r="O140" i="24"/>
  <c r="BY140" i="24" s="1"/>
  <c r="J262" i="24"/>
  <c r="AE262" i="24" s="1"/>
  <c r="AF262" i="24" s="1"/>
  <c r="O265" i="24"/>
  <c r="O164" i="24"/>
  <c r="BY164" i="24" s="1"/>
  <c r="O235" i="24"/>
  <c r="O221" i="24"/>
  <c r="O118" i="24"/>
  <c r="BY118" i="24" s="1"/>
  <c r="J282" i="24"/>
  <c r="X282" i="24" s="1"/>
  <c r="AA282" i="24" s="1"/>
  <c r="AB282" i="24" s="1"/>
  <c r="AC282" i="24" s="1"/>
  <c r="O316" i="24"/>
  <c r="O126" i="24"/>
  <c r="BY126" i="24" s="1"/>
  <c r="O223" i="24"/>
  <c r="O298" i="24"/>
  <c r="O124" i="24"/>
  <c r="BY124" i="24" s="1"/>
  <c r="O175" i="24"/>
  <c r="BY175" i="24" s="1"/>
  <c r="O267" i="24"/>
  <c r="O178" i="24"/>
  <c r="BY178" i="24" s="1"/>
  <c r="O257" i="24"/>
  <c r="J133" i="24"/>
  <c r="AI133" i="24" s="1"/>
  <c r="J117" i="24"/>
  <c r="AI117" i="24" s="1"/>
  <c r="O234" i="24"/>
  <c r="O295" i="24"/>
  <c r="J114" i="24"/>
  <c r="AI114" i="24" s="1"/>
  <c r="J151" i="24"/>
  <c r="AI151" i="24" s="1"/>
  <c r="O269" i="24"/>
  <c r="O231" i="24"/>
  <c r="O242" i="24"/>
  <c r="J166" i="24"/>
  <c r="AI166" i="24" s="1"/>
  <c r="O121" i="24"/>
  <c r="BY121" i="24" s="1"/>
  <c r="J277" i="24"/>
  <c r="AE277" i="24" s="1"/>
  <c r="AF277" i="24" s="1"/>
  <c r="J271" i="24"/>
  <c r="AE271" i="24" s="1"/>
  <c r="AF271" i="24" s="1"/>
  <c r="J204" i="24"/>
  <c r="AI204" i="24" s="1"/>
  <c r="J156" i="24"/>
  <c r="AI156" i="24" s="1"/>
  <c r="J144" i="24"/>
  <c r="AI144" i="24" s="1"/>
  <c r="J209" i="24"/>
  <c r="AI209" i="24" s="1"/>
  <c r="J120" i="24"/>
  <c r="AI120" i="24" s="1"/>
  <c r="J296" i="24"/>
  <c r="X296" i="24" s="1"/>
  <c r="AA296" i="24" s="1"/>
  <c r="AB296" i="24" s="1"/>
  <c r="AC296" i="24" s="1"/>
  <c r="J285" i="24"/>
  <c r="AI285" i="24" s="1"/>
  <c r="J168" i="24"/>
  <c r="AI168" i="24" s="1"/>
  <c r="J268" i="24"/>
  <c r="AI268" i="24" s="1"/>
  <c r="O160" i="24"/>
  <c r="BY160" i="24" s="1"/>
  <c r="J297" i="24"/>
  <c r="AI297" i="24" s="1"/>
  <c r="J146" i="24"/>
  <c r="AI146" i="24" s="1"/>
  <c r="O251" i="24"/>
  <c r="O129" i="24"/>
  <c r="BY129" i="24" s="1"/>
  <c r="J247" i="24"/>
  <c r="X247" i="24" s="1"/>
  <c r="AA247" i="24" s="1"/>
  <c r="AB247" i="24" s="1"/>
  <c r="AC247" i="24" s="1"/>
  <c r="O304" i="24"/>
  <c r="J253" i="24"/>
  <c r="AI253" i="24" s="1"/>
  <c r="O317" i="24"/>
  <c r="J226" i="24"/>
  <c r="W226" i="24" s="1"/>
  <c r="Y226" i="24" s="1"/>
  <c r="O287" i="24"/>
  <c r="J239" i="24"/>
  <c r="X239" i="24" s="1"/>
  <c r="AA239" i="24" s="1"/>
  <c r="AB239" i="24" s="1"/>
  <c r="AC239" i="24" s="1"/>
  <c r="J189" i="24"/>
  <c r="AI189" i="24" s="1"/>
  <c r="J314" i="24"/>
  <c r="X314" i="24" s="1"/>
  <c r="AA314" i="24" s="1"/>
  <c r="AB314" i="24" s="1"/>
  <c r="AC314" i="24" s="1"/>
  <c r="J233" i="24"/>
  <c r="AI233" i="24" s="1"/>
  <c r="J270" i="24"/>
  <c r="AI270" i="24" s="1"/>
  <c r="J256" i="24"/>
  <c r="AI256" i="24" s="1"/>
  <c r="J264" i="24"/>
  <c r="AI264" i="24" s="1"/>
  <c r="J299" i="24"/>
  <c r="AE299" i="24" s="1"/>
  <c r="AF299" i="24" s="1"/>
  <c r="J309" i="24"/>
  <c r="X309" i="24" s="1"/>
  <c r="AA309" i="24" s="1"/>
  <c r="AB309" i="24" s="1"/>
  <c r="AC309" i="24" s="1"/>
  <c r="J243" i="24"/>
  <c r="AI243" i="24" s="1"/>
  <c r="O260" i="24"/>
  <c r="O259" i="24"/>
  <c r="O229" i="24"/>
  <c r="O293" i="24"/>
  <c r="O240" i="24"/>
  <c r="O272" i="24"/>
  <c r="O127" i="24"/>
  <c r="BY127" i="24" s="1"/>
  <c r="O301" i="24"/>
  <c r="O274" i="24"/>
  <c r="O111" i="24"/>
  <c r="BY111" i="24" s="1"/>
  <c r="O273" i="24"/>
  <c r="O230" i="24"/>
  <c r="O294" i="24"/>
  <c r="J232" i="24"/>
  <c r="AI232" i="24" s="1"/>
  <c r="J307" i="24"/>
  <c r="AE307" i="24" s="1"/>
  <c r="AF307" i="24" s="1"/>
  <c r="J174" i="24"/>
  <c r="AI174" i="24" s="1"/>
  <c r="J250" i="24"/>
  <c r="X250" i="24" s="1"/>
  <c r="AA250" i="24" s="1"/>
  <c r="AB250" i="24" s="1"/>
  <c r="AC250" i="24" s="1"/>
  <c r="J153" i="24"/>
  <c r="AE153" i="24" s="1"/>
  <c r="AF153" i="24" s="1"/>
  <c r="J113" i="24"/>
  <c r="AI113" i="24" s="1"/>
  <c r="BY86" i="24"/>
  <c r="BY46" i="24"/>
  <c r="BY73" i="24"/>
  <c r="BY41" i="24"/>
  <c r="BY42" i="24"/>
  <c r="BY56" i="24"/>
  <c r="BY21" i="24"/>
  <c r="BY50" i="24"/>
  <c r="BY53" i="24"/>
  <c r="BY89" i="24"/>
  <c r="BY64" i="24"/>
  <c r="BY29" i="24"/>
  <c r="BY60" i="24"/>
  <c r="BY70" i="24"/>
  <c r="BY54" i="24"/>
  <c r="BY69" i="24"/>
  <c r="BY101" i="24"/>
  <c r="BY68" i="24"/>
  <c r="BY33" i="24"/>
  <c r="BY25" i="24"/>
  <c r="BY72" i="24"/>
  <c r="BY18" i="24"/>
  <c r="BY82" i="24"/>
  <c r="BY32" i="24"/>
  <c r="BY96" i="24"/>
  <c r="BY97" i="24"/>
  <c r="BY78" i="24"/>
  <c r="BY85" i="24"/>
  <c r="BY92" i="24"/>
  <c r="BY36" i="24"/>
  <c r="BY100" i="24"/>
  <c r="BY105" i="24"/>
  <c r="BY40" i="24"/>
  <c r="BY28" i="24"/>
  <c r="BY104" i="24"/>
  <c r="BY63" i="24"/>
  <c r="BY19" i="24"/>
  <c r="BY79" i="24"/>
  <c r="J196" i="24"/>
  <c r="AI196" i="24" s="1"/>
  <c r="O196" i="24"/>
  <c r="BY196" i="24" s="1"/>
  <c r="J145" i="24"/>
  <c r="X145" i="24" s="1"/>
  <c r="AA145" i="24" s="1"/>
  <c r="AB145" i="24" s="1"/>
  <c r="AC145" i="24" s="1"/>
  <c r="O145" i="24"/>
  <c r="BY145" i="24" s="1"/>
  <c r="J150" i="24"/>
  <c r="X150" i="24" s="1"/>
  <c r="AA150" i="24" s="1"/>
  <c r="AB150" i="24" s="1"/>
  <c r="AC150" i="24" s="1"/>
  <c r="O150" i="24"/>
  <c r="BY150" i="24" s="1"/>
  <c r="J136" i="24"/>
  <c r="AE136" i="24" s="1"/>
  <c r="AF136" i="24" s="1"/>
  <c r="O136" i="24"/>
  <c r="BY136" i="24" s="1"/>
  <c r="J181" i="24"/>
  <c r="AE181" i="24" s="1"/>
  <c r="AF181" i="24" s="1"/>
  <c r="O181" i="24"/>
  <c r="BY181" i="24" s="1"/>
  <c r="J149" i="24"/>
  <c r="AI149" i="24" s="1"/>
  <c r="O149" i="24"/>
  <c r="BY149" i="24" s="1"/>
  <c r="J186" i="24"/>
  <c r="AI186" i="24" s="1"/>
  <c r="O186" i="24"/>
  <c r="BY186" i="24" s="1"/>
  <c r="J122" i="24"/>
  <c r="W122" i="24" s="1"/>
  <c r="Y122" i="24" s="1"/>
  <c r="O122" i="24"/>
  <c r="BY122" i="24" s="1"/>
  <c r="J128" i="24"/>
  <c r="X128" i="24" s="1"/>
  <c r="AA128" i="24" s="1"/>
  <c r="AB128" i="24" s="1"/>
  <c r="AC128" i="24" s="1"/>
  <c r="O128" i="24"/>
  <c r="BY128" i="24" s="1"/>
  <c r="J163" i="24"/>
  <c r="AI163" i="24" s="1"/>
  <c r="O163" i="24"/>
  <c r="BY163" i="24" s="1"/>
  <c r="J208" i="24"/>
  <c r="AE208" i="24" s="1"/>
  <c r="AF208" i="24" s="1"/>
  <c r="O208" i="24"/>
  <c r="BY208" i="24" s="1"/>
  <c r="J141" i="24"/>
  <c r="X141" i="24" s="1"/>
  <c r="AA141" i="24" s="1"/>
  <c r="AB141" i="24" s="1"/>
  <c r="AC141" i="24" s="1"/>
  <c r="O141" i="24"/>
  <c r="BY141" i="24" s="1"/>
  <c r="J179" i="24"/>
  <c r="X179" i="24" s="1"/>
  <c r="AA179" i="24" s="1"/>
  <c r="AB179" i="24" s="1"/>
  <c r="AC179" i="24" s="1"/>
  <c r="O179" i="24"/>
  <c r="BY179" i="24" s="1"/>
  <c r="BY23" i="24"/>
  <c r="BY91" i="24"/>
  <c r="J201" i="24"/>
  <c r="W201" i="24" s="1"/>
  <c r="O201" i="24"/>
  <c r="BY201" i="24" s="1"/>
  <c r="J155" i="24"/>
  <c r="AE155" i="24" s="1"/>
  <c r="AF155" i="24" s="1"/>
  <c r="O155" i="24"/>
  <c r="BY155" i="24" s="1"/>
  <c r="J131" i="24"/>
  <c r="AI131" i="24" s="1"/>
  <c r="O131" i="24"/>
  <c r="BY131" i="24" s="1"/>
  <c r="J184" i="24"/>
  <c r="X184" i="24" s="1"/>
  <c r="AA184" i="24" s="1"/>
  <c r="AB184" i="24" s="1"/>
  <c r="AC184" i="24" s="1"/>
  <c r="O184" i="24"/>
  <c r="BY184" i="24" s="1"/>
  <c r="J112" i="24"/>
  <c r="W112" i="24" s="1"/>
  <c r="O112" i="24"/>
  <c r="BY112" i="24" s="1"/>
  <c r="J154" i="24"/>
  <c r="X154" i="24" s="1"/>
  <c r="AA154" i="24" s="1"/>
  <c r="AB154" i="24" s="1"/>
  <c r="AC154" i="24" s="1"/>
  <c r="O154" i="24"/>
  <c r="BY154" i="24" s="1"/>
  <c r="J172" i="24"/>
  <c r="W172" i="24" s="1"/>
  <c r="O172" i="24"/>
  <c r="BY172" i="24" s="1"/>
  <c r="J115" i="24"/>
  <c r="AE115" i="24" s="1"/>
  <c r="AF115" i="24" s="1"/>
  <c r="O115" i="24"/>
  <c r="BY115" i="24" s="1"/>
  <c r="J183" i="24"/>
  <c r="X183" i="24" s="1"/>
  <c r="AA183" i="24" s="1"/>
  <c r="AB183" i="24" s="1"/>
  <c r="AC183" i="24" s="1"/>
  <c r="O183" i="24"/>
  <c r="BY183" i="24" s="1"/>
  <c r="J187" i="24"/>
  <c r="AE187" i="24" s="1"/>
  <c r="AF187" i="24" s="1"/>
  <c r="O187" i="24"/>
  <c r="BY187" i="24" s="1"/>
  <c r="J119" i="24"/>
  <c r="AI119" i="24" s="1"/>
  <c r="O119" i="24"/>
  <c r="BY119" i="24" s="1"/>
  <c r="J116" i="24"/>
  <c r="AE116" i="24" s="1"/>
  <c r="AF116" i="24" s="1"/>
  <c r="O116" i="24"/>
  <c r="BY116" i="24" s="1"/>
  <c r="BY87" i="24"/>
  <c r="BY31" i="24"/>
  <c r="BY27" i="24"/>
  <c r="BY83" i="24"/>
  <c r="BY14" i="24"/>
  <c r="BY10" i="24"/>
  <c r="BY74" i="24"/>
  <c r="J148" i="24"/>
  <c r="W148" i="24" s="1"/>
  <c r="Y148" i="24" s="1"/>
  <c r="O148" i="24"/>
  <c r="BY148" i="24" s="1"/>
  <c r="J177" i="24"/>
  <c r="AI177" i="24" s="1"/>
  <c r="O177" i="24"/>
  <c r="BY177" i="24" s="1"/>
  <c r="J210" i="24"/>
  <c r="W210" i="24" s="1"/>
  <c r="O210" i="24"/>
  <c r="BY210" i="24" s="1"/>
  <c r="J123" i="24"/>
  <c r="W123" i="24" s="1"/>
  <c r="O123" i="24"/>
  <c r="BY123" i="24" s="1"/>
  <c r="J134" i="24"/>
  <c r="AI134" i="24" s="1"/>
  <c r="O134" i="24"/>
  <c r="BY134" i="24" s="1"/>
  <c r="J182" i="24"/>
  <c r="X182" i="24" s="1"/>
  <c r="AA182" i="24" s="1"/>
  <c r="AB182" i="24" s="1"/>
  <c r="AC182" i="24" s="1"/>
  <c r="O182" i="24"/>
  <c r="BY182" i="24" s="1"/>
  <c r="J199" i="24"/>
  <c r="AI199" i="24" s="1"/>
  <c r="O199" i="24"/>
  <c r="BY199" i="24" s="1"/>
  <c r="J152" i="24"/>
  <c r="AI152" i="24" s="1"/>
  <c r="O152" i="24"/>
  <c r="BY152" i="24" s="1"/>
  <c r="J157" i="24"/>
  <c r="AE157" i="24" s="1"/>
  <c r="AF157" i="24" s="1"/>
  <c r="O157" i="24"/>
  <c r="BY157" i="24" s="1"/>
  <c r="J205" i="24"/>
  <c r="X205" i="24" s="1"/>
  <c r="AA205" i="24" s="1"/>
  <c r="AB205" i="24" s="1"/>
  <c r="AC205" i="24" s="1"/>
  <c r="O205" i="24"/>
  <c r="BY205" i="24" s="1"/>
  <c r="J159" i="24"/>
  <c r="AI159" i="24" s="1"/>
  <c r="O159" i="24"/>
  <c r="BY159" i="24" s="1"/>
  <c r="J167" i="24"/>
  <c r="AI167" i="24" s="1"/>
  <c r="O167" i="24"/>
  <c r="BY167" i="24" s="1"/>
  <c r="J170" i="24"/>
  <c r="X170" i="24" s="1"/>
  <c r="AA170" i="24" s="1"/>
  <c r="AB170" i="24" s="1"/>
  <c r="AC170" i="24" s="1"/>
  <c r="O170" i="24"/>
  <c r="BY170" i="24" s="1"/>
  <c r="J207" i="24"/>
  <c r="AE207" i="24" s="1"/>
  <c r="AF207" i="24" s="1"/>
  <c r="O207" i="24"/>
  <c r="BY207" i="24" s="1"/>
  <c r="J188" i="24"/>
  <c r="AI188" i="24" s="1"/>
  <c r="O188" i="24"/>
  <c r="BY188" i="24" s="1"/>
  <c r="J161" i="24"/>
  <c r="AI161" i="24" s="1"/>
  <c r="O161" i="24"/>
  <c r="BY161" i="24" s="1"/>
  <c r="J194" i="24"/>
  <c r="AI194" i="24" s="1"/>
  <c r="O194" i="24"/>
  <c r="BY194" i="24" s="1"/>
  <c r="J137" i="24"/>
  <c r="X137" i="24" s="1"/>
  <c r="AA137" i="24" s="1"/>
  <c r="AB137" i="24" s="1"/>
  <c r="AC137" i="24" s="1"/>
  <c r="O137" i="24"/>
  <c r="BY137" i="24" s="1"/>
  <c r="J142" i="24"/>
  <c r="X142" i="24" s="1"/>
  <c r="AA142" i="24" s="1"/>
  <c r="AB142" i="24" s="1"/>
  <c r="AC142" i="24" s="1"/>
  <c r="O142" i="24"/>
  <c r="BY142" i="24" s="1"/>
  <c r="J125" i="24"/>
  <c r="AI125" i="24" s="1"/>
  <c r="O125" i="24"/>
  <c r="BY125" i="24" s="1"/>
  <c r="J192" i="24"/>
  <c r="AI192" i="24" s="1"/>
  <c r="O192" i="24"/>
  <c r="BY192" i="24" s="1"/>
  <c r="J169" i="24"/>
  <c r="AE169" i="24" s="1"/>
  <c r="AF169" i="24" s="1"/>
  <c r="O169" i="24"/>
  <c r="BY169" i="24" s="1"/>
  <c r="J206" i="24"/>
  <c r="AI206" i="24" s="1"/>
  <c r="O206" i="24"/>
  <c r="BY206" i="24" s="1"/>
  <c r="J165" i="24"/>
  <c r="X165" i="24" s="1"/>
  <c r="AA165" i="24" s="1"/>
  <c r="AB165" i="24" s="1"/>
  <c r="AC165" i="24" s="1"/>
  <c r="O165" i="24"/>
  <c r="BY165" i="24" s="1"/>
  <c r="J162" i="24"/>
  <c r="AI162" i="24" s="1"/>
  <c r="O162" i="24"/>
  <c r="BY162" i="24" s="1"/>
  <c r="J203" i="24"/>
  <c r="AE203" i="24" s="1"/>
  <c r="AF203" i="24" s="1"/>
  <c r="O203" i="24"/>
  <c r="BY203" i="24" s="1"/>
  <c r="BY55" i="24"/>
  <c r="BY95" i="24"/>
  <c r="BY59" i="24"/>
  <c r="BY51" i="24"/>
  <c r="J46" i="24"/>
  <c r="AE46" i="24" s="1"/>
  <c r="AF46" i="24" s="1"/>
  <c r="J64" i="24"/>
  <c r="AE64" i="24" s="1"/>
  <c r="AF64" i="24" s="1"/>
  <c r="J95" i="24"/>
  <c r="AI95" i="24" s="1"/>
  <c r="J59" i="24"/>
  <c r="AE59" i="24" s="1"/>
  <c r="AF59" i="24" s="1"/>
  <c r="J54" i="24"/>
  <c r="AE54" i="24" s="1"/>
  <c r="AF54" i="24" s="1"/>
  <c r="J73" i="24"/>
  <c r="X73" i="24" s="1"/>
  <c r="AA73" i="24" s="1"/>
  <c r="AB73" i="24" s="1"/>
  <c r="AC73" i="24" s="1"/>
  <c r="J56" i="24"/>
  <c r="X56" i="24" s="1"/>
  <c r="AA56" i="24" s="1"/>
  <c r="AB56" i="24" s="1"/>
  <c r="AC56" i="24" s="1"/>
  <c r="J14" i="24"/>
  <c r="X14" i="24" s="1"/>
  <c r="AA14" i="24" s="1"/>
  <c r="AB14" i="24" s="1"/>
  <c r="AC14" i="24" s="1"/>
  <c r="J78" i="24"/>
  <c r="X78" i="24" s="1"/>
  <c r="AA78" i="24" s="1"/>
  <c r="AB78" i="24" s="1"/>
  <c r="AC78" i="24" s="1"/>
  <c r="J23" i="24"/>
  <c r="AI23" i="24" s="1"/>
  <c r="J87" i="24"/>
  <c r="AE87" i="24" s="1"/>
  <c r="AF87" i="24" s="1"/>
  <c r="J32" i="24"/>
  <c r="AI32" i="24" s="1"/>
  <c r="J96" i="24"/>
  <c r="W96" i="24" s="1"/>
  <c r="J97" i="24"/>
  <c r="W97" i="24" s="1"/>
  <c r="Y97" i="24" s="1"/>
  <c r="J31" i="24"/>
  <c r="AE31" i="24" s="1"/>
  <c r="AF31" i="24" s="1"/>
  <c r="J40" i="24"/>
  <c r="AE40" i="24" s="1"/>
  <c r="AF40" i="24" s="1"/>
  <c r="J18" i="24"/>
  <c r="AE18" i="24" s="1"/>
  <c r="AF18" i="24" s="1"/>
  <c r="J82" i="24"/>
  <c r="AE82" i="24" s="1"/>
  <c r="AF82" i="24" s="1"/>
  <c r="J27" i="24"/>
  <c r="AI27" i="24" s="1"/>
  <c r="J91" i="24"/>
  <c r="X91" i="24" s="1"/>
  <c r="AA91" i="24" s="1"/>
  <c r="AB91" i="24" s="1"/>
  <c r="AC91" i="24" s="1"/>
  <c r="J36" i="24"/>
  <c r="AI36" i="24" s="1"/>
  <c r="J100" i="24"/>
  <c r="AI100" i="24" s="1"/>
  <c r="J105" i="24"/>
  <c r="AI105" i="24" s="1"/>
  <c r="J63" i="24"/>
  <c r="AE63" i="24" s="1"/>
  <c r="AF63" i="24" s="1"/>
  <c r="J10" i="24"/>
  <c r="AI10" i="24" s="1"/>
  <c r="J74" i="24"/>
  <c r="X74" i="24" s="1"/>
  <c r="AA74" i="24" s="1"/>
  <c r="AB74" i="24" s="1"/>
  <c r="AC74" i="24" s="1"/>
  <c r="J19" i="24"/>
  <c r="AE19" i="24" s="1"/>
  <c r="AF19" i="24" s="1"/>
  <c r="J83" i="24"/>
  <c r="X83" i="24" s="1"/>
  <c r="AA83" i="24" s="1"/>
  <c r="AB83" i="24" s="1"/>
  <c r="AC83" i="24" s="1"/>
  <c r="J28" i="24"/>
  <c r="AE28" i="24" s="1"/>
  <c r="AF28" i="24" s="1"/>
  <c r="J92" i="24"/>
  <c r="AE92" i="24" s="1"/>
  <c r="AF92" i="24" s="1"/>
  <c r="J85" i="24"/>
  <c r="X85" i="24" s="1"/>
  <c r="AA85" i="24" s="1"/>
  <c r="AB85" i="24" s="1"/>
  <c r="AC85" i="24" s="1"/>
  <c r="J79" i="24"/>
  <c r="AE79" i="24" s="1"/>
  <c r="AF79" i="24" s="1"/>
  <c r="J53" i="24"/>
  <c r="X53" i="24" s="1"/>
  <c r="AA53" i="24" s="1"/>
  <c r="AB53" i="24" s="1"/>
  <c r="AC53" i="24" s="1"/>
  <c r="J89" i="24"/>
  <c r="AE89" i="24" s="1"/>
  <c r="AF89" i="24" s="1"/>
  <c r="J70" i="24"/>
  <c r="AI70" i="24" s="1"/>
  <c r="J21" i="24"/>
  <c r="W21" i="24" s="1"/>
  <c r="J69" i="24"/>
  <c r="AI69" i="24" s="1"/>
  <c r="J101" i="24"/>
  <c r="X101" i="24" s="1"/>
  <c r="AA101" i="24" s="1"/>
  <c r="AB101" i="24" s="1"/>
  <c r="AC101" i="24" s="1"/>
  <c r="J33" i="24"/>
  <c r="W33" i="24" s="1"/>
  <c r="J42" i="24"/>
  <c r="AI42" i="24" s="1"/>
  <c r="J41" i="24"/>
  <c r="AE41" i="24" s="1"/>
  <c r="AF41" i="24" s="1"/>
  <c r="J60" i="24"/>
  <c r="AI60" i="24" s="1"/>
  <c r="J86" i="24"/>
  <c r="X86" i="24" s="1"/>
  <c r="AA86" i="24" s="1"/>
  <c r="AB86" i="24" s="1"/>
  <c r="AC86" i="24" s="1"/>
  <c r="J55" i="24"/>
  <c r="W55" i="24" s="1"/>
  <c r="Y55" i="24" s="1"/>
  <c r="J29" i="24"/>
  <c r="AE29" i="24" s="1"/>
  <c r="AF29" i="24" s="1"/>
  <c r="J50" i="24"/>
  <c r="AI50" i="24" s="1"/>
  <c r="J68" i="24"/>
  <c r="AE68" i="24" s="1"/>
  <c r="AF68" i="24" s="1"/>
  <c r="J72" i="24"/>
  <c r="AE72" i="24" s="1"/>
  <c r="AF72" i="24" s="1"/>
  <c r="J51" i="24"/>
  <c r="AE51" i="24" s="1"/>
  <c r="AF51" i="24" s="1"/>
  <c r="J25" i="24"/>
  <c r="AI25" i="24" s="1"/>
  <c r="J104" i="24"/>
  <c r="AI104" i="24" s="1"/>
  <c r="P110" i="24"/>
  <c r="F212" i="24" s="1"/>
  <c r="Q110" i="24"/>
  <c r="Q27" i="24"/>
  <c r="R27" i="24" s="1"/>
  <c r="Q70" i="24"/>
  <c r="R70" i="24" s="1"/>
  <c r="Q79" i="24"/>
  <c r="R79" i="24" s="1"/>
  <c r="Q53" i="24"/>
  <c r="R53" i="24" s="1"/>
  <c r="Q23" i="24"/>
  <c r="R23" i="24" s="1"/>
  <c r="Q32" i="24"/>
  <c r="R32" i="24" s="1"/>
  <c r="Q97" i="24"/>
  <c r="Q59" i="24"/>
  <c r="Q86" i="24"/>
  <c r="Q95" i="24"/>
  <c r="R95" i="24" s="1"/>
  <c r="Q104" i="24"/>
  <c r="R104" i="24" s="1"/>
  <c r="Q33" i="24"/>
  <c r="Q41" i="24"/>
  <c r="R41" i="24" s="1"/>
  <c r="Q51" i="24"/>
  <c r="Q73" i="24"/>
  <c r="R73" i="24" s="1"/>
  <c r="Q25" i="24"/>
  <c r="R25" i="24" s="1"/>
  <c r="Q78" i="24"/>
  <c r="R78" i="24" s="1"/>
  <c r="Q101" i="24"/>
  <c r="R101" i="24" s="1"/>
  <c r="Q21" i="24"/>
  <c r="R21" i="24" s="1"/>
  <c r="Q100" i="24"/>
  <c r="R100" i="24" s="1"/>
  <c r="Q55" i="24"/>
  <c r="Q64" i="24"/>
  <c r="R64" i="24" s="1"/>
  <c r="Q68" i="24"/>
  <c r="R68" i="24" s="1"/>
  <c r="Q54" i="24"/>
  <c r="Q63" i="24"/>
  <c r="R63" i="24" s="1"/>
  <c r="Q69" i="24"/>
  <c r="R69" i="24" s="1"/>
  <c r="Q10" i="24"/>
  <c r="R10" i="24" s="1"/>
  <c r="Q19" i="24"/>
  <c r="Q28" i="24"/>
  <c r="R28" i="24" s="1"/>
  <c r="Q85" i="24"/>
  <c r="R85" i="24" s="1"/>
  <c r="Q105" i="24"/>
  <c r="P41" i="24"/>
  <c r="P27" i="24"/>
  <c r="T30" i="24"/>
  <c r="O30" i="24" s="1"/>
  <c r="BY30" i="24" s="1"/>
  <c r="P78" i="24"/>
  <c r="T39" i="24"/>
  <c r="O39" i="24" s="1"/>
  <c r="BY39" i="24" s="1"/>
  <c r="T48" i="24"/>
  <c r="O48" i="24" s="1"/>
  <c r="BY48" i="24" s="1"/>
  <c r="T38" i="24"/>
  <c r="O38" i="24" s="1"/>
  <c r="BY38" i="24" s="1"/>
  <c r="T88" i="24"/>
  <c r="O88" i="24" s="1"/>
  <c r="BY88" i="24" s="1"/>
  <c r="T98" i="24"/>
  <c r="O98" i="24" s="1"/>
  <c r="BY98" i="24" s="1"/>
  <c r="T37" i="24"/>
  <c r="O37" i="24" s="1"/>
  <c r="BY37" i="24" s="1"/>
  <c r="T17" i="24"/>
  <c r="O17" i="24" s="1"/>
  <c r="BY17" i="24" s="1"/>
  <c r="T61" i="24"/>
  <c r="O61" i="24" s="1"/>
  <c r="BY61" i="24" s="1"/>
  <c r="T90" i="24"/>
  <c r="O90" i="24" s="1"/>
  <c r="BY90" i="24" s="1"/>
  <c r="T99" i="24"/>
  <c r="O99" i="24" s="1"/>
  <c r="BY99" i="24" s="1"/>
  <c r="T9" i="24"/>
  <c r="O9" i="24" s="1"/>
  <c r="BY9" i="24" s="1"/>
  <c r="T8" i="24"/>
  <c r="O8" i="24" s="1"/>
  <c r="BY8" i="24" s="1"/>
  <c r="T7" i="24"/>
  <c r="O7" i="24" s="1"/>
  <c r="BY7" i="24" s="1"/>
  <c r="T16" i="24"/>
  <c r="O16" i="24" s="1"/>
  <c r="BY16" i="24" s="1"/>
  <c r="T57" i="24"/>
  <c r="O57" i="24" s="1"/>
  <c r="BY57" i="24" s="1"/>
  <c r="T24" i="24"/>
  <c r="O24" i="24" s="1"/>
  <c r="BY24" i="24" s="1"/>
  <c r="T66" i="24"/>
  <c r="O66" i="24" s="1"/>
  <c r="BY66" i="24" s="1"/>
  <c r="T75" i="24"/>
  <c r="O75" i="24" s="1"/>
  <c r="BY75" i="24" s="1"/>
  <c r="T84" i="24"/>
  <c r="O84" i="24" s="1"/>
  <c r="BY84" i="24" s="1"/>
  <c r="T81" i="24"/>
  <c r="O81" i="24" s="1"/>
  <c r="BY81" i="24" s="1"/>
  <c r="T58" i="24"/>
  <c r="O58" i="24" s="1"/>
  <c r="BY58" i="24" s="1"/>
  <c r="T67" i="24"/>
  <c r="O67" i="24" s="1"/>
  <c r="BY67" i="24" s="1"/>
  <c r="T76" i="24"/>
  <c r="O76" i="24" s="1"/>
  <c r="BY76" i="24" s="1"/>
  <c r="T15" i="24"/>
  <c r="O15" i="24" s="1"/>
  <c r="BY15" i="24" s="1"/>
  <c r="T94" i="24"/>
  <c r="O94" i="24" s="1"/>
  <c r="BY94" i="24" s="1"/>
  <c r="T103" i="24"/>
  <c r="O103" i="24" s="1"/>
  <c r="BY103" i="24" s="1"/>
  <c r="T13" i="24"/>
  <c r="O13" i="24" s="1"/>
  <c r="BY13" i="24" s="1"/>
  <c r="T47" i="24"/>
  <c r="O47" i="24" s="1"/>
  <c r="BY47" i="24" s="1"/>
  <c r="T34" i="24"/>
  <c r="O34" i="24" s="1"/>
  <c r="BY34" i="24" s="1"/>
  <c r="T43" i="24"/>
  <c r="O43" i="24" s="1"/>
  <c r="BY43" i="24" s="1"/>
  <c r="T52" i="24"/>
  <c r="O52" i="24" s="1"/>
  <c r="BY52" i="24" s="1"/>
  <c r="T6" i="24"/>
  <c r="O6" i="24" s="1"/>
  <c r="BY6" i="24" s="1"/>
  <c r="T26" i="24"/>
  <c r="O26" i="24" s="1"/>
  <c r="BY26" i="24" s="1"/>
  <c r="T35" i="24"/>
  <c r="O35" i="24" s="1"/>
  <c r="BY35" i="24" s="1"/>
  <c r="T44" i="24"/>
  <c r="O44" i="24" s="1"/>
  <c r="BY44" i="24" s="1"/>
  <c r="T22" i="24"/>
  <c r="O22" i="24" s="1"/>
  <c r="BY22" i="24" s="1"/>
  <c r="P79" i="24"/>
  <c r="P28" i="24"/>
  <c r="T62" i="24"/>
  <c r="O62" i="24" s="1"/>
  <c r="BY62" i="24" s="1"/>
  <c r="AP53" i="24"/>
  <c r="T71" i="24"/>
  <c r="O71" i="24" s="1"/>
  <c r="BY71" i="24" s="1"/>
  <c r="T80" i="24"/>
  <c r="O80" i="24" s="1"/>
  <c r="BY80" i="24" s="1"/>
  <c r="T102" i="24"/>
  <c r="O102" i="24" s="1"/>
  <c r="BY102" i="24" s="1"/>
  <c r="T77" i="24"/>
  <c r="O77" i="24" s="1"/>
  <c r="BY77" i="24" s="1"/>
  <c r="T11" i="24"/>
  <c r="O11" i="24" s="1"/>
  <c r="BY11" i="24" s="1"/>
  <c r="T20" i="24"/>
  <c r="O20" i="24" s="1"/>
  <c r="BY20" i="24" s="1"/>
  <c r="T65" i="24"/>
  <c r="O65" i="24" s="1"/>
  <c r="BY65" i="24" s="1"/>
  <c r="T45" i="24"/>
  <c r="O45" i="24" s="1"/>
  <c r="BY45" i="24" s="1"/>
  <c r="T93" i="24"/>
  <c r="O93" i="24" s="1"/>
  <c r="BY93" i="24" s="1"/>
  <c r="T12" i="24"/>
  <c r="O12" i="24" s="1"/>
  <c r="BY12" i="24" s="1"/>
  <c r="T49" i="24"/>
  <c r="O49" i="24" s="1"/>
  <c r="BY49" i="24" s="1"/>
  <c r="P53" i="24"/>
  <c r="P64" i="24"/>
  <c r="P68" i="24"/>
  <c r="P63" i="24"/>
  <c r="P10" i="24"/>
  <c r="AI5" i="24"/>
  <c r="R5" i="24"/>
  <c r="X110" i="24"/>
  <c r="AA110" i="24" s="1"/>
  <c r="AB110" i="24" s="1"/>
  <c r="AC110" i="24" s="1"/>
  <c r="AP110" i="24"/>
  <c r="AE5" i="24"/>
  <c r="AF5" i="24" s="1"/>
  <c r="R110" i="25"/>
  <c r="AO218" i="25"/>
  <c r="AP217" i="24"/>
  <c r="Q218" i="25"/>
  <c r="CE218" i="25" s="1"/>
  <c r="R218" i="25"/>
  <c r="K77" i="23"/>
  <c r="M77" i="23" s="1"/>
  <c r="CE113" i="25"/>
  <c r="X5" i="24"/>
  <c r="AA5" i="24" s="1"/>
  <c r="AB5" i="24" s="1"/>
  <c r="AC5" i="24" s="1"/>
  <c r="CE112" i="25"/>
  <c r="CE117" i="25"/>
  <c r="CE122" i="25"/>
  <c r="AO110" i="25"/>
  <c r="CE118" i="25"/>
  <c r="CE114" i="25"/>
  <c r="S110" i="25"/>
  <c r="K110" i="25" s="1"/>
  <c r="AD110" i="25" s="1"/>
  <c r="AE110" i="25" s="1"/>
  <c r="P217" i="24"/>
  <c r="CD217" i="24" s="1"/>
  <c r="B194" i="2"/>
  <c r="BZ103" i="25"/>
  <c r="BZ91" i="25"/>
  <c r="BZ102" i="25"/>
  <c r="BZ49" i="25"/>
  <c r="BZ90" i="25"/>
  <c r="BZ105" i="25"/>
  <c r="BZ101" i="25"/>
  <c r="BZ97" i="25"/>
  <c r="BZ93" i="25"/>
  <c r="BZ5" i="25"/>
  <c r="R5" i="25"/>
  <c r="BZ104" i="25"/>
  <c r="BZ96" i="25"/>
  <c r="BZ63" i="25"/>
  <c r="BZ47" i="25"/>
  <c r="BZ27" i="25"/>
  <c r="BZ77" i="25"/>
  <c r="BZ57" i="25"/>
  <c r="BZ25" i="25"/>
  <c r="BZ6" i="25"/>
  <c r="BZ69" i="25"/>
  <c r="BZ21" i="25"/>
  <c r="BZ35" i="25"/>
  <c r="BZ22" i="25"/>
  <c r="BZ60" i="25"/>
  <c r="BZ24" i="25"/>
  <c r="BZ38" i="25"/>
  <c r="BZ18" i="25"/>
  <c r="BZ71" i="25"/>
  <c r="BZ39" i="25"/>
  <c r="BZ65" i="25"/>
  <c r="BZ33" i="25"/>
  <c r="BZ43" i="25"/>
  <c r="BZ73" i="25"/>
  <c r="BZ17" i="25"/>
  <c r="BZ74" i="25"/>
  <c r="BZ34" i="25"/>
  <c r="S5" i="25"/>
  <c r="K5" i="25" s="1"/>
  <c r="AD5" i="25" s="1"/>
  <c r="AE5" i="25" s="1"/>
  <c r="BZ95" i="25"/>
  <c r="BZ94" i="25"/>
  <c r="BZ59" i="25"/>
  <c r="BZ9" i="25"/>
  <c r="BZ54" i="25"/>
  <c r="BZ100" i="25"/>
  <c r="BZ92" i="25"/>
  <c r="BZ83" i="25"/>
  <c r="BZ67" i="25"/>
  <c r="BZ51" i="25"/>
  <c r="BZ31" i="25"/>
  <c r="BZ15" i="25"/>
  <c r="BZ85" i="25"/>
  <c r="BZ61" i="25"/>
  <c r="BZ29" i="25"/>
  <c r="BZ82" i="25"/>
  <c r="BZ81" i="25"/>
  <c r="BZ41" i="25"/>
  <c r="BZ36" i="25"/>
  <c r="BZ26" i="25"/>
  <c r="BZ79" i="25"/>
  <c r="BZ10" i="25"/>
  <c r="BZ78" i="25"/>
  <c r="BZ62" i="25"/>
  <c r="BZ80" i="25"/>
  <c r="BZ64" i="25"/>
  <c r="BZ48" i="25"/>
  <c r="BZ28" i="25"/>
  <c r="BZ12" i="25"/>
  <c r="BZ42" i="25"/>
  <c r="BZ87" i="25"/>
  <c r="BZ55" i="25"/>
  <c r="BZ19" i="25"/>
  <c r="BZ13" i="25"/>
  <c r="BZ89" i="25"/>
  <c r="BZ45" i="25"/>
  <c r="BZ37" i="25"/>
  <c r="BZ75" i="25"/>
  <c r="BZ23" i="25"/>
  <c r="BZ76" i="25"/>
  <c r="BZ44" i="25"/>
  <c r="BZ58" i="25"/>
  <c r="Q5" i="25"/>
  <c r="BZ99" i="25"/>
  <c r="BZ53" i="25"/>
  <c r="BZ11" i="25"/>
  <c r="BZ7" i="25"/>
  <c r="BZ66" i="25"/>
  <c r="BZ84" i="25"/>
  <c r="BZ68" i="25"/>
  <c r="BZ52" i="25"/>
  <c r="BZ32" i="25"/>
  <c r="BZ16" i="25"/>
  <c r="BZ46" i="25"/>
  <c r="BZ8" i="25"/>
  <c r="BZ86" i="25"/>
  <c r="BZ70" i="25"/>
  <c r="BZ88" i="25"/>
  <c r="BZ72" i="25"/>
  <c r="BZ56" i="25"/>
  <c r="BZ40" i="25"/>
  <c r="BZ20" i="25"/>
  <c r="BZ50" i="25"/>
  <c r="BZ30" i="25"/>
  <c r="BZ14" i="25"/>
  <c r="BZ98" i="25"/>
  <c r="AO5" i="25"/>
  <c r="BK6" i="19"/>
  <c r="BB6" i="19"/>
  <c r="BH7" i="19"/>
  <c r="BF6" i="19"/>
  <c r="BK7" i="19"/>
  <c r="BS7" i="19"/>
  <c r="BF9" i="19"/>
  <c r="BH9" i="19"/>
  <c r="BD9" i="19"/>
  <c r="BA6" i="19"/>
  <c r="BI6" i="19"/>
  <c r="BD6" i="19"/>
  <c r="AZ7" i="19"/>
  <c r="BL7" i="19" s="1"/>
  <c r="BM7" i="19" s="1"/>
  <c r="BZ7" i="19" s="1"/>
  <c r="BG7" i="19"/>
  <c r="BJ7" i="19"/>
  <c r="BS6" i="19"/>
  <c r="AZ6" i="19"/>
  <c r="BL6" i="19" s="1"/>
  <c r="BM6" i="19" s="1"/>
  <c r="BZ6" i="19" s="1"/>
  <c r="BG6" i="19"/>
  <c r="BB7" i="19"/>
  <c r="BF7" i="19"/>
  <c r="BA7" i="19"/>
  <c r="BC6" i="19"/>
  <c r="BH6" i="19"/>
  <c r="BE6" i="19"/>
  <c r="BE7" i="19"/>
  <c r="BI7" i="19"/>
  <c r="BB9" i="19"/>
  <c r="BI9" i="19"/>
  <c r="BB8" i="19"/>
  <c r="BS8" i="19"/>
  <c r="BJ9" i="19"/>
  <c r="BS9" i="19"/>
  <c r="BK8" i="19"/>
  <c r="AZ9" i="19"/>
  <c r="BL9" i="19" s="1"/>
  <c r="BM9" i="19" s="1"/>
  <c r="BZ9" i="19" s="1"/>
  <c r="BD8" i="19"/>
  <c r="BE8" i="19"/>
  <c r="BG8" i="19"/>
  <c r="BE9" i="19"/>
  <c r="BA9" i="19"/>
  <c r="BG9" i="19"/>
  <c r="BH8" i="19"/>
  <c r="BI8" i="19"/>
  <c r="BF8" i="19"/>
  <c r="AZ8" i="19"/>
  <c r="BL8" i="19" s="1"/>
  <c r="BM8" i="19" s="1"/>
  <c r="BZ8" i="19" s="1"/>
  <c r="BK9" i="19"/>
  <c r="BC9" i="19"/>
  <c r="BA8" i="19"/>
  <c r="BJ8" i="19"/>
  <c r="AD218" i="25"/>
  <c r="AE218" i="25" s="1"/>
  <c r="W218" i="25"/>
  <c r="Z218" i="25" s="1"/>
  <c r="AA218" i="25" s="1"/>
  <c r="AB218" i="25" s="1"/>
  <c r="V218" i="25"/>
  <c r="X218" i="25" s="1"/>
  <c r="AD291" i="25"/>
  <c r="AE291" i="25" s="1"/>
  <c r="W291" i="25"/>
  <c r="Z291" i="25" s="1"/>
  <c r="AA291" i="25" s="1"/>
  <c r="AB291" i="25" s="1"/>
  <c r="AO268" i="25"/>
  <c r="U205" i="25"/>
  <c r="AO182" i="25"/>
  <c r="AO185" i="25"/>
  <c r="AO153" i="25"/>
  <c r="AO275" i="25"/>
  <c r="U221" i="25"/>
  <c r="AO83" i="25"/>
  <c r="AO85" i="25"/>
  <c r="AO29" i="25"/>
  <c r="W66" i="25"/>
  <c r="Z66" i="25" s="1"/>
  <c r="AA66" i="25" s="1"/>
  <c r="AB66" i="25" s="1"/>
  <c r="AD66" i="25"/>
  <c r="AE66" i="25" s="1"/>
  <c r="W68" i="25"/>
  <c r="Z68" i="25" s="1"/>
  <c r="AA68" i="25" s="1"/>
  <c r="AB68" i="25" s="1"/>
  <c r="AD68" i="25"/>
  <c r="AE68" i="25" s="1"/>
  <c r="AD16" i="25"/>
  <c r="AE16" i="25" s="1"/>
  <c r="W16" i="25"/>
  <c r="Z16" i="25" s="1"/>
  <c r="AA16" i="25" s="1"/>
  <c r="AB16" i="25" s="1"/>
  <c r="W36" i="25"/>
  <c r="Z36" i="25" s="1"/>
  <c r="AA36" i="25" s="1"/>
  <c r="AB36" i="25" s="1"/>
  <c r="AD36" i="25"/>
  <c r="AE36" i="25" s="1"/>
  <c r="AO36" i="25"/>
  <c r="U294" i="25"/>
  <c r="V294" i="25"/>
  <c r="AO267" i="25"/>
  <c r="U301" i="25"/>
  <c r="AD284" i="25"/>
  <c r="AE284" i="25" s="1"/>
  <c r="W284" i="25"/>
  <c r="Z284" i="25" s="1"/>
  <c r="AA284" i="25" s="1"/>
  <c r="AB284" i="25" s="1"/>
  <c r="AO143" i="25"/>
  <c r="AO270" i="25"/>
  <c r="U262" i="25"/>
  <c r="AO254" i="25"/>
  <c r="U192" i="25"/>
  <c r="U144" i="25"/>
  <c r="AD95" i="25"/>
  <c r="AE95" i="25" s="1"/>
  <c r="W95" i="25"/>
  <c r="Z95" i="25" s="1"/>
  <c r="AA95" i="25" s="1"/>
  <c r="AB95" i="25" s="1"/>
  <c r="V62" i="25"/>
  <c r="U62" i="25"/>
  <c r="W90" i="25"/>
  <c r="Z90" i="25" s="1"/>
  <c r="AA90" i="25" s="1"/>
  <c r="AB90" i="25" s="1"/>
  <c r="AD90" i="25"/>
  <c r="AE90" i="25" s="1"/>
  <c r="U313" i="25"/>
  <c r="U298" i="25"/>
  <c r="W315" i="25"/>
  <c r="Z315" i="25" s="1"/>
  <c r="AA315" i="25" s="1"/>
  <c r="AD315" i="25"/>
  <c r="AE315" i="25" s="1"/>
  <c r="V315" i="25"/>
  <c r="U315" i="25"/>
  <c r="U282" i="25"/>
  <c r="AD288" i="25"/>
  <c r="AE288" i="25" s="1"/>
  <c r="W288" i="25"/>
  <c r="Z288" i="25" s="1"/>
  <c r="AA288" i="25" s="1"/>
  <c r="AB288" i="25" s="1"/>
  <c r="AO288" i="25"/>
  <c r="AO200" i="25"/>
  <c r="U236" i="25"/>
  <c r="V236" i="25"/>
  <c r="AD300" i="25"/>
  <c r="AE300" i="25" s="1"/>
  <c r="W300" i="25"/>
  <c r="Z300" i="25" s="1"/>
  <c r="AA300" i="25" s="1"/>
  <c r="AB300" i="25" s="1"/>
  <c r="AO300" i="25"/>
  <c r="AO179" i="25"/>
  <c r="AO147" i="25"/>
  <c r="U265" i="25"/>
  <c r="AO257" i="25"/>
  <c r="U231" i="25"/>
  <c r="V231" i="25"/>
  <c r="U198" i="25"/>
  <c r="U166" i="25"/>
  <c r="U134" i="25"/>
  <c r="U193" i="25"/>
  <c r="U177" i="25"/>
  <c r="U161" i="25"/>
  <c r="U145" i="25"/>
  <c r="U129" i="25"/>
  <c r="AD119" i="25"/>
  <c r="AE119" i="25" s="1"/>
  <c r="AO119" i="25"/>
  <c r="V104" i="25"/>
  <c r="U104" i="25"/>
  <c r="V100" i="25"/>
  <c r="U100" i="25"/>
  <c r="V96" i="25"/>
  <c r="U96" i="25"/>
  <c r="V92" i="25"/>
  <c r="U92" i="25"/>
  <c r="U229" i="25"/>
  <c r="AO221" i="25"/>
  <c r="AO118" i="25"/>
  <c r="AO67" i="25"/>
  <c r="AO51" i="25"/>
  <c r="AO31" i="25"/>
  <c r="V31" i="25"/>
  <c r="U31" i="25"/>
  <c r="AO15" i="25"/>
  <c r="V85" i="25"/>
  <c r="U85" i="25"/>
  <c r="V61" i="25"/>
  <c r="U61" i="25"/>
  <c r="V29" i="25"/>
  <c r="U29" i="25"/>
  <c r="U304" i="25"/>
  <c r="AD294" i="25"/>
  <c r="AE294" i="25" s="1"/>
  <c r="W294" i="25"/>
  <c r="Z294" i="25" s="1"/>
  <c r="AA294" i="25" s="1"/>
  <c r="AB294" i="25" s="1"/>
  <c r="AO294" i="25"/>
  <c r="AO314" i="25"/>
  <c r="U273" i="25"/>
  <c r="AO278" i="25"/>
  <c r="U235" i="25"/>
  <c r="U210" i="25"/>
  <c r="U191" i="25"/>
  <c r="U159" i="25"/>
  <c r="AO262" i="25"/>
  <c r="U238" i="25"/>
  <c r="AD227" i="25"/>
  <c r="AE227" i="25" s="1"/>
  <c r="W227" i="25"/>
  <c r="Z227" i="25" s="1"/>
  <c r="AA227" i="25" s="1"/>
  <c r="AO227" i="25"/>
  <c r="AO194" i="25"/>
  <c r="AO162" i="25"/>
  <c r="AO192" i="25"/>
  <c r="AO160" i="25"/>
  <c r="AD99" i="25"/>
  <c r="AE99" i="25" s="1"/>
  <c r="W99" i="25"/>
  <c r="Z99" i="25" s="1"/>
  <c r="AA99" i="25" s="1"/>
  <c r="AB99" i="25" s="1"/>
  <c r="AD91" i="25"/>
  <c r="AE91" i="25" s="1"/>
  <c r="W91" i="25"/>
  <c r="Z91" i="25" s="1"/>
  <c r="AA91" i="25" s="1"/>
  <c r="AB91" i="25" s="1"/>
  <c r="V57" i="25"/>
  <c r="U57" i="25"/>
  <c r="V64" i="25"/>
  <c r="U64" i="25"/>
  <c r="AO293" i="25"/>
  <c r="W280" i="25"/>
  <c r="Z280" i="25" s="1"/>
  <c r="AA280" i="25" s="1"/>
  <c r="AB280" i="25" s="1"/>
  <c r="AD280" i="25"/>
  <c r="AE280" i="25" s="1"/>
  <c r="U181" i="25"/>
  <c r="U149" i="25"/>
  <c r="U117" i="25"/>
  <c r="AD60" i="25"/>
  <c r="AE60" i="25" s="1"/>
  <c r="W60" i="25"/>
  <c r="Z60" i="25" s="1"/>
  <c r="AA60" i="25" s="1"/>
  <c r="AB60" i="25" s="1"/>
  <c r="W24" i="25"/>
  <c r="Z24" i="25" s="1"/>
  <c r="AA24" i="25" s="1"/>
  <c r="AB24" i="25" s="1"/>
  <c r="AD24" i="25"/>
  <c r="AE24" i="25" s="1"/>
  <c r="AO285" i="25"/>
  <c r="U188" i="25"/>
  <c r="AD75" i="25"/>
  <c r="AE75" i="25" s="1"/>
  <c r="W75" i="25"/>
  <c r="Z75" i="25" s="1"/>
  <c r="AA75" i="25" s="1"/>
  <c r="AB75" i="25" s="1"/>
  <c r="AD305" i="25"/>
  <c r="AE305" i="25" s="1"/>
  <c r="W305" i="25"/>
  <c r="Z305" i="25" s="1"/>
  <c r="AA305" i="25" s="1"/>
  <c r="AO315" i="25"/>
  <c r="U288" i="25"/>
  <c r="V288" i="25"/>
  <c r="AO255" i="25"/>
  <c r="AD222" i="25"/>
  <c r="AE222" i="25" s="1"/>
  <c r="W222" i="25"/>
  <c r="Z222" i="25" s="1"/>
  <c r="AA222" i="25" s="1"/>
  <c r="AB222" i="25" s="1"/>
  <c r="U195" i="25"/>
  <c r="U163" i="25"/>
  <c r="U131" i="25"/>
  <c r="AO272" i="25"/>
  <c r="U257" i="25"/>
  <c r="AO137" i="25"/>
  <c r="V15" i="25"/>
  <c r="U15" i="25"/>
  <c r="W82" i="25"/>
  <c r="Z82" i="25" s="1"/>
  <c r="AA82" i="25" s="1"/>
  <c r="AB82" i="25" s="1"/>
  <c r="AD82" i="25"/>
  <c r="AE82" i="25" s="1"/>
  <c r="AO66" i="25"/>
  <c r="W52" i="25"/>
  <c r="Z52" i="25" s="1"/>
  <c r="AA52" i="25" s="1"/>
  <c r="AB52" i="25" s="1"/>
  <c r="AD52" i="25"/>
  <c r="AE52" i="25" s="1"/>
  <c r="AD81" i="25"/>
  <c r="AE81" i="25" s="1"/>
  <c r="W81" i="25"/>
  <c r="Z81" i="25" s="1"/>
  <c r="AA81" i="25" s="1"/>
  <c r="AB81" i="25" s="1"/>
  <c r="AD41" i="25"/>
  <c r="AE41" i="25" s="1"/>
  <c r="W41" i="25"/>
  <c r="Z41" i="25" s="1"/>
  <c r="AA41" i="25" s="1"/>
  <c r="AB41" i="25" s="1"/>
  <c r="AO304" i="25"/>
  <c r="AO301" i="25"/>
  <c r="AO264" i="25"/>
  <c r="AO284" i="25"/>
  <c r="AO202" i="25"/>
  <c r="AO175" i="25"/>
  <c r="U194" i="25"/>
  <c r="AO130" i="25"/>
  <c r="U160" i="25"/>
  <c r="U128" i="25"/>
  <c r="V103" i="25"/>
  <c r="U103" i="25"/>
  <c r="AO63" i="25"/>
  <c r="V77" i="25"/>
  <c r="U77" i="25"/>
  <c r="AO290" i="25"/>
  <c r="U223" i="25"/>
  <c r="V223" i="25"/>
  <c r="V94" i="25"/>
  <c r="U94" i="25"/>
  <c r="W9" i="25"/>
  <c r="Z9" i="25" s="1"/>
  <c r="AA9" i="25" s="1"/>
  <c r="AB9" i="25" s="1"/>
  <c r="AD9" i="25"/>
  <c r="AE9" i="25" s="1"/>
  <c r="U316" i="25"/>
  <c r="V305" i="25"/>
  <c r="U305" i="25"/>
  <c r="AO313" i="25"/>
  <c r="U291" i="25"/>
  <c r="V291" i="25"/>
  <c r="W277" i="25"/>
  <c r="Z277" i="25" s="1"/>
  <c r="AA277" i="25" s="1"/>
  <c r="AB277" i="25" s="1"/>
  <c r="AD277" i="25"/>
  <c r="AE277" i="25" s="1"/>
  <c r="U255" i="25"/>
  <c r="AD239" i="25"/>
  <c r="AE239" i="25" s="1"/>
  <c r="W239" i="25"/>
  <c r="Z239" i="25" s="1"/>
  <c r="AA239" i="25" s="1"/>
  <c r="AO239" i="25"/>
  <c r="U200" i="25"/>
  <c r="U268" i="25"/>
  <c r="V268" i="25"/>
  <c r="AD252" i="25"/>
  <c r="AE252" i="25" s="1"/>
  <c r="W252" i="25"/>
  <c r="Z252" i="25" s="1"/>
  <c r="AA252" i="25" s="1"/>
  <c r="AO252" i="25"/>
  <c r="U222" i="25"/>
  <c r="V222" i="25"/>
  <c r="AO195" i="25"/>
  <c r="AO163" i="25"/>
  <c r="AO131" i="25"/>
  <c r="U272" i="25"/>
  <c r="U249" i="25"/>
  <c r="AD241" i="25"/>
  <c r="AE241" i="25" s="1"/>
  <c r="W241" i="25"/>
  <c r="Z241" i="25" s="1"/>
  <c r="AA241" i="25" s="1"/>
  <c r="AO241" i="25"/>
  <c r="U182" i="25"/>
  <c r="U150" i="25"/>
  <c r="U185" i="25"/>
  <c r="U169" i="25"/>
  <c r="U153" i="25"/>
  <c r="U137" i="25"/>
  <c r="AD104" i="25"/>
  <c r="AE104" i="25" s="1"/>
  <c r="W104" i="25"/>
  <c r="Z104" i="25" s="1"/>
  <c r="AA104" i="25" s="1"/>
  <c r="AB104" i="25" s="1"/>
  <c r="AD100" i="25"/>
  <c r="AE100" i="25" s="1"/>
  <c r="W100" i="25"/>
  <c r="Z100" i="25" s="1"/>
  <c r="AA100" i="25" s="1"/>
  <c r="AB100" i="25" s="1"/>
  <c r="AO100" i="25"/>
  <c r="AD96" i="25"/>
  <c r="AE96" i="25" s="1"/>
  <c r="W96" i="25"/>
  <c r="Z96" i="25" s="1"/>
  <c r="AA96" i="25" s="1"/>
  <c r="AB96" i="25" s="1"/>
  <c r="AD92" i="25"/>
  <c r="AE92" i="25" s="1"/>
  <c r="W92" i="25"/>
  <c r="Z92" i="25" s="1"/>
  <c r="AA92" i="25" s="1"/>
  <c r="AB92" i="25" s="1"/>
  <c r="AO92" i="25"/>
  <c r="AD275" i="25"/>
  <c r="AE275" i="25" s="1"/>
  <c r="W275" i="25"/>
  <c r="Z275" i="25" s="1"/>
  <c r="AA275" i="25" s="1"/>
  <c r="V67" i="25"/>
  <c r="U67" i="25"/>
  <c r="AO61" i="25"/>
  <c r="AO11" i="25"/>
  <c r="AO7" i="25"/>
  <c r="AO82" i="25"/>
  <c r="AO84" i="25"/>
  <c r="AO68" i="25"/>
  <c r="AO52" i="25"/>
  <c r="V32" i="25"/>
  <c r="U32" i="25"/>
  <c r="AO32" i="25"/>
  <c r="V16" i="25"/>
  <c r="U16" i="25"/>
  <c r="AO16" i="25"/>
  <c r="AO81" i="25"/>
  <c r="V81" i="25"/>
  <c r="U81" i="25"/>
  <c r="AO41" i="25"/>
  <c r="V41" i="25"/>
  <c r="U41" i="25"/>
  <c r="AO46" i="25"/>
  <c r="AO26" i="25"/>
  <c r="U312" i="25"/>
  <c r="U314" i="25"/>
  <c r="AD287" i="25"/>
  <c r="AE287" i="25" s="1"/>
  <c r="AO287" i="25"/>
  <c r="AO273" i="25"/>
  <c r="U267" i="25"/>
  <c r="AO251" i="25"/>
  <c r="U264" i="25"/>
  <c r="AO248" i="25"/>
  <c r="AO207" i="25"/>
  <c r="U284" i="25"/>
  <c r="V284" i="25"/>
  <c r="U202" i="25"/>
  <c r="U175" i="25"/>
  <c r="U143" i="25"/>
  <c r="AD289" i="25"/>
  <c r="AE289" i="25" s="1"/>
  <c r="W289" i="25"/>
  <c r="Z289" i="25" s="1"/>
  <c r="AA289" i="25" s="1"/>
  <c r="AO289" i="25"/>
  <c r="U270" i="25"/>
  <c r="U254" i="25"/>
  <c r="AD246" i="25"/>
  <c r="AE246" i="25" s="1"/>
  <c r="W246" i="25"/>
  <c r="Z246" i="25" s="1"/>
  <c r="AA246" i="25" s="1"/>
  <c r="AO246" i="25"/>
  <c r="AO178" i="25"/>
  <c r="U146" i="25"/>
  <c r="U130" i="25"/>
  <c r="AO176" i="25"/>
  <c r="AD103" i="25"/>
  <c r="AE103" i="25" s="1"/>
  <c r="W103" i="25"/>
  <c r="Z103" i="25" s="1"/>
  <c r="AA103" i="25" s="1"/>
  <c r="AB103" i="25" s="1"/>
  <c r="V91" i="25"/>
  <c r="U91" i="25"/>
  <c r="AD293" i="25"/>
  <c r="AE293" i="25" s="1"/>
  <c r="W293" i="25"/>
  <c r="Z293" i="25" s="1"/>
  <c r="AA293" i="25" s="1"/>
  <c r="AB293" i="25" s="1"/>
  <c r="V280" i="25"/>
  <c r="U280" i="25"/>
  <c r="U306" i="25"/>
  <c r="AO219" i="25"/>
  <c r="AD55" i="25"/>
  <c r="AE55" i="25" s="1"/>
  <c r="W55" i="25"/>
  <c r="Z55" i="25" s="1"/>
  <c r="AA55" i="25" s="1"/>
  <c r="AB55" i="25" s="1"/>
  <c r="AO316" i="25"/>
  <c r="AO305" i="25"/>
  <c r="AO291" i="25"/>
  <c r="AO277" i="25"/>
  <c r="AD268" i="25"/>
  <c r="AE268" i="25" s="1"/>
  <c r="W268" i="25"/>
  <c r="Z268" i="25" s="1"/>
  <c r="AA268" i="25" s="1"/>
  <c r="U300" i="25"/>
  <c r="V300" i="25"/>
  <c r="AO222" i="25"/>
  <c r="AO249" i="25"/>
  <c r="AO150" i="25"/>
  <c r="AO169" i="25"/>
  <c r="U119" i="25"/>
  <c r="U118" i="25"/>
  <c r="U116" i="25"/>
  <c r="AD84" i="25"/>
  <c r="AE84" i="25" s="1"/>
  <c r="W84" i="25"/>
  <c r="Z84" i="25" s="1"/>
  <c r="AA84" i="25" s="1"/>
  <c r="AB84" i="25" s="1"/>
  <c r="W32" i="25"/>
  <c r="Z32" i="25" s="1"/>
  <c r="AA32" i="25" s="1"/>
  <c r="AB32" i="25" s="1"/>
  <c r="AD32" i="25"/>
  <c r="AE32" i="25" s="1"/>
  <c r="W46" i="25"/>
  <c r="Z46" i="25" s="1"/>
  <c r="AA46" i="25" s="1"/>
  <c r="AB46" i="25" s="1"/>
  <c r="AD46" i="25"/>
  <c r="AE46" i="25" s="1"/>
  <c r="W26" i="25"/>
  <c r="Z26" i="25" s="1"/>
  <c r="AA26" i="25" s="1"/>
  <c r="AB26" i="25" s="1"/>
  <c r="AD26" i="25"/>
  <c r="AE26" i="25" s="1"/>
  <c r="V309" i="25"/>
  <c r="U309" i="25"/>
  <c r="U278" i="25"/>
  <c r="U227" i="25"/>
  <c r="V227" i="25"/>
  <c r="U162" i="25"/>
  <c r="U184" i="25"/>
  <c r="U152" i="25"/>
  <c r="V136" i="25"/>
  <c r="U136" i="25"/>
  <c r="AO115" i="25"/>
  <c r="U274" i="25"/>
  <c r="AO139" i="25"/>
  <c r="V102" i="25"/>
  <c r="U102" i="25"/>
  <c r="AD49" i="25"/>
  <c r="AE49" i="25" s="1"/>
  <c r="W49" i="25"/>
  <c r="Z49" i="25" s="1"/>
  <c r="AA49" i="25" s="1"/>
  <c r="AB49" i="25" s="1"/>
  <c r="W54" i="25"/>
  <c r="Z54" i="25" s="1"/>
  <c r="AA54" i="25" s="1"/>
  <c r="AB54" i="25" s="1"/>
  <c r="AD54" i="25"/>
  <c r="AE54" i="25" s="1"/>
  <c r="AO298" i="25"/>
  <c r="V277" i="25"/>
  <c r="U277" i="25"/>
  <c r="AO282" i="25"/>
  <c r="U239" i="25"/>
  <c r="V239" i="25"/>
  <c r="U252" i="25"/>
  <c r="V252" i="25"/>
  <c r="AD236" i="25"/>
  <c r="AE236" i="25" s="1"/>
  <c r="W236" i="25"/>
  <c r="Z236" i="25" s="1"/>
  <c r="AA236" i="25" s="1"/>
  <c r="AO236" i="25"/>
  <c r="AO205" i="25"/>
  <c r="U179" i="25"/>
  <c r="U147" i="25"/>
  <c r="AO265" i="25"/>
  <c r="U241" i="25"/>
  <c r="V241" i="25"/>
  <c r="AD231" i="25"/>
  <c r="AE231" i="25" s="1"/>
  <c r="W231" i="25"/>
  <c r="Z231" i="25" s="1"/>
  <c r="AA231" i="25" s="1"/>
  <c r="AO231" i="25"/>
  <c r="AO198" i="25"/>
  <c r="AO166" i="25"/>
  <c r="AO134" i="25"/>
  <c r="AO193" i="25"/>
  <c r="AO177" i="25"/>
  <c r="AO161" i="25"/>
  <c r="AO145" i="25"/>
  <c r="AO129" i="25"/>
  <c r="AO104" i="25"/>
  <c r="AO96" i="25"/>
  <c r="V275" i="25"/>
  <c r="U275" i="25"/>
  <c r="AO229" i="25"/>
  <c r="W83" i="25"/>
  <c r="Z83" i="25" s="1"/>
  <c r="AA83" i="25" s="1"/>
  <c r="AB83" i="25" s="1"/>
  <c r="AD83" i="25"/>
  <c r="AE83" i="25" s="1"/>
  <c r="V83" i="25"/>
  <c r="U83" i="25"/>
  <c r="AD67" i="25"/>
  <c r="AE67" i="25" s="1"/>
  <c r="W67" i="25"/>
  <c r="Z67" i="25" s="1"/>
  <c r="AA67" i="25" s="1"/>
  <c r="AB67" i="25" s="1"/>
  <c r="W51" i="25"/>
  <c r="Z51" i="25" s="1"/>
  <c r="AA51" i="25" s="1"/>
  <c r="AB51" i="25" s="1"/>
  <c r="AD51" i="25"/>
  <c r="AE51" i="25" s="1"/>
  <c r="V51" i="25"/>
  <c r="U51" i="25"/>
  <c r="W31" i="25"/>
  <c r="Z31" i="25" s="1"/>
  <c r="AA31" i="25" s="1"/>
  <c r="AB31" i="25" s="1"/>
  <c r="AD31" i="25"/>
  <c r="AE31" i="25" s="1"/>
  <c r="AD15" i="25"/>
  <c r="AE15" i="25" s="1"/>
  <c r="W15" i="25"/>
  <c r="Z15" i="25" s="1"/>
  <c r="AA15" i="25" s="1"/>
  <c r="AB15" i="25" s="1"/>
  <c r="AD85" i="25"/>
  <c r="AE85" i="25" s="1"/>
  <c r="W85" i="25"/>
  <c r="Z85" i="25" s="1"/>
  <c r="AA85" i="25" s="1"/>
  <c r="AB85" i="25" s="1"/>
  <c r="AD61" i="25"/>
  <c r="AE61" i="25" s="1"/>
  <c r="W61" i="25"/>
  <c r="Z61" i="25" s="1"/>
  <c r="AA61" i="25" s="1"/>
  <c r="AB61" i="25" s="1"/>
  <c r="AD29" i="25"/>
  <c r="AE29" i="25" s="1"/>
  <c r="W29" i="25"/>
  <c r="Z29" i="25" s="1"/>
  <c r="AA29" i="25" s="1"/>
  <c r="AB29" i="25" s="1"/>
  <c r="W11" i="25"/>
  <c r="Z11" i="25" s="1"/>
  <c r="AA11" i="25" s="1"/>
  <c r="AB11" i="25" s="1"/>
  <c r="AD11" i="25"/>
  <c r="AE11" i="25" s="1"/>
  <c r="U11" i="25"/>
  <c r="V11" i="25"/>
  <c r="W7" i="25"/>
  <c r="Z7" i="25" s="1"/>
  <c r="AA7" i="25" s="1"/>
  <c r="AB7" i="25" s="1"/>
  <c r="AD7" i="25"/>
  <c r="AE7" i="25" s="1"/>
  <c r="U7" i="25"/>
  <c r="V7" i="25"/>
  <c r="AO116" i="25"/>
  <c r="V82" i="25"/>
  <c r="U82" i="25"/>
  <c r="V66" i="25"/>
  <c r="U66" i="25"/>
  <c r="V84" i="25"/>
  <c r="U84" i="25"/>
  <c r="V68" i="25"/>
  <c r="U68" i="25"/>
  <c r="V52" i="25"/>
  <c r="U52" i="25"/>
  <c r="V46" i="25"/>
  <c r="U46" i="25"/>
  <c r="V36" i="25"/>
  <c r="U36" i="25"/>
  <c r="V26" i="25"/>
  <c r="U26" i="25"/>
  <c r="AO312" i="25"/>
  <c r="AD309" i="25"/>
  <c r="AE309" i="25" s="1"/>
  <c r="W309" i="25"/>
  <c r="Z309" i="25" s="1"/>
  <c r="AA309" i="25" s="1"/>
  <c r="AO309" i="25"/>
  <c r="U287" i="25"/>
  <c r="U251" i="25"/>
  <c r="AO235" i="25"/>
  <c r="U248" i="25"/>
  <c r="U207" i="25"/>
  <c r="AO210" i="25"/>
  <c r="AO191" i="25"/>
  <c r="AO159" i="25"/>
  <c r="U289" i="25"/>
  <c r="V289" i="25"/>
  <c r="U246" i="25"/>
  <c r="V246" i="25"/>
  <c r="AO238" i="25"/>
  <c r="U178" i="25"/>
  <c r="U176" i="25"/>
  <c r="U168" i="25"/>
  <c r="W136" i="25"/>
  <c r="Z136" i="25" s="1"/>
  <c r="AA136" i="25" s="1"/>
  <c r="AD136" i="25"/>
  <c r="AE136" i="25" s="1"/>
  <c r="V99" i="25"/>
  <c r="U99" i="25"/>
  <c r="V95" i="25"/>
  <c r="U95" i="25"/>
  <c r="V25" i="25"/>
  <c r="U25" i="25"/>
  <c r="AO263" i="25"/>
  <c r="U174" i="25"/>
  <c r="W38" i="25"/>
  <c r="Z38" i="25" s="1"/>
  <c r="AA38" i="25" s="1"/>
  <c r="AB38" i="25" s="1"/>
  <c r="AD38" i="25"/>
  <c r="AE38" i="25" s="1"/>
  <c r="V18" i="25"/>
  <c r="U18" i="25"/>
  <c r="AD226" i="25"/>
  <c r="AE226" i="25" s="1"/>
  <c r="W226" i="25"/>
  <c r="Z226" i="25" s="1"/>
  <c r="AA226" i="25" s="1"/>
  <c r="AB226" i="25" s="1"/>
  <c r="V199" i="25"/>
  <c r="U199" i="25"/>
  <c r="U151" i="25"/>
  <c r="AD73" i="25"/>
  <c r="AE73" i="25" s="1"/>
  <c r="W73" i="25"/>
  <c r="Z73" i="25" s="1"/>
  <c r="AA73" i="25" s="1"/>
  <c r="AB73" i="25" s="1"/>
  <c r="AO146" i="25"/>
  <c r="AO184" i="25"/>
  <c r="AO168" i="25"/>
  <c r="AO152" i="25"/>
  <c r="AO136" i="25"/>
  <c r="U115" i="25"/>
  <c r="AO103" i="25"/>
  <c r="AO99" i="25"/>
  <c r="AO95" i="25"/>
  <c r="AO91" i="25"/>
  <c r="AO271" i="25"/>
  <c r="U220" i="25"/>
  <c r="V220" i="25"/>
  <c r="U114" i="25"/>
  <c r="U125" i="25"/>
  <c r="AD77" i="25"/>
  <c r="AE77" i="25" s="1"/>
  <c r="W77" i="25"/>
  <c r="Z77" i="25" s="1"/>
  <c r="AA77" i="25" s="1"/>
  <c r="AB77" i="25" s="1"/>
  <c r="AD57" i="25"/>
  <c r="AE57" i="25" s="1"/>
  <c r="W57" i="25"/>
  <c r="Z57" i="25" s="1"/>
  <c r="AA57" i="25" s="1"/>
  <c r="AB57" i="25" s="1"/>
  <c r="AD25" i="25"/>
  <c r="AE25" i="25" s="1"/>
  <c r="W25" i="25"/>
  <c r="Z25" i="25" s="1"/>
  <c r="AA25" i="25" s="1"/>
  <c r="AB25" i="25" s="1"/>
  <c r="W10" i="25"/>
  <c r="Z10" i="25" s="1"/>
  <c r="AA10" i="25" s="1"/>
  <c r="AB10" i="25" s="1"/>
  <c r="AD10" i="25"/>
  <c r="AE10" i="25" s="1"/>
  <c r="U10" i="25"/>
  <c r="V10" i="25"/>
  <c r="W6" i="25"/>
  <c r="Z6" i="25" s="1"/>
  <c r="AA6" i="25" s="1"/>
  <c r="AB6" i="25" s="1"/>
  <c r="AD6" i="25"/>
  <c r="AE6" i="25" s="1"/>
  <c r="AD112" i="25"/>
  <c r="AE112" i="25" s="1"/>
  <c r="W112" i="25"/>
  <c r="Z112" i="25" s="1"/>
  <c r="AA112" i="25" s="1"/>
  <c r="AO112" i="25"/>
  <c r="V78" i="25"/>
  <c r="U78" i="25"/>
  <c r="V80" i="25"/>
  <c r="U80" i="25"/>
  <c r="V42" i="25"/>
  <c r="U42" i="25"/>
  <c r="V35" i="25"/>
  <c r="U35" i="25"/>
  <c r="V22" i="25"/>
  <c r="U22" i="25"/>
  <c r="U308" i="25"/>
  <c r="U303" i="25"/>
  <c r="AD307" i="25"/>
  <c r="AE307" i="25" s="1"/>
  <c r="W307" i="25"/>
  <c r="Z307" i="25" s="1"/>
  <c r="AA307" i="25" s="1"/>
  <c r="U283" i="25"/>
  <c r="V283" i="25"/>
  <c r="AO274" i="25"/>
  <c r="AO208" i="25"/>
  <c r="U244" i="25"/>
  <c r="U203" i="25"/>
  <c r="AO209" i="25"/>
  <c r="U139" i="25"/>
  <c r="AO280" i="25"/>
  <c r="U245" i="25"/>
  <c r="V245" i="25"/>
  <c r="AD223" i="25"/>
  <c r="AE223" i="25" s="1"/>
  <c r="W223" i="25"/>
  <c r="Z223" i="25" s="1"/>
  <c r="AA223" i="25" s="1"/>
  <c r="AO223" i="25"/>
  <c r="AO174" i="25"/>
  <c r="AO181" i="25"/>
  <c r="AO149" i="25"/>
  <c r="U233" i="25"/>
  <c r="V233" i="25"/>
  <c r="U126" i="25"/>
  <c r="AO59" i="25"/>
  <c r="AO117" i="25"/>
  <c r="U9" i="25"/>
  <c r="V9" i="25"/>
  <c r="V54" i="25"/>
  <c r="U54" i="25"/>
  <c r="AO53" i="25"/>
  <c r="U317" i="25"/>
  <c r="V302" i="25"/>
  <c r="U302" i="25"/>
  <c r="U286" i="25"/>
  <c r="AD310" i="25"/>
  <c r="AE310" i="25" s="1"/>
  <c r="W310" i="25"/>
  <c r="Z310" i="25" s="1"/>
  <c r="AA310" i="25" s="1"/>
  <c r="AB310" i="25" s="1"/>
  <c r="U226" i="25"/>
  <c r="V226" i="25"/>
  <c r="AD258" i="25"/>
  <c r="AE258" i="25" s="1"/>
  <c r="W258" i="25"/>
  <c r="Z258" i="25" s="1"/>
  <c r="AA258" i="25" s="1"/>
  <c r="AB258" i="25" s="1"/>
  <c r="AO242" i="25"/>
  <c r="U224" i="25"/>
  <c r="AD89" i="25"/>
  <c r="AE89" i="25" s="1"/>
  <c r="W89" i="25"/>
  <c r="Z89" i="25" s="1"/>
  <c r="AA89" i="25" s="1"/>
  <c r="AB89" i="25" s="1"/>
  <c r="AO37" i="25"/>
  <c r="W14" i="25"/>
  <c r="Z14" i="25" s="1"/>
  <c r="AA14" i="25" s="1"/>
  <c r="AB14" i="25" s="1"/>
  <c r="AD14" i="25"/>
  <c r="AE14" i="25" s="1"/>
  <c r="U141" i="25"/>
  <c r="AD98" i="25"/>
  <c r="AE98" i="25" s="1"/>
  <c r="W98" i="25"/>
  <c r="Z98" i="25" s="1"/>
  <c r="AA98" i="25" s="1"/>
  <c r="AB98" i="25" s="1"/>
  <c r="AO124" i="25"/>
  <c r="AO144" i="25"/>
  <c r="AO128" i="25"/>
  <c r="U271" i="25"/>
  <c r="AO228" i="25"/>
  <c r="AD79" i="25"/>
  <c r="AE79" i="25" s="1"/>
  <c r="W79" i="25"/>
  <c r="Z79" i="25" s="1"/>
  <c r="AA79" i="25" s="1"/>
  <c r="AB79" i="25" s="1"/>
  <c r="AO79" i="25"/>
  <c r="W63" i="25"/>
  <c r="Z63" i="25" s="1"/>
  <c r="AA63" i="25" s="1"/>
  <c r="AB63" i="25" s="1"/>
  <c r="AD63" i="25"/>
  <c r="AE63" i="25" s="1"/>
  <c r="V63" i="25"/>
  <c r="U63" i="25"/>
  <c r="W47" i="25"/>
  <c r="Z47" i="25" s="1"/>
  <c r="AA47" i="25" s="1"/>
  <c r="AB47" i="25" s="1"/>
  <c r="AD47" i="25"/>
  <c r="AE47" i="25" s="1"/>
  <c r="V47" i="25"/>
  <c r="U47" i="25"/>
  <c r="W27" i="25"/>
  <c r="Z27" i="25" s="1"/>
  <c r="AA27" i="25" s="1"/>
  <c r="AB27" i="25" s="1"/>
  <c r="AD27" i="25"/>
  <c r="AE27" i="25" s="1"/>
  <c r="V27" i="25"/>
  <c r="U27" i="25"/>
  <c r="AO77" i="25"/>
  <c r="AO57" i="25"/>
  <c r="AO25" i="25"/>
  <c r="AO6" i="25"/>
  <c r="V112" i="25"/>
  <c r="U112" i="25"/>
  <c r="W78" i="25"/>
  <c r="Z78" i="25" s="1"/>
  <c r="AA78" i="25" s="1"/>
  <c r="AB78" i="25" s="1"/>
  <c r="AD78" i="25"/>
  <c r="AE78" i="25" s="1"/>
  <c r="W62" i="25"/>
  <c r="Z62" i="25" s="1"/>
  <c r="AA62" i="25" s="1"/>
  <c r="AB62" i="25" s="1"/>
  <c r="AD62" i="25"/>
  <c r="AE62" i="25" s="1"/>
  <c r="W80" i="25"/>
  <c r="Z80" i="25" s="1"/>
  <c r="AA80" i="25" s="1"/>
  <c r="AB80" i="25" s="1"/>
  <c r="AD80" i="25"/>
  <c r="AE80" i="25" s="1"/>
  <c r="W64" i="25"/>
  <c r="Z64" i="25" s="1"/>
  <c r="AA64" i="25" s="1"/>
  <c r="AB64" i="25" s="1"/>
  <c r="AD64" i="25"/>
  <c r="AE64" i="25" s="1"/>
  <c r="W48" i="25"/>
  <c r="Z48" i="25" s="1"/>
  <c r="AA48" i="25" s="1"/>
  <c r="AB48" i="25" s="1"/>
  <c r="AD48" i="25"/>
  <c r="AE48" i="25" s="1"/>
  <c r="V48" i="25"/>
  <c r="U48" i="25"/>
  <c r="AD28" i="25"/>
  <c r="AE28" i="25" s="1"/>
  <c r="W28" i="25"/>
  <c r="Z28" i="25" s="1"/>
  <c r="AA28" i="25" s="1"/>
  <c r="AB28" i="25" s="1"/>
  <c r="W12" i="25"/>
  <c r="Z12" i="25" s="1"/>
  <c r="AA12" i="25" s="1"/>
  <c r="AB12" i="25" s="1"/>
  <c r="AD12" i="25"/>
  <c r="AE12" i="25" s="1"/>
  <c r="AD69" i="25"/>
  <c r="AE69" i="25" s="1"/>
  <c r="W69" i="25"/>
  <c r="Z69" i="25" s="1"/>
  <c r="AA69" i="25" s="1"/>
  <c r="AB69" i="25" s="1"/>
  <c r="AD21" i="25"/>
  <c r="AE21" i="25" s="1"/>
  <c r="W21" i="25"/>
  <c r="Z21" i="25" s="1"/>
  <c r="AA21" i="25" s="1"/>
  <c r="AB21" i="25" s="1"/>
  <c r="W42" i="25"/>
  <c r="Z42" i="25" s="1"/>
  <c r="AA42" i="25" s="1"/>
  <c r="AB42" i="25" s="1"/>
  <c r="AD42" i="25"/>
  <c r="AE42" i="25" s="1"/>
  <c r="W35" i="25"/>
  <c r="Z35" i="25" s="1"/>
  <c r="AA35" i="25" s="1"/>
  <c r="AB35" i="25" s="1"/>
  <c r="AD35" i="25"/>
  <c r="AE35" i="25" s="1"/>
  <c r="AO35" i="25"/>
  <c r="W22" i="25"/>
  <c r="Z22" i="25" s="1"/>
  <c r="AA22" i="25" s="1"/>
  <c r="AB22" i="25" s="1"/>
  <c r="AD22" i="25"/>
  <c r="AE22" i="25" s="1"/>
  <c r="V307" i="25"/>
  <c r="U307" i="25"/>
  <c r="AO307" i="25"/>
  <c r="U290" i="25"/>
  <c r="AD299" i="25"/>
  <c r="AE299" i="25" s="1"/>
  <c r="W299" i="25"/>
  <c r="Z299" i="25" s="1"/>
  <c r="AA299" i="25" s="1"/>
  <c r="AO299" i="25"/>
  <c r="U263" i="25"/>
  <c r="AO247" i="25"/>
  <c r="U208" i="25"/>
  <c r="U293" i="25"/>
  <c r="V293" i="25"/>
  <c r="AO260" i="25"/>
  <c r="AO230" i="25"/>
  <c r="U209" i="25"/>
  <c r="U171" i="25"/>
  <c r="AO261" i="25"/>
  <c r="AO142" i="25"/>
  <c r="AO189" i="25"/>
  <c r="AO165" i="25"/>
  <c r="AO127" i="25"/>
  <c r="AO297" i="25"/>
  <c r="V49" i="25"/>
  <c r="U49" i="25"/>
  <c r="AO90" i="25"/>
  <c r="V60" i="25"/>
  <c r="U60" i="25"/>
  <c r="AO60" i="25"/>
  <c r="V24" i="25"/>
  <c r="U24" i="25"/>
  <c r="AO24" i="25"/>
  <c r="AO38" i="25"/>
  <c r="AO306" i="25"/>
  <c r="AO317" i="25"/>
  <c r="AO259" i="25"/>
  <c r="U206" i="25"/>
  <c r="W276" i="25"/>
  <c r="Z276" i="25" s="1"/>
  <c r="AA276" i="25" s="1"/>
  <c r="AB276" i="25" s="1"/>
  <c r="AD276" i="25"/>
  <c r="AE276" i="25" s="1"/>
  <c r="U234" i="25"/>
  <c r="V39" i="25"/>
  <c r="U39" i="25"/>
  <c r="V70" i="25"/>
  <c r="U70" i="25"/>
  <c r="W40" i="25"/>
  <c r="Z40" i="25" s="1"/>
  <c r="AA40" i="25" s="1"/>
  <c r="AB40" i="25" s="1"/>
  <c r="AD40" i="25"/>
  <c r="AE40" i="25" s="1"/>
  <c r="V43" i="25"/>
  <c r="U43" i="25"/>
  <c r="W44" i="25"/>
  <c r="Z44" i="25" s="1"/>
  <c r="AA44" i="25" s="1"/>
  <c r="AB44" i="25" s="1"/>
  <c r="AD44" i="25"/>
  <c r="AE44" i="25" s="1"/>
  <c r="U228" i="25"/>
  <c r="AD220" i="25"/>
  <c r="AE220" i="25" s="1"/>
  <c r="W220" i="25"/>
  <c r="Z220" i="25" s="1"/>
  <c r="AA220" i="25" s="1"/>
  <c r="AO220" i="25"/>
  <c r="AO114" i="25"/>
  <c r="V79" i="25"/>
  <c r="U79" i="25"/>
  <c r="AO47" i="25"/>
  <c r="AO27" i="25"/>
  <c r="AO125" i="25"/>
  <c r="AO10" i="25"/>
  <c r="U6" i="25"/>
  <c r="V6" i="25"/>
  <c r="AO78" i="25"/>
  <c r="AO62" i="25"/>
  <c r="AO80" i="25"/>
  <c r="AO64" i="25"/>
  <c r="AO48" i="25"/>
  <c r="V28" i="25"/>
  <c r="U28" i="25"/>
  <c r="AO28" i="25"/>
  <c r="V12" i="25"/>
  <c r="U12" i="25"/>
  <c r="AO12" i="25"/>
  <c r="AO69" i="25"/>
  <c r="V69" i="25"/>
  <c r="U69" i="25"/>
  <c r="AO21" i="25"/>
  <c r="V21" i="25"/>
  <c r="U21" i="25"/>
  <c r="AO42" i="25"/>
  <c r="AO22" i="25"/>
  <c r="AO308" i="25"/>
  <c r="AO303" i="25"/>
  <c r="U299" i="25"/>
  <c r="V299" i="25"/>
  <c r="AD283" i="25"/>
  <c r="AE283" i="25" s="1"/>
  <c r="W283" i="25"/>
  <c r="Z283" i="25" s="1"/>
  <c r="AA283" i="25" s="1"/>
  <c r="AO283" i="25"/>
  <c r="U247" i="25"/>
  <c r="U260" i="25"/>
  <c r="AO244" i="25"/>
  <c r="AO203" i="25"/>
  <c r="U230" i="25"/>
  <c r="AO171" i="25"/>
  <c r="U261" i="25"/>
  <c r="AD245" i="25"/>
  <c r="AE245" i="25" s="1"/>
  <c r="W245" i="25"/>
  <c r="Z245" i="25" s="1"/>
  <c r="AA245" i="25" s="1"/>
  <c r="AO245" i="25"/>
  <c r="U142" i="25"/>
  <c r="U189" i="25"/>
  <c r="U165" i="25"/>
  <c r="U127" i="25"/>
  <c r="AD102" i="25"/>
  <c r="AE102" i="25" s="1"/>
  <c r="W102" i="25"/>
  <c r="Z102" i="25" s="1"/>
  <c r="AA102" i="25" s="1"/>
  <c r="AB102" i="25" s="1"/>
  <c r="AO102" i="25"/>
  <c r="AD94" i="25"/>
  <c r="AE94" i="25" s="1"/>
  <c r="W94" i="25"/>
  <c r="Z94" i="25" s="1"/>
  <c r="AA94" i="25" s="1"/>
  <c r="AB94" i="25" s="1"/>
  <c r="AO94" i="25"/>
  <c r="AD233" i="25"/>
  <c r="AE233" i="25" s="1"/>
  <c r="W233" i="25"/>
  <c r="Z233" i="25" s="1"/>
  <c r="AA233" i="25" s="1"/>
  <c r="AO233" i="25"/>
  <c r="AO126" i="25"/>
  <c r="U297" i="25"/>
  <c r="W59" i="25"/>
  <c r="Z59" i="25" s="1"/>
  <c r="AA59" i="25" s="1"/>
  <c r="AB59" i="25" s="1"/>
  <c r="AD59" i="25"/>
  <c r="AE59" i="25" s="1"/>
  <c r="V59" i="25"/>
  <c r="U59" i="25"/>
  <c r="AO49" i="25"/>
  <c r="AO9" i="25"/>
  <c r="V90" i="25"/>
  <c r="U90" i="25"/>
  <c r="AO54" i="25"/>
  <c r="AD53" i="25"/>
  <c r="AE53" i="25" s="1"/>
  <c r="W53" i="25"/>
  <c r="Z53" i="25" s="1"/>
  <c r="AA53" i="25" s="1"/>
  <c r="AB53" i="25" s="1"/>
  <c r="V53" i="25"/>
  <c r="U53" i="25"/>
  <c r="W18" i="25"/>
  <c r="Z18" i="25" s="1"/>
  <c r="AA18" i="25" s="1"/>
  <c r="AB18" i="25" s="1"/>
  <c r="AD18" i="25"/>
  <c r="AE18" i="25" s="1"/>
  <c r="AO18" i="25"/>
  <c r="U295" i="25"/>
  <c r="V295" i="25"/>
  <c r="AO281" i="25"/>
  <c r="AD285" i="25"/>
  <c r="AE285" i="25" s="1"/>
  <c r="W285" i="25"/>
  <c r="Z285" i="25" s="1"/>
  <c r="AA285" i="25" s="1"/>
  <c r="AB285" i="25" s="1"/>
  <c r="AO154" i="25"/>
  <c r="U156" i="25"/>
  <c r="AD87" i="25"/>
  <c r="AE87" i="25" s="1"/>
  <c r="W87" i="25"/>
  <c r="Z87" i="25" s="1"/>
  <c r="AA87" i="25" s="1"/>
  <c r="AB87" i="25" s="1"/>
  <c r="AD19" i="25"/>
  <c r="AE19" i="25" s="1"/>
  <c r="W19" i="25"/>
  <c r="Z19" i="25" s="1"/>
  <c r="AA19" i="25" s="1"/>
  <c r="AB19" i="25" s="1"/>
  <c r="W50" i="25"/>
  <c r="Z50" i="25" s="1"/>
  <c r="AA50" i="25" s="1"/>
  <c r="AB50" i="25" s="1"/>
  <c r="AD50" i="25"/>
  <c r="AE50" i="25" s="1"/>
  <c r="U237" i="25"/>
  <c r="W74" i="25"/>
  <c r="Z74" i="25" s="1"/>
  <c r="AA74" i="25" s="1"/>
  <c r="AB74" i="25" s="1"/>
  <c r="AD74" i="25"/>
  <c r="AE74" i="25" s="1"/>
  <c r="V34" i="25"/>
  <c r="U34" i="25"/>
  <c r="AO302" i="25"/>
  <c r="AO311" i="25"/>
  <c r="AO243" i="25"/>
  <c r="U204" i="25"/>
  <c r="AO256" i="25"/>
  <c r="AO226" i="25"/>
  <c r="U135" i="25"/>
  <c r="V276" i="25"/>
  <c r="U276" i="25"/>
  <c r="AO258" i="25"/>
  <c r="U250" i="25"/>
  <c r="AO170" i="25"/>
  <c r="U180" i="25"/>
  <c r="U148" i="25"/>
  <c r="U123" i="25"/>
  <c r="AO232" i="25"/>
  <c r="U122" i="25"/>
  <c r="AO87" i="25"/>
  <c r="U113" i="25"/>
  <c r="AD33" i="25"/>
  <c r="AE33" i="25" s="1"/>
  <c r="W33" i="25"/>
  <c r="Z33" i="25" s="1"/>
  <c r="AA33" i="25" s="1"/>
  <c r="AB33" i="25" s="1"/>
  <c r="W70" i="25"/>
  <c r="Z70" i="25" s="1"/>
  <c r="AA70" i="25" s="1"/>
  <c r="AB70" i="25" s="1"/>
  <c r="AD70" i="25"/>
  <c r="AE70" i="25" s="1"/>
  <c r="AD72" i="25"/>
  <c r="AE72" i="25" s="1"/>
  <c r="W72" i="25"/>
  <c r="Z72" i="25" s="1"/>
  <c r="AA72" i="25" s="1"/>
  <c r="AB72" i="25" s="1"/>
  <c r="V37" i="25"/>
  <c r="U37" i="25"/>
  <c r="V30" i="25"/>
  <c r="U30" i="25"/>
  <c r="AO14" i="25"/>
  <c r="U187" i="25"/>
  <c r="U155" i="25"/>
  <c r="AO253" i="25"/>
  <c r="U190" i="25"/>
  <c r="U197" i="25"/>
  <c r="U133" i="25"/>
  <c r="AO111" i="25"/>
  <c r="AO75" i="25"/>
  <c r="W23" i="25"/>
  <c r="Z23" i="25" s="1"/>
  <c r="AA23" i="25" s="1"/>
  <c r="AB23" i="25" s="1"/>
  <c r="AD23" i="25"/>
  <c r="AE23" i="25" s="1"/>
  <c r="U121" i="25"/>
  <c r="W34" i="25"/>
  <c r="Z34" i="25" s="1"/>
  <c r="AA34" i="25" s="1"/>
  <c r="AB34" i="25" s="1"/>
  <c r="AD34" i="25"/>
  <c r="AE34" i="25" s="1"/>
  <c r="AO286" i="25"/>
  <c r="AD295" i="25"/>
  <c r="AE295" i="25" s="1"/>
  <c r="W295" i="25"/>
  <c r="Z295" i="25" s="1"/>
  <c r="AA295" i="25" s="1"/>
  <c r="AO295" i="25"/>
  <c r="AO296" i="25"/>
  <c r="U259" i="25"/>
  <c r="AO204" i="25"/>
  <c r="U285" i="25"/>
  <c r="V285" i="25"/>
  <c r="U240" i="25"/>
  <c r="V240" i="25"/>
  <c r="V310" i="25"/>
  <c r="U310" i="25"/>
  <c r="U167" i="25"/>
  <c r="AO138" i="25"/>
  <c r="U196" i="25"/>
  <c r="U164" i="25"/>
  <c r="U132" i="25"/>
  <c r="AO105" i="25"/>
  <c r="AO101" i="25"/>
  <c r="AO97" i="25"/>
  <c r="AO93" i="25"/>
  <c r="AO279" i="25"/>
  <c r="AD71" i="25"/>
  <c r="AE71" i="25" s="1"/>
  <c r="W71" i="25"/>
  <c r="Z71" i="25" s="1"/>
  <c r="AA71" i="25" s="1"/>
  <c r="AB71" i="25" s="1"/>
  <c r="V55" i="25"/>
  <c r="U55" i="25"/>
  <c r="V19" i="25"/>
  <c r="U19" i="25"/>
  <c r="AD65" i="25"/>
  <c r="AE65" i="25" s="1"/>
  <c r="W65" i="25"/>
  <c r="Z65" i="25" s="1"/>
  <c r="AA65" i="25" s="1"/>
  <c r="AB65" i="25" s="1"/>
  <c r="AD13" i="25"/>
  <c r="AE13" i="25" s="1"/>
  <c r="W13" i="25"/>
  <c r="Z13" i="25" s="1"/>
  <c r="AA13" i="25" s="1"/>
  <c r="AB13" i="25" s="1"/>
  <c r="AO120" i="25"/>
  <c r="W86" i="25"/>
  <c r="Z86" i="25" s="1"/>
  <c r="AA86" i="25" s="1"/>
  <c r="AB86" i="25" s="1"/>
  <c r="AD86" i="25"/>
  <c r="AE86" i="25" s="1"/>
  <c r="W88" i="25"/>
  <c r="Z88" i="25" s="1"/>
  <c r="AA88" i="25" s="1"/>
  <c r="AB88" i="25" s="1"/>
  <c r="AD88" i="25"/>
  <c r="AE88" i="25" s="1"/>
  <c r="W56" i="25"/>
  <c r="Z56" i="25" s="1"/>
  <c r="AA56" i="25" s="1"/>
  <c r="AB56" i="25" s="1"/>
  <c r="AD56" i="25"/>
  <c r="AE56" i="25" s="1"/>
  <c r="V50" i="25"/>
  <c r="U50" i="25"/>
  <c r="AD318" i="25"/>
  <c r="AE318" i="25" s="1"/>
  <c r="W318" i="25"/>
  <c r="Z318" i="25" s="1"/>
  <c r="AA318" i="25" s="1"/>
  <c r="AB318" i="25" s="1"/>
  <c r="AO201" i="25"/>
  <c r="U158" i="25"/>
  <c r="U157" i="25"/>
  <c r="AO292" i="25"/>
  <c r="W43" i="25"/>
  <c r="Z43" i="25" s="1"/>
  <c r="AA43" i="25" s="1"/>
  <c r="AB43" i="25" s="1"/>
  <c r="AD43" i="25"/>
  <c r="AE43" i="25" s="1"/>
  <c r="AO23" i="25"/>
  <c r="AO73" i="25"/>
  <c r="AD17" i="25"/>
  <c r="AE17" i="25" s="1"/>
  <c r="W17" i="25"/>
  <c r="Z17" i="25" s="1"/>
  <c r="AA17" i="25" s="1"/>
  <c r="AB17" i="25" s="1"/>
  <c r="U124" i="25"/>
  <c r="V44" i="25"/>
  <c r="U44" i="25"/>
  <c r="W58" i="25"/>
  <c r="Z58" i="25" s="1"/>
  <c r="AA58" i="25" s="1"/>
  <c r="AB58" i="25" s="1"/>
  <c r="AD58" i="25"/>
  <c r="AE58" i="25" s="1"/>
  <c r="AO34" i="25"/>
  <c r="U296" i="25"/>
  <c r="AD199" i="25"/>
  <c r="AE199" i="25" s="1"/>
  <c r="W199" i="25"/>
  <c r="Z199" i="25" s="1"/>
  <c r="AA199" i="25" s="1"/>
  <c r="AB199" i="25" s="1"/>
  <c r="U183" i="25"/>
  <c r="U266" i="25"/>
  <c r="AD219" i="25"/>
  <c r="AE219" i="25" s="1"/>
  <c r="W219" i="25"/>
  <c r="Z219" i="25" s="1"/>
  <c r="AA219" i="25" s="1"/>
  <c r="AB219" i="25" s="1"/>
  <c r="AO186" i="25"/>
  <c r="U172" i="25"/>
  <c r="U140" i="25"/>
  <c r="U279" i="25"/>
  <c r="AD39" i="25"/>
  <c r="AE39" i="25" s="1"/>
  <c r="W39" i="25"/>
  <c r="Z39" i="25" s="1"/>
  <c r="AA39" i="25" s="1"/>
  <c r="AB39" i="25" s="1"/>
  <c r="AO13" i="25"/>
  <c r="W8" i="25"/>
  <c r="Z8" i="25" s="1"/>
  <c r="AA8" i="25" s="1"/>
  <c r="AB8" i="25" s="1"/>
  <c r="AD8" i="25"/>
  <c r="AE8" i="25" s="1"/>
  <c r="U8" i="25"/>
  <c r="V8" i="25"/>
  <c r="U120" i="25"/>
  <c r="V86" i="25"/>
  <c r="U86" i="25"/>
  <c r="V88" i="25"/>
  <c r="U88" i="25"/>
  <c r="W20" i="25"/>
  <c r="Z20" i="25" s="1"/>
  <c r="AA20" i="25" s="1"/>
  <c r="AB20" i="25" s="1"/>
  <c r="AD20" i="25"/>
  <c r="AE20" i="25" s="1"/>
  <c r="AD45" i="25"/>
  <c r="AE45" i="25" s="1"/>
  <c r="W45" i="25"/>
  <c r="Z45" i="25" s="1"/>
  <c r="AA45" i="25" s="1"/>
  <c r="AB45" i="25" s="1"/>
  <c r="W37" i="25"/>
  <c r="Z37" i="25" s="1"/>
  <c r="AA37" i="25" s="1"/>
  <c r="AB37" i="25" s="1"/>
  <c r="AD37" i="25"/>
  <c r="AE37" i="25" s="1"/>
  <c r="W30" i="25"/>
  <c r="Z30" i="25" s="1"/>
  <c r="AA30" i="25" s="1"/>
  <c r="AB30" i="25" s="1"/>
  <c r="AD30" i="25"/>
  <c r="AE30" i="25" s="1"/>
  <c r="U201" i="25"/>
  <c r="U269" i="25"/>
  <c r="V269" i="25"/>
  <c r="U173" i="25"/>
  <c r="U225" i="25"/>
  <c r="V225" i="25"/>
  <c r="AO17" i="25"/>
  <c r="V74" i="25"/>
  <c r="U74" i="25"/>
  <c r="W76" i="25"/>
  <c r="Z76" i="25" s="1"/>
  <c r="AA76" i="25" s="1"/>
  <c r="AB76" i="25" s="1"/>
  <c r="AD76" i="25"/>
  <c r="AE76" i="25" s="1"/>
  <c r="V58" i="25"/>
  <c r="U58" i="25"/>
  <c r="V38" i="25"/>
  <c r="U38" i="25"/>
  <c r="AD302" i="25"/>
  <c r="AE302" i="25" s="1"/>
  <c r="W302" i="25"/>
  <c r="Z302" i="25" s="1"/>
  <c r="AA302" i="25" s="1"/>
  <c r="U281" i="25"/>
  <c r="U311" i="25"/>
  <c r="U243" i="25"/>
  <c r="U256" i="25"/>
  <c r="AD240" i="25"/>
  <c r="AE240" i="25" s="1"/>
  <c r="W240" i="25"/>
  <c r="Z240" i="25" s="1"/>
  <c r="AA240" i="25" s="1"/>
  <c r="AO240" i="25"/>
  <c r="AO310" i="25"/>
  <c r="AO206" i="25"/>
  <c r="AO183" i="25"/>
  <c r="AO151" i="25"/>
  <c r="AO266" i="25"/>
  <c r="U242" i="25"/>
  <c r="AO234" i="25"/>
  <c r="U170" i="25"/>
  <c r="U138" i="25"/>
  <c r="AO196" i="25"/>
  <c r="AO180" i="25"/>
  <c r="AO164" i="25"/>
  <c r="AO148" i="25"/>
  <c r="AO132" i="25"/>
  <c r="AO123" i="25"/>
  <c r="U232" i="25"/>
  <c r="AO224" i="25"/>
  <c r="AO122" i="25"/>
  <c r="V87" i="25"/>
  <c r="U87" i="25"/>
  <c r="V71" i="25"/>
  <c r="U71" i="25"/>
  <c r="AO55" i="25"/>
  <c r="AO39" i="25"/>
  <c r="AO19" i="25"/>
  <c r="AO113" i="25"/>
  <c r="AO65" i="25"/>
  <c r="AO33" i="25"/>
  <c r="AO8" i="25"/>
  <c r="AO86" i="25"/>
  <c r="AO70" i="25"/>
  <c r="AO88" i="25"/>
  <c r="AO72" i="25"/>
  <c r="AO56" i="25"/>
  <c r="V40" i="25"/>
  <c r="U40" i="25"/>
  <c r="AO40" i="25"/>
  <c r="V20" i="25"/>
  <c r="U20" i="25"/>
  <c r="AO20" i="25"/>
  <c r="AO89" i="25"/>
  <c r="V89" i="25"/>
  <c r="U89" i="25"/>
  <c r="AO45" i="25"/>
  <c r="V45" i="25"/>
  <c r="U45" i="25"/>
  <c r="AO50" i="25"/>
  <c r="AO30" i="25"/>
  <c r="V14" i="25"/>
  <c r="U14" i="25"/>
  <c r="V318" i="25"/>
  <c r="U318" i="25"/>
  <c r="AO187" i="25"/>
  <c r="U253" i="25"/>
  <c r="AO237" i="25"/>
  <c r="AO190" i="25"/>
  <c r="AO173" i="25"/>
  <c r="AO141" i="25"/>
  <c r="U111" i="25"/>
  <c r="V98" i="25"/>
  <c r="U98" i="25"/>
  <c r="V75" i="25"/>
  <c r="U75" i="25"/>
  <c r="V23" i="25"/>
  <c r="U23" i="25"/>
  <c r="V73" i="25"/>
  <c r="U73" i="25"/>
  <c r="V17" i="25"/>
  <c r="U17" i="25"/>
  <c r="V76" i="25"/>
  <c r="U76" i="25"/>
  <c r="AO58" i="25"/>
  <c r="AO199" i="25"/>
  <c r="AO167" i="25"/>
  <c r="AO135" i="25"/>
  <c r="AO276" i="25"/>
  <c r="U258" i="25"/>
  <c r="V258" i="25"/>
  <c r="AO250" i="25"/>
  <c r="U219" i="25"/>
  <c r="V219" i="25"/>
  <c r="U186" i="25"/>
  <c r="U154" i="25"/>
  <c r="AO188" i="25"/>
  <c r="AO172" i="25"/>
  <c r="AO156" i="25"/>
  <c r="AO140" i="25"/>
  <c r="AD105" i="25"/>
  <c r="AE105" i="25" s="1"/>
  <c r="W105" i="25"/>
  <c r="Z105" i="25" s="1"/>
  <c r="AA105" i="25" s="1"/>
  <c r="AB105" i="25" s="1"/>
  <c r="V105" i="25"/>
  <c r="U105" i="25"/>
  <c r="AD101" i="25"/>
  <c r="AE101" i="25" s="1"/>
  <c r="W101" i="25"/>
  <c r="Z101" i="25" s="1"/>
  <c r="AA101" i="25" s="1"/>
  <c r="AB101" i="25" s="1"/>
  <c r="V101" i="25"/>
  <c r="U101" i="25"/>
  <c r="AD97" i="25"/>
  <c r="AE97" i="25" s="1"/>
  <c r="W97" i="25"/>
  <c r="Z97" i="25" s="1"/>
  <c r="AA97" i="25" s="1"/>
  <c r="AB97" i="25" s="1"/>
  <c r="V97" i="25"/>
  <c r="U97" i="25"/>
  <c r="AD93" i="25"/>
  <c r="AE93" i="25" s="1"/>
  <c r="W93" i="25"/>
  <c r="Z93" i="25" s="1"/>
  <c r="AA93" i="25" s="1"/>
  <c r="AB93" i="25" s="1"/>
  <c r="V93" i="25"/>
  <c r="U93" i="25"/>
  <c r="AO71" i="25"/>
  <c r="V65" i="25"/>
  <c r="U65" i="25"/>
  <c r="V33" i="25"/>
  <c r="U33" i="25"/>
  <c r="V13" i="25"/>
  <c r="U13" i="25"/>
  <c r="V72" i="25"/>
  <c r="U72" i="25"/>
  <c r="V56" i="25"/>
  <c r="U56" i="25"/>
  <c r="AO318" i="25"/>
  <c r="AO155" i="25"/>
  <c r="AD269" i="25"/>
  <c r="AE269" i="25" s="1"/>
  <c r="W269" i="25"/>
  <c r="Z269" i="25" s="1"/>
  <c r="AA269" i="25" s="1"/>
  <c r="AO269" i="25"/>
  <c r="AO158" i="25"/>
  <c r="AO197" i="25"/>
  <c r="AO157" i="25"/>
  <c r="AO133" i="25"/>
  <c r="AO98" i="25"/>
  <c r="U292" i="25"/>
  <c r="AD225" i="25"/>
  <c r="AE225" i="25" s="1"/>
  <c r="W225" i="25"/>
  <c r="Z225" i="25" s="1"/>
  <c r="AA225" i="25" s="1"/>
  <c r="AO225" i="25"/>
  <c r="AO43" i="25"/>
  <c r="AO74" i="25"/>
  <c r="AO76" i="25"/>
  <c r="AO44" i="25"/>
  <c r="AO121" i="25"/>
  <c r="K67" i="23"/>
  <c r="M67" i="23" s="1"/>
  <c r="L103" i="23"/>
  <c r="M103" i="23" s="1"/>
  <c r="L88" i="23"/>
  <c r="M88" i="23" s="1"/>
  <c r="K20" i="23"/>
  <c r="M20" i="23" s="1"/>
  <c r="AP5" i="24"/>
  <c r="W316" i="24"/>
  <c r="Y316" i="24" s="1"/>
  <c r="K63" i="23"/>
  <c r="M63" i="23" s="1"/>
  <c r="L49" i="23"/>
  <c r="M49" i="23" s="1"/>
  <c r="K84" i="23"/>
  <c r="M84" i="23" s="1"/>
  <c r="AP225" i="24"/>
  <c r="L60" i="23"/>
  <c r="M60" i="23" s="1"/>
  <c r="AP229" i="24"/>
  <c r="AP271" i="24"/>
  <c r="W304" i="24"/>
  <c r="Y304" i="24" s="1"/>
  <c r="AP260" i="24"/>
  <c r="AP231" i="24"/>
  <c r="AP275" i="24"/>
  <c r="AP253" i="24"/>
  <c r="AP285" i="24"/>
  <c r="AP242" i="24"/>
  <c r="AP274" i="24"/>
  <c r="AP306" i="24"/>
  <c r="AP287" i="24"/>
  <c r="AP289" i="24"/>
  <c r="AP266" i="24"/>
  <c r="AP267" i="24"/>
  <c r="AP238" i="24"/>
  <c r="AP270" i="24"/>
  <c r="AP251" i="24"/>
  <c r="AP224" i="24"/>
  <c r="AP256" i="24"/>
  <c r="AP288" i="24"/>
  <c r="AP311" i="24"/>
  <c r="AP259" i="24"/>
  <c r="AP236" i="24"/>
  <c r="AP300" i="24"/>
  <c r="W302" i="24"/>
  <c r="Y302" i="24" s="1"/>
  <c r="AP233" i="24"/>
  <c r="AP265" i="24"/>
  <c r="AP297" i="24"/>
  <c r="AP222" i="24"/>
  <c r="AP227" i="24"/>
  <c r="AP264" i="24"/>
  <c r="W235" i="24"/>
  <c r="Y235" i="24" s="1"/>
  <c r="W294" i="24"/>
  <c r="Y294" i="24" s="1"/>
  <c r="AP240" i="24"/>
  <c r="AP272" i="24"/>
  <c r="AP304" i="24"/>
  <c r="AP263" i="24"/>
  <c r="AP175" i="24"/>
  <c r="AP209" i="24"/>
  <c r="AP129" i="24"/>
  <c r="AP177" i="24"/>
  <c r="AP201" i="24"/>
  <c r="AP173" i="24"/>
  <c r="AP172" i="24"/>
  <c r="AP189" i="24"/>
  <c r="AP194" i="24"/>
  <c r="AP198" i="24"/>
  <c r="AP184" i="24"/>
  <c r="AP200" i="24"/>
  <c r="AP118" i="24"/>
  <c r="AP117" i="24"/>
  <c r="W234" i="24"/>
  <c r="Y234" i="24" s="1"/>
  <c r="AP192" i="24"/>
  <c r="AP208" i="24"/>
  <c r="AP179" i="24"/>
  <c r="AP191" i="24"/>
  <c r="AP234" i="24"/>
  <c r="AP168" i="24"/>
  <c r="AP181" i="24"/>
  <c r="AP247" i="24"/>
  <c r="AP190" i="24"/>
  <c r="AP167" i="24"/>
  <c r="AP188" i="24"/>
  <c r="AP204" i="24"/>
  <c r="AP299" i="24"/>
  <c r="AP183" i="24"/>
  <c r="W240" i="24"/>
  <c r="Y240" i="24" s="1"/>
  <c r="AP193" i="24"/>
  <c r="AP203" i="24"/>
  <c r="AP148" i="24"/>
  <c r="AP180" i="24"/>
  <c r="AP182" i="24"/>
  <c r="AP199" i="24"/>
  <c r="AP280" i="24"/>
  <c r="AP171" i="24"/>
  <c r="AP277" i="24"/>
  <c r="AP307" i="24"/>
  <c r="AP250" i="24"/>
  <c r="AP314" i="24"/>
  <c r="AP170" i="24"/>
  <c r="AP248" i="24"/>
  <c r="AP296" i="24"/>
  <c r="AP197" i="24"/>
  <c r="AP243" i="24"/>
  <c r="AP125" i="24"/>
  <c r="AP187" i="24"/>
  <c r="AP165" i="24"/>
  <c r="AP121" i="24"/>
  <c r="AP174" i="24"/>
  <c r="AP176" i="24"/>
  <c r="AP169" i="24"/>
  <c r="AP206" i="24"/>
  <c r="AP141" i="24"/>
  <c r="AP178" i="24"/>
  <c r="AP210" i="24"/>
  <c r="AP245" i="24"/>
  <c r="AP205" i="24"/>
  <c r="AP218" i="24"/>
  <c r="AP185" i="24"/>
  <c r="W272" i="24"/>
  <c r="Y272" i="24" s="1"/>
  <c r="AP196" i="24"/>
  <c r="AP166" i="24"/>
  <c r="AP202" i="24"/>
  <c r="AP230" i="24"/>
  <c r="AP262" i="24"/>
  <c r="AP154" i="24"/>
  <c r="AP186" i="24"/>
  <c r="AP207" i="24"/>
  <c r="AP195" i="24"/>
  <c r="AP293" i="24"/>
  <c r="AP119" i="24"/>
  <c r="AP219" i="24"/>
  <c r="AP130" i="24"/>
  <c r="AP221" i="24"/>
  <c r="AP317" i="24"/>
  <c r="AP228" i="24"/>
  <c r="AP292" i="24"/>
  <c r="AP257" i="24"/>
  <c r="AP133" i="24"/>
  <c r="AP294" i="24"/>
  <c r="AP283" i="24"/>
  <c r="AP268" i="24"/>
  <c r="AP279" i="24"/>
  <c r="AP232" i="24"/>
  <c r="AP312" i="24"/>
  <c r="W288" i="24"/>
  <c r="Y288" i="24" s="1"/>
  <c r="W269" i="24"/>
  <c r="Y269" i="24" s="1"/>
  <c r="W229" i="24"/>
  <c r="Y229" i="24" s="1"/>
  <c r="W230" i="24"/>
  <c r="Y230" i="24" s="1"/>
  <c r="W289" i="24"/>
  <c r="Y289" i="24" s="1"/>
  <c r="AP303" i="24"/>
  <c r="AP302" i="24"/>
  <c r="AP290" i="24"/>
  <c r="AP134" i="24"/>
  <c r="AP111" i="24"/>
  <c r="AP309" i="24"/>
  <c r="AP282" i="24"/>
  <c r="AP113" i="24"/>
  <c r="AP244" i="24"/>
  <c r="AP276" i="24"/>
  <c r="AP308" i="24"/>
  <c r="AP241" i="24"/>
  <c r="AP239" i="24"/>
  <c r="AP246" i="24"/>
  <c r="AP278" i="24"/>
  <c r="AP310" i="24"/>
  <c r="AP156" i="24"/>
  <c r="AP298" i="24"/>
  <c r="W267" i="24"/>
  <c r="Y267" i="24" s="1"/>
  <c r="AP220" i="24"/>
  <c r="AP252" i="24"/>
  <c r="AP284" i="24"/>
  <c r="AP316" i="24"/>
  <c r="AP223" i="24"/>
  <c r="AP116" i="24"/>
  <c r="AP254" i="24"/>
  <c r="AP286" i="24"/>
  <c r="AP162" i="24"/>
  <c r="AP235" i="24"/>
  <c r="AP315" i="24"/>
  <c r="AP237" i="24"/>
  <c r="AP269" i="24"/>
  <c r="AP301" i="24"/>
  <c r="AP226" i="24"/>
  <c r="AP258" i="24"/>
  <c r="AP158" i="24"/>
  <c r="AP136" i="24"/>
  <c r="AP147" i="24"/>
  <c r="AP261" i="24"/>
  <c r="AP255" i="24"/>
  <c r="AP295" i="24"/>
  <c r="AP249" i="24"/>
  <c r="AP281" i="24"/>
  <c r="AP313" i="24"/>
  <c r="AP139" i="24"/>
  <c r="AP114" i="24"/>
  <c r="AP145" i="24"/>
  <c r="AP140" i="24"/>
  <c r="AP163" i="24"/>
  <c r="AP124" i="24"/>
  <c r="AP273" i="24"/>
  <c r="AP305" i="24"/>
  <c r="AP291" i="24"/>
  <c r="AP161" i="24"/>
  <c r="AP137" i="24"/>
  <c r="W127" i="24"/>
  <c r="Y127" i="24" s="1"/>
  <c r="X127" i="24"/>
  <c r="AA127" i="24" s="1"/>
  <c r="AB127" i="24" s="1"/>
  <c r="AC127" i="24" s="1"/>
  <c r="AE127" i="24"/>
  <c r="AF127" i="24" s="1"/>
  <c r="AI127" i="24"/>
  <c r="V123" i="24"/>
  <c r="V199" i="24"/>
  <c r="V191" i="24"/>
  <c r="W121" i="24"/>
  <c r="Y121" i="24" s="1"/>
  <c r="X121" i="24"/>
  <c r="AA121" i="24" s="1"/>
  <c r="AB121" i="24" s="1"/>
  <c r="AC121" i="24" s="1"/>
  <c r="AE121" i="24"/>
  <c r="AF121" i="24" s="1"/>
  <c r="AI121" i="24"/>
  <c r="V311" i="24"/>
  <c r="W311" i="24"/>
  <c r="V131" i="24"/>
  <c r="W259" i="24"/>
  <c r="Y259" i="24" s="1"/>
  <c r="V173" i="24"/>
  <c r="W173" i="24"/>
  <c r="AE111" i="24"/>
  <c r="AF111" i="24" s="1"/>
  <c r="X111" i="24"/>
  <c r="AA111" i="24" s="1"/>
  <c r="AB111" i="24" s="1"/>
  <c r="AC111" i="24" s="1"/>
  <c r="AI111" i="24"/>
  <c r="X197" i="24"/>
  <c r="AA197" i="24" s="1"/>
  <c r="AB197" i="24" s="1"/>
  <c r="AC197" i="24" s="1"/>
  <c r="AE197" i="24"/>
  <c r="AF197" i="24" s="1"/>
  <c r="L100" i="23"/>
  <c r="M100" i="23" s="1"/>
  <c r="W220" i="24"/>
  <c r="Y220" i="24" s="1"/>
  <c r="AP144" i="24"/>
  <c r="AP160" i="24"/>
  <c r="AP126" i="24"/>
  <c r="AP143" i="24"/>
  <c r="X175" i="24"/>
  <c r="AA175" i="24" s="1"/>
  <c r="AB175" i="24" s="1"/>
  <c r="AC175" i="24" s="1"/>
  <c r="AJ175" i="24" s="1"/>
  <c r="AE175" i="24"/>
  <c r="AF175" i="24" s="1"/>
  <c r="AP146" i="24"/>
  <c r="W178" i="24"/>
  <c r="Y178" i="24" s="1"/>
  <c r="X178" i="24"/>
  <c r="AA178" i="24" s="1"/>
  <c r="AB178" i="24" s="1"/>
  <c r="AC178" i="24" s="1"/>
  <c r="AJ178" i="24" s="1"/>
  <c r="AE178" i="24"/>
  <c r="AF178" i="24" s="1"/>
  <c r="AP120" i="24"/>
  <c r="AP132" i="24"/>
  <c r="AP164" i="24"/>
  <c r="V201" i="24"/>
  <c r="AP151" i="24"/>
  <c r="AP123" i="24"/>
  <c r="AP155" i="24"/>
  <c r="AP150" i="24"/>
  <c r="V111" i="24"/>
  <c r="W111" i="24"/>
  <c r="X140" i="24"/>
  <c r="AA140" i="24" s="1"/>
  <c r="AB140" i="24" s="1"/>
  <c r="AC140" i="24" s="1"/>
  <c r="AJ140" i="24" s="1"/>
  <c r="AE140" i="24"/>
  <c r="AF140" i="24" s="1"/>
  <c r="V189" i="24"/>
  <c r="V194" i="24"/>
  <c r="AP135" i="24"/>
  <c r="V198" i="24"/>
  <c r="AP152" i="24"/>
  <c r="W138" i="24"/>
  <c r="Y138" i="24" s="1"/>
  <c r="AE138" i="24"/>
  <c r="AF138" i="24" s="1"/>
  <c r="X138" i="24"/>
  <c r="AA138" i="24" s="1"/>
  <c r="AB138" i="24" s="1"/>
  <c r="AC138" i="24" s="1"/>
  <c r="AJ138" i="24" s="1"/>
  <c r="V207" i="24"/>
  <c r="V195" i="24"/>
  <c r="V115" i="24"/>
  <c r="V128" i="24"/>
  <c r="W197" i="24"/>
  <c r="V197" i="24"/>
  <c r="AP142" i="24"/>
  <c r="V187" i="24"/>
  <c r="V124" i="24"/>
  <c r="W124" i="24"/>
  <c r="V156" i="24"/>
  <c r="W251" i="24"/>
  <c r="Y251" i="24" s="1"/>
  <c r="AE160" i="24"/>
  <c r="AF160" i="24" s="1"/>
  <c r="X160" i="24"/>
  <c r="AA160" i="24" s="1"/>
  <c r="AB160" i="24" s="1"/>
  <c r="AC160" i="24" s="1"/>
  <c r="AJ160" i="24" s="1"/>
  <c r="AE126" i="24"/>
  <c r="AF126" i="24" s="1"/>
  <c r="X126" i="24"/>
  <c r="AA126" i="24" s="1"/>
  <c r="AB126" i="24" s="1"/>
  <c r="AC126" i="24" s="1"/>
  <c r="AJ126" i="24" s="1"/>
  <c r="V193" i="24"/>
  <c r="V175" i="24"/>
  <c r="W175" i="24"/>
  <c r="V141" i="24"/>
  <c r="V165" i="24"/>
  <c r="W129" i="24"/>
  <c r="Y129" i="24" s="1"/>
  <c r="X129" i="24"/>
  <c r="AA129" i="24" s="1"/>
  <c r="AB129" i="24" s="1"/>
  <c r="AC129" i="24" s="1"/>
  <c r="AJ129" i="24" s="1"/>
  <c r="AE129" i="24"/>
  <c r="AF129" i="24" s="1"/>
  <c r="V203" i="24"/>
  <c r="W164" i="24"/>
  <c r="Y164" i="24" s="1"/>
  <c r="X164" i="24"/>
  <c r="AA164" i="24" s="1"/>
  <c r="AB164" i="24" s="1"/>
  <c r="AC164" i="24" s="1"/>
  <c r="AJ164" i="24" s="1"/>
  <c r="AE164" i="24"/>
  <c r="AF164" i="24" s="1"/>
  <c r="X180" i="24"/>
  <c r="AA180" i="24" s="1"/>
  <c r="AB180" i="24" s="1"/>
  <c r="AC180" i="24" s="1"/>
  <c r="AJ180" i="24" s="1"/>
  <c r="AE180" i="24"/>
  <c r="AF180" i="24" s="1"/>
  <c r="AP131" i="24"/>
  <c r="V140" i="24"/>
  <c r="W140" i="24"/>
  <c r="V172" i="24"/>
  <c r="W135" i="24"/>
  <c r="Y135" i="24" s="1"/>
  <c r="X135" i="24"/>
  <c r="AA135" i="24" s="1"/>
  <c r="AB135" i="24" s="1"/>
  <c r="AC135" i="24" s="1"/>
  <c r="AJ135" i="24" s="1"/>
  <c r="AE135" i="24"/>
  <c r="AF135" i="24" s="1"/>
  <c r="W202" i="24"/>
  <c r="Y202" i="24" s="1"/>
  <c r="X202" i="24"/>
  <c r="AA202" i="24" s="1"/>
  <c r="AB202" i="24" s="1"/>
  <c r="AC202" i="24" s="1"/>
  <c r="AJ202" i="24" s="1"/>
  <c r="AE202" i="24"/>
  <c r="AF202" i="24" s="1"/>
  <c r="AE200" i="24"/>
  <c r="AF200" i="24" s="1"/>
  <c r="X200" i="24"/>
  <c r="AA200" i="24" s="1"/>
  <c r="AB200" i="24" s="1"/>
  <c r="AC200" i="24" s="1"/>
  <c r="AJ200" i="24" s="1"/>
  <c r="AP157" i="24"/>
  <c r="AP112" i="24"/>
  <c r="V159" i="24"/>
  <c r="V133" i="24"/>
  <c r="V185" i="24"/>
  <c r="V167" i="24"/>
  <c r="V154" i="24"/>
  <c r="V186" i="24"/>
  <c r="V147" i="24"/>
  <c r="V125" i="24"/>
  <c r="V112" i="24"/>
  <c r="W252" i="24"/>
  <c r="Y252" i="24" s="1"/>
  <c r="V160" i="24"/>
  <c r="W160" i="24"/>
  <c r="V176" i="24"/>
  <c r="V192" i="24"/>
  <c r="V208" i="24"/>
  <c r="V126" i="24"/>
  <c r="W126" i="24"/>
  <c r="V169" i="24"/>
  <c r="V143" i="24"/>
  <c r="V116" i="24"/>
  <c r="V162" i="24"/>
  <c r="V179" i="24"/>
  <c r="V132" i="24"/>
  <c r="W180" i="24"/>
  <c r="V180" i="24"/>
  <c r="AP127" i="24"/>
  <c r="AE173" i="24"/>
  <c r="AF173" i="24" s="1"/>
  <c r="X173" i="24"/>
  <c r="AA173" i="24" s="1"/>
  <c r="AB173" i="24" s="1"/>
  <c r="AC173" i="24" s="1"/>
  <c r="AJ173" i="24" s="1"/>
  <c r="AP122" i="24"/>
  <c r="AP153" i="24"/>
  <c r="V158" i="24"/>
  <c r="V163" i="24"/>
  <c r="V113" i="24"/>
  <c r="V152" i="24"/>
  <c r="V200" i="24"/>
  <c r="W200" i="24"/>
  <c r="W118" i="24"/>
  <c r="Y118" i="24" s="1"/>
  <c r="AE118" i="24"/>
  <c r="AF118" i="24" s="1"/>
  <c r="X118" i="24"/>
  <c r="AA118" i="24" s="1"/>
  <c r="AB118" i="24" s="1"/>
  <c r="AC118" i="24" s="1"/>
  <c r="AJ118" i="24" s="1"/>
  <c r="V205" i="24"/>
  <c r="AE124" i="24"/>
  <c r="AF124" i="24" s="1"/>
  <c r="X124" i="24"/>
  <c r="AA124" i="24" s="1"/>
  <c r="AB124" i="24" s="1"/>
  <c r="AC124" i="24" s="1"/>
  <c r="AJ124" i="24" s="1"/>
  <c r="AP159" i="24"/>
  <c r="AP149" i="24"/>
  <c r="AP138" i="24"/>
  <c r="AP115" i="24"/>
  <c r="AP128" i="24"/>
  <c r="AI197" i="24"/>
  <c r="V183" i="24"/>
  <c r="W221" i="24"/>
  <c r="Y221" i="24" s="1"/>
  <c r="L24" i="23"/>
  <c r="M24" i="23" s="1"/>
  <c r="K42" i="23"/>
  <c r="M42" i="23" s="1"/>
  <c r="K66" i="23"/>
  <c r="M66" i="23" s="1"/>
  <c r="K74" i="23"/>
  <c r="M74" i="23" s="1"/>
  <c r="X246" i="24"/>
  <c r="AA246" i="24" s="1"/>
  <c r="AB246" i="24" s="1"/>
  <c r="AC246" i="24" s="1"/>
  <c r="AE246" i="24"/>
  <c r="AF246" i="24" s="1"/>
  <c r="AI246" i="24"/>
  <c r="AI308" i="24"/>
  <c r="AE308" i="24"/>
  <c r="AF308" i="24" s="1"/>
  <c r="X308" i="24"/>
  <c r="AA308" i="24" s="1"/>
  <c r="AB308" i="24" s="1"/>
  <c r="AC308" i="24" s="1"/>
  <c r="V285" i="24"/>
  <c r="V228" i="24"/>
  <c r="W228" i="24"/>
  <c r="AE303" i="24"/>
  <c r="AF303" i="24" s="1"/>
  <c r="AI303" i="24"/>
  <c r="X303" i="24"/>
  <c r="AA303" i="24" s="1"/>
  <c r="AB303" i="24" s="1"/>
  <c r="AC303" i="24" s="1"/>
  <c r="W298" i="24"/>
  <c r="Y298" i="24" s="1"/>
  <c r="AI298" i="24"/>
  <c r="AE298" i="24"/>
  <c r="AF298" i="24" s="1"/>
  <c r="X298" i="24"/>
  <c r="AA298" i="24" s="1"/>
  <c r="AB298" i="24" s="1"/>
  <c r="AC298" i="24" s="1"/>
  <c r="V280" i="24"/>
  <c r="W280" i="24"/>
  <c r="V297" i="24"/>
  <c r="V246" i="24"/>
  <c r="W246" i="24"/>
  <c r="AE241" i="24"/>
  <c r="AF241" i="24" s="1"/>
  <c r="AI241" i="24"/>
  <c r="X241" i="24"/>
  <c r="AA241" i="24" s="1"/>
  <c r="AB241" i="24" s="1"/>
  <c r="AC241" i="24" s="1"/>
  <c r="AI260" i="24"/>
  <c r="AE260" i="24"/>
  <c r="AF260" i="24" s="1"/>
  <c r="X260" i="24"/>
  <c r="AA260" i="24" s="1"/>
  <c r="AB260" i="24" s="1"/>
  <c r="AC260" i="24" s="1"/>
  <c r="AE224" i="24"/>
  <c r="AF224" i="24" s="1"/>
  <c r="AI224" i="24"/>
  <c r="X224" i="24"/>
  <c r="AA224" i="24" s="1"/>
  <c r="AB224" i="24" s="1"/>
  <c r="AC224" i="24" s="1"/>
  <c r="AI265" i="24"/>
  <c r="AE265" i="24"/>
  <c r="AF265" i="24" s="1"/>
  <c r="X265" i="24"/>
  <c r="AA265" i="24" s="1"/>
  <c r="AB265" i="24" s="1"/>
  <c r="AC265" i="24" s="1"/>
  <c r="AE274" i="24"/>
  <c r="AF274" i="24" s="1"/>
  <c r="AI274" i="24"/>
  <c r="X274" i="24"/>
  <c r="AA274" i="24" s="1"/>
  <c r="AB274" i="24" s="1"/>
  <c r="AC274" i="24" s="1"/>
  <c r="V232" i="24"/>
  <c r="AE223" i="24"/>
  <c r="AF223" i="24" s="1"/>
  <c r="AI223" i="24"/>
  <c r="X223" i="24"/>
  <c r="AA223" i="24" s="1"/>
  <c r="AB223" i="24" s="1"/>
  <c r="AC223" i="24" s="1"/>
  <c r="AI244" i="24"/>
  <c r="AE244" i="24"/>
  <c r="AF244" i="24" s="1"/>
  <c r="X244" i="24"/>
  <c r="AA244" i="24" s="1"/>
  <c r="AB244" i="24" s="1"/>
  <c r="AC244" i="24" s="1"/>
  <c r="V313" i="24"/>
  <c r="V271" i="24"/>
  <c r="AI294" i="24"/>
  <c r="AE294" i="24"/>
  <c r="AF294" i="24" s="1"/>
  <c r="X294" i="24"/>
  <c r="AA294" i="24" s="1"/>
  <c r="AB294" i="24" s="1"/>
  <c r="AC294" i="24" s="1"/>
  <c r="V305" i="24"/>
  <c r="W305" i="24"/>
  <c r="AE302" i="24"/>
  <c r="AF302" i="24" s="1"/>
  <c r="AI302" i="24"/>
  <c r="X302" i="24"/>
  <c r="AA302" i="24" s="1"/>
  <c r="AB302" i="24" s="1"/>
  <c r="AC302" i="24" s="1"/>
  <c r="W308" i="24"/>
  <c r="Y308" i="24" s="1"/>
  <c r="AI242" i="24"/>
  <c r="AE242" i="24"/>
  <c r="AF242" i="24" s="1"/>
  <c r="X242" i="24"/>
  <c r="AA242" i="24" s="1"/>
  <c r="AB242" i="24" s="1"/>
  <c r="AC242" i="24" s="1"/>
  <c r="AE280" i="24"/>
  <c r="AF280" i="24" s="1"/>
  <c r="AI280" i="24"/>
  <c r="X280" i="24"/>
  <c r="AA280" i="24" s="1"/>
  <c r="AB280" i="24" s="1"/>
  <c r="AC280" i="24" s="1"/>
  <c r="AE237" i="24"/>
  <c r="AF237" i="24" s="1"/>
  <c r="AI237" i="24"/>
  <c r="X237" i="24"/>
  <c r="AA237" i="24" s="1"/>
  <c r="AB237" i="24" s="1"/>
  <c r="AC237" i="24" s="1"/>
  <c r="AE225" i="24"/>
  <c r="AF225" i="24" s="1"/>
  <c r="AI225" i="24"/>
  <c r="X225" i="24"/>
  <c r="AA225" i="24" s="1"/>
  <c r="AB225" i="24" s="1"/>
  <c r="AC225" i="24" s="1"/>
  <c r="V295" i="24"/>
  <c r="W295" i="24"/>
  <c r="V247" i="24"/>
  <c r="W237" i="24"/>
  <c r="Y237" i="24" s="1"/>
  <c r="W260" i="24"/>
  <c r="Y260" i="24" s="1"/>
  <c r="W274" i="24"/>
  <c r="Y274" i="24" s="1"/>
  <c r="AE286" i="24"/>
  <c r="AF286" i="24" s="1"/>
  <c r="AI286" i="24"/>
  <c r="X286" i="24"/>
  <c r="AA286" i="24" s="1"/>
  <c r="AB286" i="24" s="1"/>
  <c r="AC286" i="24" s="1"/>
  <c r="V317" i="24"/>
  <c r="W317" i="24"/>
  <c r="V277" i="24"/>
  <c r="V224" i="24"/>
  <c r="W224" i="24"/>
  <c r="V255" i="24"/>
  <c r="W255" i="24"/>
  <c r="V233" i="24"/>
  <c r="V310" i="24"/>
  <c r="W310" i="24"/>
  <c r="V315" i="24"/>
  <c r="W315" i="24"/>
  <c r="AI252" i="24"/>
  <c r="AE252" i="24"/>
  <c r="AF252" i="24" s="1"/>
  <c r="X252" i="24"/>
  <c r="AA252" i="24" s="1"/>
  <c r="AB252" i="24" s="1"/>
  <c r="AC252" i="24" s="1"/>
  <c r="AE217" i="24"/>
  <c r="AF217" i="24" s="1"/>
  <c r="AI217" i="24"/>
  <c r="X217" i="24"/>
  <c r="AA217" i="24" s="1"/>
  <c r="AB217" i="24" s="1"/>
  <c r="AC217" i="24" s="1"/>
  <c r="AI221" i="24"/>
  <c r="AE221" i="24"/>
  <c r="AF221" i="24" s="1"/>
  <c r="X221" i="24"/>
  <c r="AA221" i="24" s="1"/>
  <c r="AB221" i="24" s="1"/>
  <c r="AC221" i="24" s="1"/>
  <c r="AI288" i="24"/>
  <c r="AE288" i="24"/>
  <c r="AF288" i="24" s="1"/>
  <c r="X288" i="24"/>
  <c r="AA288" i="24" s="1"/>
  <c r="AB288" i="24" s="1"/>
  <c r="AC288" i="24" s="1"/>
  <c r="AI267" i="24"/>
  <c r="AE267" i="24"/>
  <c r="AF267" i="24" s="1"/>
  <c r="X267" i="24"/>
  <c r="AA267" i="24" s="1"/>
  <c r="AB267" i="24" s="1"/>
  <c r="AC267" i="24" s="1"/>
  <c r="V257" i="24"/>
  <c r="W257" i="24"/>
  <c r="AE317" i="24"/>
  <c r="AF317" i="24" s="1"/>
  <c r="AI317" i="24"/>
  <c r="X317" i="24"/>
  <c r="AA317" i="24" s="1"/>
  <c r="AB317" i="24" s="1"/>
  <c r="AC317" i="24" s="1"/>
  <c r="AI275" i="24"/>
  <c r="AE275" i="24"/>
  <c r="AF275" i="24" s="1"/>
  <c r="X275" i="24"/>
  <c r="AA275" i="24" s="1"/>
  <c r="AB275" i="24" s="1"/>
  <c r="AC275" i="24" s="1"/>
  <c r="AE255" i="24"/>
  <c r="AF255" i="24" s="1"/>
  <c r="AI255" i="24"/>
  <c r="X255" i="24"/>
  <c r="AA255" i="24" s="1"/>
  <c r="AB255" i="24" s="1"/>
  <c r="AC255" i="24" s="1"/>
  <c r="AE269" i="24"/>
  <c r="AF269" i="24" s="1"/>
  <c r="AI269" i="24"/>
  <c r="X269" i="24"/>
  <c r="AA269" i="24" s="1"/>
  <c r="AB269" i="24" s="1"/>
  <c r="AC269" i="24" s="1"/>
  <c r="AI220" i="24"/>
  <c r="AE220" i="24"/>
  <c r="AF220" i="24" s="1"/>
  <c r="X220" i="24"/>
  <c r="AA220" i="24" s="1"/>
  <c r="AB220" i="24" s="1"/>
  <c r="AC220" i="24" s="1"/>
  <c r="W275" i="24"/>
  <c r="V275" i="24"/>
  <c r="AI287" i="24"/>
  <c r="AE287" i="24"/>
  <c r="AF287" i="24" s="1"/>
  <c r="X287" i="24"/>
  <c r="AA287" i="24" s="1"/>
  <c r="AB287" i="24" s="1"/>
  <c r="AC287" i="24" s="1"/>
  <c r="AE236" i="24"/>
  <c r="AF236" i="24" s="1"/>
  <c r="AI236" i="24"/>
  <c r="X236" i="24"/>
  <c r="AA236" i="24" s="1"/>
  <c r="AB236" i="24" s="1"/>
  <c r="AC236" i="24" s="1"/>
  <c r="AE222" i="24"/>
  <c r="AF222" i="24" s="1"/>
  <c r="AI222" i="24"/>
  <c r="X222" i="24"/>
  <c r="AA222" i="24" s="1"/>
  <c r="AB222" i="24" s="1"/>
  <c r="AC222" i="24" s="1"/>
  <c r="V287" i="24"/>
  <c r="W287" i="24"/>
  <c r="V268" i="24"/>
  <c r="W244" i="24"/>
  <c r="V244" i="24"/>
  <c r="AI289" i="24"/>
  <c r="AE289" i="24"/>
  <c r="AF289" i="24" s="1"/>
  <c r="X289" i="24"/>
  <c r="AA289" i="24" s="1"/>
  <c r="AB289" i="24" s="1"/>
  <c r="AC289" i="24" s="1"/>
  <c r="X293" i="24"/>
  <c r="AA293" i="24" s="1"/>
  <c r="AB293" i="24" s="1"/>
  <c r="AC293" i="24" s="1"/>
  <c r="AI293" i="24"/>
  <c r="AE293" i="24"/>
  <c r="AF293" i="24" s="1"/>
  <c r="W241" i="24"/>
  <c r="Y241" i="24" s="1"/>
  <c r="AI251" i="24"/>
  <c r="AE251" i="24"/>
  <c r="AF251" i="24" s="1"/>
  <c r="X251" i="24"/>
  <c r="AA251" i="24" s="1"/>
  <c r="AB251" i="24" s="1"/>
  <c r="AC251" i="24" s="1"/>
  <c r="V263" i="24"/>
  <c r="V307" i="24"/>
  <c r="V301" i="24"/>
  <c r="W301" i="24"/>
  <c r="V248" i="24"/>
  <c r="W248" i="24"/>
  <c r="V265" i="24"/>
  <c r="W265" i="24"/>
  <c r="V236" i="24"/>
  <c r="W236" i="24"/>
  <c r="AE229" i="24"/>
  <c r="AF229" i="24" s="1"/>
  <c r="AI229" i="24"/>
  <c r="X229" i="24"/>
  <c r="AA229" i="24" s="1"/>
  <c r="AB229" i="24" s="1"/>
  <c r="AC229" i="24" s="1"/>
  <c r="V238" i="24"/>
  <c r="AE219" i="24"/>
  <c r="AF219" i="24" s="1"/>
  <c r="AI219" i="24"/>
  <c r="X219" i="24"/>
  <c r="AA219" i="24" s="1"/>
  <c r="AB219" i="24" s="1"/>
  <c r="AC219" i="24" s="1"/>
  <c r="X301" i="24"/>
  <c r="AA301" i="24" s="1"/>
  <c r="AB301" i="24" s="1"/>
  <c r="AC301" i="24" s="1"/>
  <c r="AI301" i="24"/>
  <c r="AE301" i="24"/>
  <c r="AF301" i="24" s="1"/>
  <c r="K58" i="23"/>
  <c r="M58" i="23" s="1"/>
  <c r="AE316" i="24"/>
  <c r="AF316" i="24" s="1"/>
  <c r="AI316" i="24"/>
  <c r="X316" i="24"/>
  <c r="AA316" i="24" s="1"/>
  <c r="AB316" i="24" s="1"/>
  <c r="AC316" i="24" s="1"/>
  <c r="AI272" i="24"/>
  <c r="AE272" i="24"/>
  <c r="AF272" i="24" s="1"/>
  <c r="X272" i="24"/>
  <c r="AA272" i="24" s="1"/>
  <c r="AB272" i="24" s="1"/>
  <c r="AC272" i="24" s="1"/>
  <c r="AE315" i="24"/>
  <c r="AF315" i="24" s="1"/>
  <c r="AI315" i="24"/>
  <c r="X315" i="24"/>
  <c r="AA315" i="24" s="1"/>
  <c r="AB315" i="24" s="1"/>
  <c r="AC315" i="24" s="1"/>
  <c r="AI235" i="24"/>
  <c r="AE235" i="24"/>
  <c r="AF235" i="24" s="1"/>
  <c r="X235" i="24"/>
  <c r="AA235" i="24" s="1"/>
  <c r="AB235" i="24" s="1"/>
  <c r="AC235" i="24" s="1"/>
  <c r="V309" i="24"/>
  <c r="V256" i="24"/>
  <c r="AE248" i="24"/>
  <c r="AF248" i="24" s="1"/>
  <c r="AI248" i="24"/>
  <c r="X248" i="24"/>
  <c r="AA248" i="24" s="1"/>
  <c r="AB248" i="24" s="1"/>
  <c r="AC248" i="24" s="1"/>
  <c r="AE310" i="24"/>
  <c r="AF310" i="24" s="1"/>
  <c r="AI310" i="24"/>
  <c r="X310" i="24"/>
  <c r="AA310" i="24" s="1"/>
  <c r="AB310" i="24" s="1"/>
  <c r="AC310" i="24" s="1"/>
  <c r="AI257" i="24"/>
  <c r="AE257" i="24"/>
  <c r="AF257" i="24" s="1"/>
  <c r="X257" i="24"/>
  <c r="AA257" i="24" s="1"/>
  <c r="AB257" i="24" s="1"/>
  <c r="AC257" i="24" s="1"/>
  <c r="W225" i="24"/>
  <c r="Y225" i="24" s="1"/>
  <c r="W242" i="24"/>
  <c r="Y242" i="24" s="1"/>
  <c r="W293" i="24"/>
  <c r="Y293" i="24" s="1"/>
  <c r="AI273" i="24"/>
  <c r="AE273" i="24"/>
  <c r="AF273" i="24" s="1"/>
  <c r="X273" i="24"/>
  <c r="AA273" i="24" s="1"/>
  <c r="AB273" i="24" s="1"/>
  <c r="AC273" i="24" s="1"/>
  <c r="V245" i="24"/>
  <c r="V303" i="24"/>
  <c r="W303" i="24"/>
  <c r="V223" i="24"/>
  <c r="W223" i="24"/>
  <c r="V300" i="24"/>
  <c r="V262" i="24"/>
  <c r="V219" i="24"/>
  <c r="W219" i="24"/>
  <c r="AE231" i="24"/>
  <c r="AF231" i="24" s="1"/>
  <c r="AI231" i="24"/>
  <c r="X231" i="24"/>
  <c r="AA231" i="24" s="1"/>
  <c r="AB231" i="24" s="1"/>
  <c r="AC231" i="24" s="1"/>
  <c r="AE259" i="24"/>
  <c r="AF259" i="24" s="1"/>
  <c r="AI259" i="24"/>
  <c r="X259" i="24"/>
  <c r="AA259" i="24" s="1"/>
  <c r="AB259" i="24" s="1"/>
  <c r="AC259" i="24" s="1"/>
  <c r="AI304" i="24"/>
  <c r="AE304" i="24"/>
  <c r="AF304" i="24" s="1"/>
  <c r="X304" i="24"/>
  <c r="AA304" i="24" s="1"/>
  <c r="AB304" i="24" s="1"/>
  <c r="AC304" i="24" s="1"/>
  <c r="W276" i="24"/>
  <c r="Y276" i="24" s="1"/>
  <c r="AI276" i="24"/>
  <c r="AE276" i="24"/>
  <c r="AF276" i="24" s="1"/>
  <c r="X276" i="24"/>
  <c r="AA276" i="24" s="1"/>
  <c r="AB276" i="24" s="1"/>
  <c r="AC276" i="24" s="1"/>
  <c r="AE234" i="24"/>
  <c r="AF234" i="24" s="1"/>
  <c r="AI234" i="24"/>
  <c r="X234" i="24"/>
  <c r="AA234" i="24" s="1"/>
  <c r="AB234" i="24" s="1"/>
  <c r="AC234" i="24" s="1"/>
  <c r="AE230" i="24"/>
  <c r="AF230" i="24" s="1"/>
  <c r="AI230" i="24"/>
  <c r="X230" i="24"/>
  <c r="AA230" i="24" s="1"/>
  <c r="AB230" i="24" s="1"/>
  <c r="AC230" i="24" s="1"/>
  <c r="AE305" i="24"/>
  <c r="AF305" i="24" s="1"/>
  <c r="AI305" i="24"/>
  <c r="X305" i="24"/>
  <c r="AA305" i="24" s="1"/>
  <c r="AB305" i="24" s="1"/>
  <c r="AC305" i="24" s="1"/>
  <c r="AI240" i="24"/>
  <c r="AE240" i="24"/>
  <c r="AF240" i="24" s="1"/>
  <c r="X240" i="24"/>
  <c r="AA240" i="24" s="1"/>
  <c r="AB240" i="24" s="1"/>
  <c r="AC240" i="24" s="1"/>
  <c r="AE311" i="24"/>
  <c r="AF311" i="24" s="1"/>
  <c r="AI311" i="24"/>
  <c r="X311" i="24"/>
  <c r="AA311" i="24" s="1"/>
  <c r="AB311" i="24" s="1"/>
  <c r="AC311" i="24" s="1"/>
  <c r="AE295" i="24"/>
  <c r="AF295" i="24" s="1"/>
  <c r="AI295" i="24"/>
  <c r="X295" i="24"/>
  <c r="AA295" i="24" s="1"/>
  <c r="AB295" i="24" s="1"/>
  <c r="AC295" i="24" s="1"/>
  <c r="W231" i="24"/>
  <c r="Y231" i="24" s="1"/>
  <c r="W217" i="24"/>
  <c r="Y217" i="24" s="1"/>
  <c r="W286" i="24"/>
  <c r="Y286" i="24" s="1"/>
  <c r="W222" i="24"/>
  <c r="Y222" i="24" s="1"/>
  <c r="AE228" i="24"/>
  <c r="AF228" i="24" s="1"/>
  <c r="AI228" i="24"/>
  <c r="X228" i="24"/>
  <c r="AA228" i="24" s="1"/>
  <c r="AB228" i="24" s="1"/>
  <c r="AC228" i="24" s="1"/>
  <c r="W273" i="24"/>
  <c r="Y273" i="24" s="1"/>
  <c r="AP60" i="24"/>
  <c r="AP41" i="24"/>
  <c r="AP40" i="24"/>
  <c r="AP63" i="24"/>
  <c r="AP72" i="24"/>
  <c r="AP64" i="24"/>
  <c r="AP83" i="24"/>
  <c r="AP27" i="24"/>
  <c r="AP101" i="24"/>
  <c r="AP42" i="24"/>
  <c r="AP56" i="24"/>
  <c r="AP46" i="24"/>
  <c r="AP18" i="24"/>
  <c r="AP10" i="24"/>
  <c r="AP79" i="24"/>
  <c r="AP55" i="24"/>
  <c r="AP54" i="24"/>
  <c r="AP91" i="24"/>
  <c r="AP87" i="24"/>
  <c r="AP59" i="24"/>
  <c r="AP36" i="24"/>
  <c r="AP28" i="24"/>
  <c r="V14" i="24"/>
  <c r="V48" i="24"/>
  <c r="V18" i="24"/>
  <c r="V73" i="24"/>
  <c r="V76" i="24"/>
  <c r="V60" i="24"/>
  <c r="V47" i="24"/>
  <c r="V40" i="24"/>
  <c r="V10" i="24"/>
  <c r="V83" i="24"/>
  <c r="V6" i="24"/>
  <c r="V54" i="24"/>
  <c r="V43" i="24"/>
  <c r="V91" i="24"/>
  <c r="V20" i="24"/>
  <c r="V35" i="24"/>
  <c r="V19" i="24"/>
  <c r="V26" i="24"/>
  <c r="V95" i="24"/>
  <c r="V104" i="24"/>
  <c r="V46" i="24"/>
  <c r="V92" i="24"/>
  <c r="V90" i="24"/>
  <c r="V50" i="24"/>
  <c r="V7" i="24"/>
  <c r="V103" i="24"/>
  <c r="V64" i="24"/>
  <c r="V78" i="24"/>
  <c r="V9" i="24"/>
  <c r="V38" i="24"/>
  <c r="V27" i="24"/>
  <c r="V75" i="24"/>
  <c r="V100" i="24"/>
  <c r="V41" i="24"/>
  <c r="V15" i="24"/>
  <c r="V74" i="24"/>
  <c r="V31" i="24"/>
  <c r="V79" i="24"/>
  <c r="V8" i="24"/>
  <c r="V88" i="24"/>
  <c r="V45" i="24"/>
  <c r="V30" i="24"/>
  <c r="V13" i="24"/>
  <c r="V24" i="24"/>
  <c r="K93" i="23"/>
  <c r="M93" i="23" s="1"/>
  <c r="V23" i="24"/>
  <c r="V85" i="24"/>
  <c r="V82" i="24"/>
  <c r="V62" i="24"/>
  <c r="V86" i="24"/>
  <c r="V93" i="24"/>
  <c r="V34" i="24"/>
  <c r="V53" i="24"/>
  <c r="V39" i="24"/>
  <c r="V87" i="24"/>
  <c r="V16" i="24"/>
  <c r="V96" i="24"/>
  <c r="V57" i="24"/>
  <c r="V52" i="24"/>
  <c r="V84" i="24"/>
  <c r="V33" i="24"/>
  <c r="V12" i="24"/>
  <c r="V58" i="24"/>
  <c r="W5" i="24"/>
  <c r="V5" i="24"/>
  <c r="V63" i="24"/>
  <c r="V72" i="24"/>
  <c r="V81" i="24"/>
  <c r="L57" i="23"/>
  <c r="M57" i="23" s="1"/>
  <c r="V66" i="24"/>
  <c r="V105" i="24"/>
  <c r="V28" i="24"/>
  <c r="V94" i="24"/>
  <c r="V71" i="24"/>
  <c r="V29" i="24"/>
  <c r="V21" i="24"/>
  <c r="V61" i="24"/>
  <c r="V77" i="24"/>
  <c r="V37" i="24"/>
  <c r="V68" i="24"/>
  <c r="V99" i="24"/>
  <c r="V25" i="24"/>
  <c r="V42" i="24"/>
  <c r="V67" i="24"/>
  <c r="V49" i="24"/>
  <c r="L72" i="23"/>
  <c r="M72" i="23" s="1"/>
  <c r="K65" i="23"/>
  <c r="M65" i="23" s="1"/>
  <c r="L95" i="23"/>
  <c r="M95" i="23" s="1"/>
  <c r="M11" i="23"/>
  <c r="M99" i="23"/>
  <c r="M27" i="23"/>
  <c r="M19" i="23"/>
  <c r="M56" i="23"/>
  <c r="M8" i="23"/>
  <c r="M87" i="23"/>
  <c r="M55" i="23"/>
  <c r="M75" i="23"/>
  <c r="M12" i="23"/>
  <c r="M47" i="23"/>
  <c r="M43" i="23"/>
  <c r="M6" i="23"/>
  <c r="L97" i="23"/>
  <c r="M97" i="23" s="1"/>
  <c r="K83" i="23"/>
  <c r="M83" i="23" s="1"/>
  <c r="M98" i="23"/>
  <c r="M62" i="23"/>
  <c r="M46" i="23"/>
  <c r="M76" i="23"/>
  <c r="M78" i="23"/>
  <c r="M54" i="23"/>
  <c r="M81" i="23"/>
  <c r="M85" i="23"/>
  <c r="M50" i="23"/>
  <c r="M53" i="23"/>
  <c r="M101" i="23"/>
  <c r="M45" i="23"/>
  <c r="M34" i="23"/>
  <c r="M36" i="23"/>
  <c r="M28" i="23"/>
  <c r="M9" i="23"/>
  <c r="M33" i="23"/>
  <c r="M30" i="23"/>
  <c r="M90" i="23"/>
  <c r="M10" i="23"/>
  <c r="M94" i="23"/>
  <c r="M68" i="23"/>
  <c r="M70" i="23"/>
  <c r="M106" i="23"/>
  <c r="M41" i="23"/>
  <c r="M37" i="23"/>
  <c r="M44" i="23"/>
  <c r="M32" i="23"/>
  <c r="M23" i="23"/>
  <c r="M48" i="23"/>
  <c r="M64" i="23"/>
  <c r="M15" i="23"/>
  <c r="M40" i="23"/>
  <c r="M80" i="23"/>
  <c r="M31" i="23"/>
  <c r="M91" i="23"/>
  <c r="M7" i="23"/>
  <c r="M96" i="23"/>
  <c r="M51" i="23"/>
  <c r="M71" i="23"/>
  <c r="M39" i="23"/>
  <c r="M79" i="23"/>
  <c r="M104" i="23"/>
  <c r="M59" i="23"/>
  <c r="M16" i="23"/>
  <c r="M35" i="23"/>
  <c r="M18" i="23"/>
  <c r="M105" i="23"/>
  <c r="M86" i="23"/>
  <c r="M52" i="23"/>
  <c r="M89" i="23"/>
  <c r="M38" i="23"/>
  <c r="M25" i="23"/>
  <c r="M61" i="23"/>
  <c r="M82" i="23"/>
  <c r="M14" i="23"/>
  <c r="M29" i="23"/>
  <c r="M69" i="23"/>
  <c r="M17" i="23"/>
  <c r="M21" i="23"/>
  <c r="M22" i="23"/>
  <c r="M92" i="23"/>
  <c r="M73" i="23"/>
  <c r="M13" i="23"/>
  <c r="M102" i="23"/>
  <c r="M26" i="23"/>
  <c r="B189" i="2"/>
  <c r="A230" i="2"/>
  <c r="D43" i="16"/>
  <c r="B190" i="2"/>
  <c r="D44" i="16"/>
  <c r="W232" i="25" l="1"/>
  <c r="Z232" i="25" s="1"/>
  <c r="AA232" i="25" s="1"/>
  <c r="AB232" i="25" s="1"/>
  <c r="W234" i="25"/>
  <c r="Z234" i="25" s="1"/>
  <c r="AA234" i="25" s="1"/>
  <c r="W317" i="25"/>
  <c r="Z317" i="25" s="1"/>
  <c r="AA317" i="25" s="1"/>
  <c r="AB317" i="25" s="1"/>
  <c r="AD234" i="25"/>
  <c r="AE234" i="25" s="1"/>
  <c r="AD232" i="25"/>
  <c r="AE232" i="25" s="1"/>
  <c r="V317" i="25"/>
  <c r="X317" i="25" s="1"/>
  <c r="V178" i="25"/>
  <c r="X178" i="25" s="1"/>
  <c r="W178" i="25"/>
  <c r="Z178" i="25" s="1"/>
  <c r="AA178" i="25" s="1"/>
  <c r="AB178" i="25" s="1"/>
  <c r="AI178" i="25" s="1"/>
  <c r="W138" i="25"/>
  <c r="Z138" i="25" s="1"/>
  <c r="AA138" i="25" s="1"/>
  <c r="AB138" i="25" s="1"/>
  <c r="AD160" i="25"/>
  <c r="AE160" i="25" s="1"/>
  <c r="AD251" i="25"/>
  <c r="AE251" i="25" s="1"/>
  <c r="W169" i="25"/>
  <c r="Z169" i="25" s="1"/>
  <c r="AA169" i="25" s="1"/>
  <c r="AB169" i="25" s="1"/>
  <c r="AD169" i="25"/>
  <c r="AE169" i="25" s="1"/>
  <c r="AD138" i="25"/>
  <c r="AE138" i="25" s="1"/>
  <c r="AD121" i="25"/>
  <c r="AE121" i="25" s="1"/>
  <c r="W265" i="25"/>
  <c r="Z265" i="25" s="1"/>
  <c r="AA265" i="25" s="1"/>
  <c r="AB265" i="25" s="1"/>
  <c r="AI265" i="25" s="1"/>
  <c r="AS265" i="25" s="1"/>
  <c r="AD155" i="25"/>
  <c r="AE155" i="25" s="1"/>
  <c r="W279" i="25"/>
  <c r="Z279" i="25" s="1"/>
  <c r="AA279" i="25" s="1"/>
  <c r="AD262" i="25"/>
  <c r="AE262" i="25" s="1"/>
  <c r="W262" i="25"/>
  <c r="Z262" i="25" s="1"/>
  <c r="AA262" i="25" s="1"/>
  <c r="V273" i="25"/>
  <c r="X273" i="25" s="1"/>
  <c r="AD163" i="25"/>
  <c r="AE163" i="25" s="1"/>
  <c r="AD279" i="25"/>
  <c r="AE279" i="25" s="1"/>
  <c r="AD273" i="25"/>
  <c r="AE273" i="25" s="1"/>
  <c r="AD265" i="25"/>
  <c r="AE265" i="25" s="1"/>
  <c r="V286" i="25"/>
  <c r="W250" i="25"/>
  <c r="Z250" i="25" s="1"/>
  <c r="AA250" i="25" s="1"/>
  <c r="V250" i="25"/>
  <c r="W286" i="25"/>
  <c r="Z286" i="25" s="1"/>
  <c r="AA286" i="25" s="1"/>
  <c r="AB286" i="25" s="1"/>
  <c r="AI286" i="25" s="1"/>
  <c r="AS286" i="25" s="1"/>
  <c r="W155" i="25"/>
  <c r="Z155" i="25" s="1"/>
  <c r="AA155" i="25" s="1"/>
  <c r="AB155" i="25" s="1"/>
  <c r="AI155" i="25" s="1"/>
  <c r="V163" i="25"/>
  <c r="X163" i="25" s="1"/>
  <c r="V115" i="25"/>
  <c r="X115" i="25" s="1"/>
  <c r="W189" i="25"/>
  <c r="Z189" i="25" s="1"/>
  <c r="AA189" i="25" s="1"/>
  <c r="AB189" i="25" s="1"/>
  <c r="AI189" i="25" s="1"/>
  <c r="V116" i="25"/>
  <c r="W115" i="25"/>
  <c r="Z115" i="25" s="1"/>
  <c r="AA115" i="25" s="1"/>
  <c r="AB115" i="25" s="1"/>
  <c r="W116" i="25"/>
  <c r="Z116" i="25" s="1"/>
  <c r="AA116" i="25" s="1"/>
  <c r="AD189" i="25"/>
  <c r="AE189" i="25" s="1"/>
  <c r="V287" i="25"/>
  <c r="X287" i="25" s="1"/>
  <c r="W190" i="25"/>
  <c r="Z190" i="25" s="1"/>
  <c r="AA190" i="25" s="1"/>
  <c r="AB190" i="25" s="1"/>
  <c r="AI190" i="25" s="1"/>
  <c r="V188" i="25"/>
  <c r="X188" i="25" s="1"/>
  <c r="W203" i="25"/>
  <c r="Z203" i="25" s="1"/>
  <c r="AA203" i="25" s="1"/>
  <c r="AB203" i="25" s="1"/>
  <c r="AI203" i="25" s="1"/>
  <c r="V190" i="25"/>
  <c r="W119" i="25"/>
  <c r="Z119" i="25" s="1"/>
  <c r="AA119" i="25" s="1"/>
  <c r="AD135" i="25"/>
  <c r="AE135" i="25" s="1"/>
  <c r="AD314" i="25"/>
  <c r="AE314" i="25" s="1"/>
  <c r="V314" i="25"/>
  <c r="X314" i="25" s="1"/>
  <c r="W188" i="25"/>
  <c r="Z188" i="25" s="1"/>
  <c r="AA188" i="25" s="1"/>
  <c r="AB188" i="25" s="1"/>
  <c r="AI188" i="25" s="1"/>
  <c r="AD235" i="25"/>
  <c r="AE235" i="25" s="1"/>
  <c r="AD203" i="25"/>
  <c r="AE203" i="25" s="1"/>
  <c r="V191" i="25"/>
  <c r="V301" i="25"/>
  <c r="X301" i="25" s="1"/>
  <c r="W238" i="25"/>
  <c r="Z238" i="25" s="1"/>
  <c r="AA238" i="25" s="1"/>
  <c r="W191" i="25"/>
  <c r="Z191" i="25" s="1"/>
  <c r="AA191" i="25" s="1"/>
  <c r="AB191" i="25" s="1"/>
  <c r="AI191" i="25" s="1"/>
  <c r="V235" i="25"/>
  <c r="X235" i="25" s="1"/>
  <c r="W274" i="25"/>
  <c r="Z274" i="25" s="1"/>
  <c r="AA274" i="25" s="1"/>
  <c r="AB274" i="25" s="1"/>
  <c r="AI274" i="25" s="1"/>
  <c r="AS274" i="25" s="1"/>
  <c r="W111" i="25"/>
  <c r="Z111" i="25" s="1"/>
  <c r="AA111" i="25" s="1"/>
  <c r="AB111" i="25" s="1"/>
  <c r="AI111" i="25" s="1"/>
  <c r="W270" i="25"/>
  <c r="Z270" i="25" s="1"/>
  <c r="AA270" i="25" s="1"/>
  <c r="AB270" i="25" s="1"/>
  <c r="AI270" i="25" s="1"/>
  <c r="AS270" i="25" s="1"/>
  <c r="AD111" i="25"/>
  <c r="AE111" i="25" s="1"/>
  <c r="AD270" i="25"/>
  <c r="AE270" i="25" s="1"/>
  <c r="AD174" i="25"/>
  <c r="AE174" i="25" s="1"/>
  <c r="W281" i="25"/>
  <c r="Z281" i="25" s="1"/>
  <c r="AA281" i="25" s="1"/>
  <c r="AB281" i="25" s="1"/>
  <c r="AI281" i="25" s="1"/>
  <c r="AS281" i="25" s="1"/>
  <c r="V247" i="25"/>
  <c r="X247" i="25" s="1"/>
  <c r="W173" i="25"/>
  <c r="Z173" i="25" s="1"/>
  <c r="AA173" i="25" s="1"/>
  <c r="AB173" i="25" s="1"/>
  <c r="AI173" i="25" s="1"/>
  <c r="V173" i="25"/>
  <c r="X173" i="25" s="1"/>
  <c r="AD180" i="25"/>
  <c r="AE180" i="25" s="1"/>
  <c r="W182" i="25"/>
  <c r="Z182" i="25" s="1"/>
  <c r="AA182" i="25" s="1"/>
  <c r="AB182" i="25" s="1"/>
  <c r="W278" i="25"/>
  <c r="Z278" i="25" s="1"/>
  <c r="AA278" i="25" s="1"/>
  <c r="AB278" i="25" s="1"/>
  <c r="AI278" i="25" s="1"/>
  <c r="AS278" i="25" s="1"/>
  <c r="AD243" i="25"/>
  <c r="AE243" i="25" s="1"/>
  <c r="W224" i="25"/>
  <c r="Z224" i="25" s="1"/>
  <c r="AA224" i="25" s="1"/>
  <c r="AB224" i="25" s="1"/>
  <c r="AI224" i="25" s="1"/>
  <c r="AS224" i="25" s="1"/>
  <c r="W308" i="25"/>
  <c r="Z308" i="25" s="1"/>
  <c r="AA308" i="25" s="1"/>
  <c r="AB308" i="25" s="1"/>
  <c r="AI308" i="25" s="1"/>
  <c r="AS308" i="25" s="1"/>
  <c r="AD267" i="25"/>
  <c r="AE267" i="25" s="1"/>
  <c r="V316" i="25"/>
  <c r="X316" i="25" s="1"/>
  <c r="AD249" i="25"/>
  <c r="AE249" i="25" s="1"/>
  <c r="W271" i="25"/>
  <c r="Z271" i="25" s="1"/>
  <c r="AA271" i="25" s="1"/>
  <c r="AB271" i="25" s="1"/>
  <c r="AI271" i="25" s="1"/>
  <c r="AS271" i="25" s="1"/>
  <c r="AD282" i="25"/>
  <c r="AE282" i="25" s="1"/>
  <c r="AD316" i="25"/>
  <c r="AE316" i="25" s="1"/>
  <c r="W296" i="25"/>
  <c r="Z296" i="25" s="1"/>
  <c r="AA296" i="25" s="1"/>
  <c r="AB296" i="25" s="1"/>
  <c r="AI296" i="25" s="1"/>
  <c r="AS296" i="25" s="1"/>
  <c r="V224" i="25"/>
  <c r="X224" i="25" s="1"/>
  <c r="W121" i="25"/>
  <c r="Z121" i="25" s="1"/>
  <c r="AA121" i="25" s="1"/>
  <c r="AB121" i="25" s="1"/>
  <c r="AI121" i="25" s="1"/>
  <c r="V160" i="25"/>
  <c r="X160" i="25" s="1"/>
  <c r="AD263" i="25"/>
  <c r="AE263" i="25" s="1"/>
  <c r="V263" i="25"/>
  <c r="X263" i="25" s="1"/>
  <c r="AD159" i="25"/>
  <c r="AE159" i="25" s="1"/>
  <c r="V251" i="25"/>
  <c r="X251" i="25" s="1"/>
  <c r="AD205" i="25"/>
  <c r="AE205" i="25" s="1"/>
  <c r="V170" i="25"/>
  <c r="X170" i="25" s="1"/>
  <c r="W261" i="25"/>
  <c r="Z261" i="25" s="1"/>
  <c r="AA261" i="25" s="1"/>
  <c r="AB261" i="25" s="1"/>
  <c r="AI261" i="25" s="1"/>
  <c r="AS261" i="25" s="1"/>
  <c r="V129" i="25"/>
  <c r="X129" i="25" s="1"/>
  <c r="W157" i="25"/>
  <c r="Z157" i="25" s="1"/>
  <c r="AA157" i="25" s="1"/>
  <c r="AB157" i="25" s="1"/>
  <c r="AI157" i="25" s="1"/>
  <c r="W205" i="25"/>
  <c r="Z205" i="25" s="1"/>
  <c r="AA205" i="25" s="1"/>
  <c r="AB205" i="25" s="1"/>
  <c r="AI205" i="25" s="1"/>
  <c r="W170" i="25"/>
  <c r="Z170" i="25" s="1"/>
  <c r="AA170" i="25" s="1"/>
  <c r="AB170" i="25" s="1"/>
  <c r="AI170" i="25" s="1"/>
  <c r="V157" i="25"/>
  <c r="X157" i="25" s="1"/>
  <c r="W177" i="25"/>
  <c r="Z177" i="25" s="1"/>
  <c r="AA177" i="25" s="1"/>
  <c r="AB177" i="25" s="1"/>
  <c r="AI177" i="25" s="1"/>
  <c r="AD177" i="25"/>
  <c r="AE177" i="25" s="1"/>
  <c r="W129" i="25"/>
  <c r="Z129" i="25" s="1"/>
  <c r="AA129" i="25" s="1"/>
  <c r="AB129" i="25" s="1"/>
  <c r="AI129" i="25" s="1"/>
  <c r="AD153" i="25"/>
  <c r="AE153" i="25" s="1"/>
  <c r="W301" i="25"/>
  <c r="Z301" i="25" s="1"/>
  <c r="AA301" i="25" s="1"/>
  <c r="AB301" i="25" s="1"/>
  <c r="AI301" i="25" s="1"/>
  <c r="AS301" i="25" s="1"/>
  <c r="W290" i="25"/>
  <c r="Z290" i="25" s="1"/>
  <c r="AA290" i="25" s="1"/>
  <c r="AB290" i="25" s="1"/>
  <c r="AI290" i="25" s="1"/>
  <c r="AS290" i="25" s="1"/>
  <c r="W149" i="25"/>
  <c r="Z149" i="25" s="1"/>
  <c r="AA149" i="25" s="1"/>
  <c r="AB149" i="25" s="1"/>
  <c r="AI149" i="25" s="1"/>
  <c r="W259" i="25"/>
  <c r="Z259" i="25" s="1"/>
  <c r="AA259" i="25" s="1"/>
  <c r="AB259" i="25" s="1"/>
  <c r="AI259" i="25" s="1"/>
  <c r="AS259" i="25" s="1"/>
  <c r="AD149" i="25"/>
  <c r="AE149" i="25" s="1"/>
  <c r="AD290" i="25"/>
  <c r="AE290" i="25" s="1"/>
  <c r="AD238" i="25"/>
  <c r="AE238" i="25" s="1"/>
  <c r="W248" i="25"/>
  <c r="Z248" i="25" s="1"/>
  <c r="AA248" i="25" s="1"/>
  <c r="AB248" i="25" s="1"/>
  <c r="AI248" i="25" s="1"/>
  <c r="AS248" i="25" s="1"/>
  <c r="AD259" i="25"/>
  <c r="AE259" i="25" s="1"/>
  <c r="AD248" i="25"/>
  <c r="AE248" i="25" s="1"/>
  <c r="V152" i="25"/>
  <c r="X152" i="25" s="1"/>
  <c r="AD152" i="25"/>
  <c r="AE152" i="25" s="1"/>
  <c r="W120" i="25"/>
  <c r="Z120" i="25" s="1"/>
  <c r="AA120" i="25" s="1"/>
  <c r="AB120" i="25" s="1"/>
  <c r="AI120" i="25" s="1"/>
  <c r="V120" i="25"/>
  <c r="X120" i="25" s="1"/>
  <c r="W186" i="25"/>
  <c r="Z186" i="25" s="1"/>
  <c r="AA186" i="25" s="1"/>
  <c r="AB186" i="25" s="1"/>
  <c r="AI186" i="25" s="1"/>
  <c r="V243" i="25"/>
  <c r="X243" i="25" s="1"/>
  <c r="V167" i="25"/>
  <c r="X167" i="25" s="1"/>
  <c r="W140" i="25"/>
  <c r="Z140" i="25" s="1"/>
  <c r="AA140" i="25" s="1"/>
  <c r="AB140" i="25" s="1"/>
  <c r="AI140" i="25" s="1"/>
  <c r="V253" i="25"/>
  <c r="X253" i="25" s="1"/>
  <c r="AD296" i="25"/>
  <c r="AE296" i="25" s="1"/>
  <c r="AD308" i="25"/>
  <c r="AE308" i="25" s="1"/>
  <c r="W282" i="25"/>
  <c r="Z282" i="25" s="1"/>
  <c r="AA282" i="25" s="1"/>
  <c r="AB282" i="25" s="1"/>
  <c r="AI282" i="25" s="1"/>
  <c r="AS282" i="25" s="1"/>
  <c r="V306" i="25"/>
  <c r="X306" i="25" s="1"/>
  <c r="W159" i="25"/>
  <c r="Z159" i="25" s="1"/>
  <c r="AA159" i="25" s="1"/>
  <c r="AB159" i="25" s="1"/>
  <c r="AI159" i="25" s="1"/>
  <c r="V267" i="25"/>
  <c r="W249" i="25"/>
  <c r="Z249" i="25" s="1"/>
  <c r="AA249" i="25" s="1"/>
  <c r="AB249" i="25" s="1"/>
  <c r="AI249" i="25" s="1"/>
  <c r="AS249" i="25" s="1"/>
  <c r="AD271" i="25"/>
  <c r="AE271" i="25" s="1"/>
  <c r="V161" i="25"/>
  <c r="X161" i="25" s="1"/>
  <c r="V166" i="25"/>
  <c r="X166" i="25" s="1"/>
  <c r="AD164" i="25"/>
  <c r="AE164" i="25" s="1"/>
  <c r="W253" i="25"/>
  <c r="Z253" i="25" s="1"/>
  <c r="AA253" i="25" s="1"/>
  <c r="AB253" i="25" s="1"/>
  <c r="AI253" i="25" s="1"/>
  <c r="AS253" i="25" s="1"/>
  <c r="V164" i="25"/>
  <c r="X164" i="25" s="1"/>
  <c r="V303" i="25"/>
  <c r="X303" i="25" s="1"/>
  <c r="W303" i="25"/>
  <c r="Z303" i="25" s="1"/>
  <c r="AA303" i="25" s="1"/>
  <c r="AB303" i="25" s="1"/>
  <c r="AI303" i="25" s="1"/>
  <c r="AS303" i="25" s="1"/>
  <c r="W202" i="25"/>
  <c r="Z202" i="25" s="1"/>
  <c r="AA202" i="25" s="1"/>
  <c r="AB202" i="25" s="1"/>
  <c r="AI202" i="25" s="1"/>
  <c r="W180" i="25"/>
  <c r="Z180" i="25" s="1"/>
  <c r="AA180" i="25" s="1"/>
  <c r="AB180" i="25" s="1"/>
  <c r="AI180" i="25" s="1"/>
  <c r="V135" i="25"/>
  <c r="X135" i="25" s="1"/>
  <c r="V142" i="25"/>
  <c r="X142" i="25" s="1"/>
  <c r="W228" i="25"/>
  <c r="Z228" i="25" s="1"/>
  <c r="AA228" i="25" s="1"/>
  <c r="AB228" i="25" s="1"/>
  <c r="AI228" i="25" s="1"/>
  <c r="AS228" i="25" s="1"/>
  <c r="AD274" i="25"/>
  <c r="AE274" i="25" s="1"/>
  <c r="AD182" i="25"/>
  <c r="AE182" i="25" s="1"/>
  <c r="AD278" i="25"/>
  <c r="AE278" i="25" s="1"/>
  <c r="W206" i="25"/>
  <c r="Z206" i="25" s="1"/>
  <c r="AA206" i="25" s="1"/>
  <c r="AB206" i="25" s="1"/>
  <c r="AI206" i="25" s="1"/>
  <c r="V228" i="25"/>
  <c r="X228" i="25" s="1"/>
  <c r="W247" i="25"/>
  <c r="Z247" i="25" s="1"/>
  <c r="AA247" i="25" s="1"/>
  <c r="AB247" i="25" s="1"/>
  <c r="AI247" i="25" s="1"/>
  <c r="AS247" i="25" s="1"/>
  <c r="V175" i="25"/>
  <c r="X175" i="25" s="1"/>
  <c r="AD196" i="25"/>
  <c r="AE196" i="25" s="1"/>
  <c r="AD206" i="25"/>
  <c r="AE206" i="25" s="1"/>
  <c r="W142" i="25"/>
  <c r="Z142" i="25" s="1"/>
  <c r="AA142" i="25" s="1"/>
  <c r="AB142" i="25" s="1"/>
  <c r="AI142" i="25" s="1"/>
  <c r="W196" i="25"/>
  <c r="Z196" i="25" s="1"/>
  <c r="AA196" i="25" s="1"/>
  <c r="AB196" i="25" s="1"/>
  <c r="AI196" i="25" s="1"/>
  <c r="V244" i="25"/>
  <c r="X244" i="25" s="1"/>
  <c r="W244" i="25"/>
  <c r="Z244" i="25" s="1"/>
  <c r="AA244" i="25" s="1"/>
  <c r="AB244" i="25" s="1"/>
  <c r="AI244" i="25" s="1"/>
  <c r="AS244" i="25" s="1"/>
  <c r="W175" i="25"/>
  <c r="Z175" i="25" s="1"/>
  <c r="AA175" i="25" s="1"/>
  <c r="AB175" i="25" s="1"/>
  <c r="AI175" i="25" s="1"/>
  <c r="V174" i="25"/>
  <c r="X174" i="25" s="1"/>
  <c r="V281" i="25"/>
  <c r="X281" i="25" s="1"/>
  <c r="V179" i="25"/>
  <c r="X179" i="25" s="1"/>
  <c r="W161" i="25"/>
  <c r="Z161" i="25" s="1"/>
  <c r="AA161" i="25" s="1"/>
  <c r="AB161" i="25" s="1"/>
  <c r="AI161" i="25" s="1"/>
  <c r="AD202" i="25"/>
  <c r="AE202" i="25" s="1"/>
  <c r="W166" i="25"/>
  <c r="Z166" i="25" s="1"/>
  <c r="AA166" i="25" s="1"/>
  <c r="AB166" i="25" s="1"/>
  <c r="AI166" i="25" s="1"/>
  <c r="V122" i="25"/>
  <c r="X122" i="25" s="1"/>
  <c r="V118" i="25"/>
  <c r="X118" i="25" s="1"/>
  <c r="AD122" i="25"/>
  <c r="AE122" i="25" s="1"/>
  <c r="W179" i="25"/>
  <c r="Z179" i="25" s="1"/>
  <c r="AA179" i="25" s="1"/>
  <c r="AB179" i="25" s="1"/>
  <c r="AI179" i="25" s="1"/>
  <c r="W118" i="25"/>
  <c r="Z118" i="25" s="1"/>
  <c r="AA118" i="25" s="1"/>
  <c r="AB118" i="25" s="1"/>
  <c r="AI118" i="25" s="1"/>
  <c r="V186" i="25"/>
  <c r="X186" i="25" s="1"/>
  <c r="AD140" i="25"/>
  <c r="AE140" i="25" s="1"/>
  <c r="W143" i="25"/>
  <c r="Z143" i="25" s="1"/>
  <c r="AA143" i="25" s="1"/>
  <c r="AB143" i="25" s="1"/>
  <c r="AI143" i="25" s="1"/>
  <c r="W167" i="25"/>
  <c r="Z167" i="25" s="1"/>
  <c r="AA167" i="25" s="1"/>
  <c r="AB167" i="25" s="1"/>
  <c r="AI167" i="25" s="1"/>
  <c r="V187" i="25"/>
  <c r="X187" i="25" s="1"/>
  <c r="W145" i="25"/>
  <c r="Z145" i="25" s="1"/>
  <c r="AA145" i="25" s="1"/>
  <c r="AB145" i="25" s="1"/>
  <c r="AI145" i="25" s="1"/>
  <c r="V145" i="25"/>
  <c r="X145" i="25" s="1"/>
  <c r="W131" i="25"/>
  <c r="Z131" i="25" s="1"/>
  <c r="AA131" i="25" s="1"/>
  <c r="AB131" i="25" s="1"/>
  <c r="AI131" i="25" s="1"/>
  <c r="W171" i="25"/>
  <c r="Z171" i="25" s="1"/>
  <c r="AA171" i="25" s="1"/>
  <c r="AB171" i="25" s="1"/>
  <c r="AI171" i="25" s="1"/>
  <c r="AD117" i="25"/>
  <c r="AE117" i="25" s="1"/>
  <c r="V204" i="25"/>
  <c r="X204" i="25" s="1"/>
  <c r="V117" i="25"/>
  <c r="X117" i="25" s="1"/>
  <c r="AD131" i="25"/>
  <c r="AE131" i="25" s="1"/>
  <c r="V171" i="25"/>
  <c r="X171" i="25" s="1"/>
  <c r="W204" i="25"/>
  <c r="Z204" i="25" s="1"/>
  <c r="AA204" i="25" s="1"/>
  <c r="AB204" i="25" s="1"/>
  <c r="AI204" i="25" s="1"/>
  <c r="V165" i="25"/>
  <c r="X165" i="25" s="1"/>
  <c r="AD165" i="25"/>
  <c r="AE165" i="25" s="1"/>
  <c r="V260" i="25"/>
  <c r="X260" i="25" s="1"/>
  <c r="W260" i="25"/>
  <c r="Z260" i="25" s="1"/>
  <c r="AA260" i="25" s="1"/>
  <c r="AB260" i="25" s="1"/>
  <c r="AI260" i="25" s="1"/>
  <c r="AS260" i="25" s="1"/>
  <c r="V168" i="25"/>
  <c r="X168" i="25" s="1"/>
  <c r="W304" i="25"/>
  <c r="Z304" i="25" s="1"/>
  <c r="AA304" i="25" s="1"/>
  <c r="AB304" i="25" s="1"/>
  <c r="AI304" i="25" s="1"/>
  <c r="AS304" i="25" s="1"/>
  <c r="V304" i="25"/>
  <c r="X304" i="25" s="1"/>
  <c r="V153" i="25"/>
  <c r="X153" i="25" s="1"/>
  <c r="W306" i="25"/>
  <c r="Z306" i="25" s="1"/>
  <c r="AA306" i="25" s="1"/>
  <c r="AB306" i="25" s="1"/>
  <c r="AI306" i="25" s="1"/>
  <c r="AS306" i="25" s="1"/>
  <c r="V141" i="25"/>
  <c r="X141" i="25" s="1"/>
  <c r="AD176" i="25"/>
  <c r="AE176" i="25" s="1"/>
  <c r="AD209" i="25"/>
  <c r="AE209" i="25" s="1"/>
  <c r="AD141" i="25"/>
  <c r="AE141" i="25" s="1"/>
  <c r="V151" i="25"/>
  <c r="X151" i="25" s="1"/>
  <c r="W151" i="25"/>
  <c r="Z151" i="25" s="1"/>
  <c r="AA151" i="25" s="1"/>
  <c r="AB151" i="25" s="1"/>
  <c r="AI151" i="25" s="1"/>
  <c r="W146" i="25"/>
  <c r="Z146" i="25" s="1"/>
  <c r="AA146" i="25" s="1"/>
  <c r="AB146" i="25" s="1"/>
  <c r="AI146" i="25" s="1"/>
  <c r="V146" i="25"/>
  <c r="X146" i="25" s="1"/>
  <c r="AD261" i="25"/>
  <c r="AE261" i="25" s="1"/>
  <c r="W256" i="25"/>
  <c r="Z256" i="25" s="1"/>
  <c r="AA256" i="25" s="1"/>
  <c r="AB256" i="25" s="1"/>
  <c r="AI256" i="25" s="1"/>
  <c r="AS256" i="25" s="1"/>
  <c r="AD256" i="25"/>
  <c r="AE256" i="25" s="1"/>
  <c r="W229" i="25"/>
  <c r="Z229" i="25" s="1"/>
  <c r="AA229" i="25" s="1"/>
  <c r="AB229" i="25" s="1"/>
  <c r="AI229" i="25" s="1"/>
  <c r="AS229" i="25" s="1"/>
  <c r="AD229" i="25"/>
  <c r="AE229" i="25" s="1"/>
  <c r="V197" i="25"/>
  <c r="X197" i="25" s="1"/>
  <c r="AD137" i="25"/>
  <c r="AE137" i="25" s="1"/>
  <c r="W197" i="25"/>
  <c r="Z197" i="25" s="1"/>
  <c r="AA197" i="25" s="1"/>
  <c r="AB197" i="25" s="1"/>
  <c r="AI197" i="25" s="1"/>
  <c r="W193" i="25"/>
  <c r="Z193" i="25" s="1"/>
  <c r="AA193" i="25" s="1"/>
  <c r="AB193" i="25" s="1"/>
  <c r="AI193" i="25" s="1"/>
  <c r="AD193" i="25"/>
  <c r="AE193" i="25" s="1"/>
  <c r="V137" i="25"/>
  <c r="X137" i="25" s="1"/>
  <c r="V181" i="25"/>
  <c r="X181" i="25" s="1"/>
  <c r="W194" i="25"/>
  <c r="Z194" i="25" s="1"/>
  <c r="AA194" i="25" s="1"/>
  <c r="AB194" i="25" s="1"/>
  <c r="AI194" i="25" s="1"/>
  <c r="W181" i="25"/>
  <c r="Z181" i="25" s="1"/>
  <c r="AA181" i="25" s="1"/>
  <c r="AB181" i="25" s="1"/>
  <c r="AI181" i="25" s="1"/>
  <c r="W183" i="25"/>
  <c r="Z183" i="25" s="1"/>
  <c r="AA183" i="25" s="1"/>
  <c r="AB183" i="25" s="1"/>
  <c r="AI183" i="25" s="1"/>
  <c r="V194" i="25"/>
  <c r="X194" i="25" s="1"/>
  <c r="W130" i="25"/>
  <c r="Z130" i="25" s="1"/>
  <c r="AA130" i="25" s="1"/>
  <c r="AB130" i="25" s="1"/>
  <c r="AI130" i="25" s="1"/>
  <c r="W195" i="25"/>
  <c r="Z195" i="25" s="1"/>
  <c r="AA195" i="25" s="1"/>
  <c r="AB195" i="25" s="1"/>
  <c r="AI195" i="25" s="1"/>
  <c r="V130" i="25"/>
  <c r="X130" i="25" s="1"/>
  <c r="AD183" i="25"/>
  <c r="AE183" i="25" s="1"/>
  <c r="V195" i="25"/>
  <c r="X195" i="25" s="1"/>
  <c r="W113" i="25"/>
  <c r="Z113" i="25" s="1"/>
  <c r="AA113" i="25" s="1"/>
  <c r="AB113" i="25" s="1"/>
  <c r="AI113" i="25" s="1"/>
  <c r="AD143" i="25"/>
  <c r="AE143" i="25" s="1"/>
  <c r="AD113" i="25"/>
  <c r="AE113" i="25" s="1"/>
  <c r="W185" i="25"/>
  <c r="Z185" i="25" s="1"/>
  <c r="AA185" i="25" s="1"/>
  <c r="AB185" i="25" s="1"/>
  <c r="AI185" i="25" s="1"/>
  <c r="W187" i="25"/>
  <c r="Z187" i="25" s="1"/>
  <c r="AA187" i="25" s="1"/>
  <c r="AB187" i="25" s="1"/>
  <c r="AI187" i="25" s="1"/>
  <c r="AD185" i="25"/>
  <c r="AE185" i="25" s="1"/>
  <c r="AD266" i="25"/>
  <c r="AE266" i="25" s="1"/>
  <c r="W254" i="25"/>
  <c r="Z254" i="25" s="1"/>
  <c r="AA254" i="25" s="1"/>
  <c r="AB254" i="25" s="1"/>
  <c r="AI254" i="25" s="1"/>
  <c r="AS254" i="25" s="1"/>
  <c r="V254" i="25"/>
  <c r="X254" i="25" s="1"/>
  <c r="W126" i="25"/>
  <c r="Z126" i="25" s="1"/>
  <c r="AA126" i="25" s="1"/>
  <c r="AB126" i="25" s="1"/>
  <c r="AI126" i="25" s="1"/>
  <c r="W209" i="25"/>
  <c r="Z209" i="25" s="1"/>
  <c r="AA209" i="25" s="1"/>
  <c r="AB209" i="25" s="1"/>
  <c r="AI209" i="25" s="1"/>
  <c r="V176" i="25"/>
  <c r="X176" i="25" s="1"/>
  <c r="V257" i="25"/>
  <c r="X257" i="25" s="1"/>
  <c r="W200" i="25"/>
  <c r="Z200" i="25" s="1"/>
  <c r="AA200" i="25" s="1"/>
  <c r="AB200" i="25" s="1"/>
  <c r="AI200" i="25" s="1"/>
  <c r="W257" i="25"/>
  <c r="Z257" i="25" s="1"/>
  <c r="AA257" i="25" s="1"/>
  <c r="AB257" i="25" s="1"/>
  <c r="AI257" i="25" s="1"/>
  <c r="AS257" i="25" s="1"/>
  <c r="W147" i="25"/>
  <c r="Z147" i="25" s="1"/>
  <c r="AA147" i="25" s="1"/>
  <c r="AB147" i="25" s="1"/>
  <c r="AI147" i="25" s="1"/>
  <c r="W298" i="25"/>
  <c r="Z298" i="25" s="1"/>
  <c r="AA298" i="25" s="1"/>
  <c r="AB298" i="25" s="1"/>
  <c r="AI298" i="25" s="1"/>
  <c r="AS298" i="25" s="1"/>
  <c r="AD298" i="25"/>
  <c r="AE298" i="25" s="1"/>
  <c r="AD200" i="25"/>
  <c r="AE200" i="25" s="1"/>
  <c r="V158" i="25"/>
  <c r="X158" i="25" s="1"/>
  <c r="W158" i="25"/>
  <c r="Z158" i="25" s="1"/>
  <c r="AA158" i="25" s="1"/>
  <c r="AB158" i="25" s="1"/>
  <c r="AI158" i="25" s="1"/>
  <c r="AD127" i="25"/>
  <c r="AE127" i="25" s="1"/>
  <c r="V192" i="25"/>
  <c r="X192" i="25" s="1"/>
  <c r="V124" i="25"/>
  <c r="X124" i="25" s="1"/>
  <c r="V127" i="25"/>
  <c r="X127" i="25" s="1"/>
  <c r="V312" i="25"/>
  <c r="X312" i="25" s="1"/>
  <c r="W124" i="25"/>
  <c r="Z124" i="25" s="1"/>
  <c r="AA124" i="25" s="1"/>
  <c r="AB124" i="25" s="1"/>
  <c r="AI124" i="25" s="1"/>
  <c r="AD192" i="25"/>
  <c r="AE192" i="25" s="1"/>
  <c r="AD312" i="25"/>
  <c r="AE312" i="25" s="1"/>
  <c r="W297" i="25"/>
  <c r="Z297" i="25" s="1"/>
  <c r="AA297" i="25" s="1"/>
  <c r="AB297" i="25" s="1"/>
  <c r="AI297" i="25" s="1"/>
  <c r="AS297" i="25" s="1"/>
  <c r="V297" i="25"/>
  <c r="X297" i="25" s="1"/>
  <c r="W230" i="25"/>
  <c r="Z230" i="25" s="1"/>
  <c r="AA230" i="25" s="1"/>
  <c r="AB230" i="25" s="1"/>
  <c r="AI230" i="25" s="1"/>
  <c r="AS230" i="25" s="1"/>
  <c r="V208" i="25"/>
  <c r="X208" i="25" s="1"/>
  <c r="AD126" i="25"/>
  <c r="AE126" i="25" s="1"/>
  <c r="AD230" i="25"/>
  <c r="AE230" i="25" s="1"/>
  <c r="V198" i="25"/>
  <c r="X198" i="25" s="1"/>
  <c r="W208" i="25"/>
  <c r="Z208" i="25" s="1"/>
  <c r="AA208" i="25" s="1"/>
  <c r="AB208" i="25" s="1"/>
  <c r="AI208" i="25" s="1"/>
  <c r="V266" i="25"/>
  <c r="X266" i="25" s="1"/>
  <c r="V114" i="25"/>
  <c r="X114" i="25" s="1"/>
  <c r="AD313" i="25"/>
  <c r="AE313" i="25" s="1"/>
  <c r="W198" i="25"/>
  <c r="Z198" i="25" s="1"/>
  <c r="AA198" i="25" s="1"/>
  <c r="AB198" i="25" s="1"/>
  <c r="AI198" i="25" s="1"/>
  <c r="AD148" i="25"/>
  <c r="AE148" i="25" s="1"/>
  <c r="W114" i="25"/>
  <c r="Z114" i="25" s="1"/>
  <c r="AA114" i="25" s="1"/>
  <c r="AB114" i="25" s="1"/>
  <c r="AI114" i="25" s="1"/>
  <c r="W313" i="25"/>
  <c r="Z313" i="25" s="1"/>
  <c r="AA313" i="25" s="1"/>
  <c r="AB313" i="25" s="1"/>
  <c r="AI313" i="25" s="1"/>
  <c r="AS313" i="25" s="1"/>
  <c r="W148" i="25"/>
  <c r="Z148" i="25" s="1"/>
  <c r="AA148" i="25" s="1"/>
  <c r="AB148" i="25" s="1"/>
  <c r="AI148" i="25" s="1"/>
  <c r="V132" i="25"/>
  <c r="X132" i="25" s="1"/>
  <c r="AD132" i="25"/>
  <c r="AE132" i="25" s="1"/>
  <c r="W311" i="25"/>
  <c r="Z311" i="25" s="1"/>
  <c r="AA311" i="25" s="1"/>
  <c r="AB311" i="25" s="1"/>
  <c r="AI311" i="25" s="1"/>
  <c r="AS311" i="25" s="1"/>
  <c r="W237" i="25"/>
  <c r="Z237" i="25" s="1"/>
  <c r="AA237" i="25" s="1"/>
  <c r="AB237" i="25" s="1"/>
  <c r="AI237" i="25" s="1"/>
  <c r="AS237" i="25" s="1"/>
  <c r="AD237" i="25"/>
  <c r="AE237" i="25" s="1"/>
  <c r="W150" i="25"/>
  <c r="Z150" i="25" s="1"/>
  <c r="AA150" i="25" s="1"/>
  <c r="AB150" i="25" s="1"/>
  <c r="AI150" i="25" s="1"/>
  <c r="W221" i="25"/>
  <c r="Z221" i="25" s="1"/>
  <c r="AA221" i="25" s="1"/>
  <c r="AB221" i="25" s="1"/>
  <c r="AI221" i="25" s="1"/>
  <c r="AS221" i="25" s="1"/>
  <c r="V221" i="25"/>
  <c r="X221" i="25" s="1"/>
  <c r="V264" i="25"/>
  <c r="X264" i="25" s="1"/>
  <c r="V144" i="25"/>
  <c r="X144" i="25" s="1"/>
  <c r="W242" i="25"/>
  <c r="Z242" i="25" s="1"/>
  <c r="AA242" i="25" s="1"/>
  <c r="AB242" i="25" s="1"/>
  <c r="AI242" i="25" s="1"/>
  <c r="AS242" i="25" s="1"/>
  <c r="W264" i="25"/>
  <c r="Z264" i="25" s="1"/>
  <c r="AA264" i="25" s="1"/>
  <c r="AB264" i="25" s="1"/>
  <c r="AI264" i="25" s="1"/>
  <c r="AS264" i="25" s="1"/>
  <c r="AD168" i="25"/>
  <c r="AE168" i="25" s="1"/>
  <c r="V292" i="25"/>
  <c r="X292" i="25" s="1"/>
  <c r="V242" i="25"/>
  <c r="X242" i="25" s="1"/>
  <c r="V154" i="25"/>
  <c r="X154" i="25" s="1"/>
  <c r="W125" i="25"/>
  <c r="Z125" i="25" s="1"/>
  <c r="AA125" i="25" s="1"/>
  <c r="AB125" i="25" s="1"/>
  <c r="AI125" i="25" s="1"/>
  <c r="W292" i="25"/>
  <c r="Z292" i="25" s="1"/>
  <c r="AA292" i="25" s="1"/>
  <c r="AB292" i="25" s="1"/>
  <c r="AI292" i="25" s="1"/>
  <c r="AS292" i="25" s="1"/>
  <c r="AD144" i="25"/>
  <c r="AE144" i="25" s="1"/>
  <c r="W154" i="25"/>
  <c r="Z154" i="25" s="1"/>
  <c r="AA154" i="25" s="1"/>
  <c r="AB154" i="25" s="1"/>
  <c r="AI154" i="25" s="1"/>
  <c r="V162" i="25"/>
  <c r="X162" i="25" s="1"/>
  <c r="W255" i="25"/>
  <c r="Z255" i="25" s="1"/>
  <c r="AA255" i="25" s="1"/>
  <c r="AB255" i="25" s="1"/>
  <c r="AI255" i="25" s="1"/>
  <c r="AS255" i="25" s="1"/>
  <c r="V255" i="25"/>
  <c r="X255" i="25" s="1"/>
  <c r="W162" i="25"/>
  <c r="Z162" i="25" s="1"/>
  <c r="AA162" i="25" s="1"/>
  <c r="AB162" i="25" s="1"/>
  <c r="AI162" i="25" s="1"/>
  <c r="V150" i="25"/>
  <c r="X150" i="25" s="1"/>
  <c r="W272" i="25"/>
  <c r="Z272" i="25" s="1"/>
  <c r="AA272" i="25" s="1"/>
  <c r="AB272" i="25" s="1"/>
  <c r="AI272" i="25" s="1"/>
  <c r="AS272" i="25" s="1"/>
  <c r="V147" i="25"/>
  <c r="X147" i="25" s="1"/>
  <c r="V311" i="25"/>
  <c r="X311" i="25" s="1"/>
  <c r="V272" i="25"/>
  <c r="X272" i="25" s="1"/>
  <c r="AD125" i="25"/>
  <c r="AE125" i="25" s="1"/>
  <c r="AD172" i="25"/>
  <c r="AE172" i="25" s="1"/>
  <c r="W139" i="25"/>
  <c r="Z139" i="25" s="1"/>
  <c r="AA139" i="25" s="1"/>
  <c r="AB139" i="25" s="1"/>
  <c r="AI139" i="25" s="1"/>
  <c r="AD139" i="25"/>
  <c r="AE139" i="25" s="1"/>
  <c r="W172" i="25"/>
  <c r="Z172" i="25" s="1"/>
  <c r="AA172" i="25" s="1"/>
  <c r="AB172" i="25" s="1"/>
  <c r="AI172" i="25" s="1"/>
  <c r="W207" i="25"/>
  <c r="Z207" i="25" s="1"/>
  <c r="AA207" i="25" s="1"/>
  <c r="AB207" i="25" s="1"/>
  <c r="AI207" i="25" s="1"/>
  <c r="AD207" i="25"/>
  <c r="AE207" i="25" s="1"/>
  <c r="W210" i="25"/>
  <c r="Z210" i="25" s="1"/>
  <c r="AA210" i="25" s="1"/>
  <c r="AB210" i="25" s="1"/>
  <c r="AI210" i="25" s="1"/>
  <c r="V128" i="25"/>
  <c r="X128" i="25" s="1"/>
  <c r="AD128" i="25"/>
  <c r="AE128" i="25" s="1"/>
  <c r="AD210" i="25"/>
  <c r="AE210" i="25" s="1"/>
  <c r="AD201" i="25"/>
  <c r="AE201" i="25" s="1"/>
  <c r="W133" i="25"/>
  <c r="Z133" i="25" s="1"/>
  <c r="AA133" i="25" s="1"/>
  <c r="AB133" i="25" s="1"/>
  <c r="AI133" i="25" s="1"/>
  <c r="V156" i="25"/>
  <c r="X156" i="25" s="1"/>
  <c r="W201" i="25"/>
  <c r="Z201" i="25" s="1"/>
  <c r="AA201" i="25" s="1"/>
  <c r="AB201" i="25" s="1"/>
  <c r="AI201" i="25" s="1"/>
  <c r="AD156" i="25"/>
  <c r="AE156" i="25" s="1"/>
  <c r="AD133" i="25"/>
  <c r="AE133" i="25" s="1"/>
  <c r="W123" i="25"/>
  <c r="Z123" i="25" s="1"/>
  <c r="AA123" i="25" s="1"/>
  <c r="AB123" i="25" s="1"/>
  <c r="AI123" i="25" s="1"/>
  <c r="AD123" i="25"/>
  <c r="AE123" i="25" s="1"/>
  <c r="V184" i="25"/>
  <c r="X184" i="25" s="1"/>
  <c r="AD184" i="25"/>
  <c r="AE184" i="25" s="1"/>
  <c r="V134" i="25"/>
  <c r="X134" i="25" s="1"/>
  <c r="W134" i="25"/>
  <c r="Z134" i="25" s="1"/>
  <c r="AA134" i="25" s="1"/>
  <c r="AB134" i="25" s="1"/>
  <c r="AI134" i="25" s="1"/>
  <c r="L15" i="1"/>
  <c r="Y210" i="24"/>
  <c r="AM212" i="24"/>
  <c r="H212" i="24"/>
  <c r="U212" i="24"/>
  <c r="S212" i="24"/>
  <c r="T212" i="24" s="1"/>
  <c r="Q212" i="24"/>
  <c r="CF5" i="25"/>
  <c r="CF6" i="25"/>
  <c r="CF7" i="25"/>
  <c r="CF19" i="25"/>
  <c r="CF43" i="25"/>
  <c r="CF14" i="25"/>
  <c r="CF57" i="25"/>
  <c r="CF36" i="25"/>
  <c r="CF55" i="25"/>
  <c r="CF12" i="25"/>
  <c r="CF28" i="25"/>
  <c r="CF10" i="25"/>
  <c r="CF79" i="25"/>
  <c r="CF33" i="25"/>
  <c r="CF16" i="25"/>
  <c r="CF9" i="25"/>
  <c r="CF24" i="25"/>
  <c r="CF11" i="25"/>
  <c r="CF15" i="25"/>
  <c r="CF22" i="25"/>
  <c r="CF26" i="25"/>
  <c r="CF50" i="25"/>
  <c r="CF27" i="25"/>
  <c r="CF30" i="25"/>
  <c r="CF8" i="25"/>
  <c r="CF23" i="25"/>
  <c r="CF34" i="25"/>
  <c r="CF13" i="25"/>
  <c r="CF17" i="25"/>
  <c r="CF37" i="25"/>
  <c r="CF88" i="25"/>
  <c r="CE110" i="24"/>
  <c r="CE217" i="24"/>
  <c r="CE243" i="24"/>
  <c r="CE282" i="24"/>
  <c r="CE255" i="24"/>
  <c r="CE137" i="24"/>
  <c r="CE227" i="24"/>
  <c r="CE278" i="24"/>
  <c r="CE239" i="24"/>
  <c r="CE218" i="24"/>
  <c r="CE292" i="24"/>
  <c r="CE131" i="24"/>
  <c r="CE306" i="24"/>
  <c r="CE242" i="24"/>
  <c r="CE279" i="24"/>
  <c r="CE317" i="24"/>
  <c r="CE253" i="24"/>
  <c r="CE272" i="24"/>
  <c r="CE295" i="24"/>
  <c r="CE158" i="24"/>
  <c r="CE266" i="24"/>
  <c r="CE277" i="24"/>
  <c r="CE299" i="24"/>
  <c r="CE115" i="24"/>
  <c r="CE294" i="24"/>
  <c r="CE289" i="24"/>
  <c r="CE159" i="24"/>
  <c r="CE311" i="24"/>
  <c r="CE286" i="24"/>
  <c r="CE222" i="24"/>
  <c r="CE297" i="24"/>
  <c r="CE233" i="24"/>
  <c r="CE316" i="24"/>
  <c r="CE252" i="24"/>
  <c r="CE261" i="24"/>
  <c r="CE259" i="24"/>
  <c r="CE280" i="24"/>
  <c r="CE274" i="24"/>
  <c r="CE275" i="24"/>
  <c r="CE304" i="24"/>
  <c r="CE240" i="24"/>
  <c r="CE307" i="24"/>
  <c r="CE128" i="24"/>
  <c r="CE264" i="24"/>
  <c r="CE117" i="24"/>
  <c r="CE230" i="24"/>
  <c r="CE225" i="24"/>
  <c r="CE276" i="24"/>
  <c r="CE265" i="24"/>
  <c r="CE113" i="24"/>
  <c r="CE250" i="24"/>
  <c r="CE293" i="24"/>
  <c r="CE312" i="24"/>
  <c r="CE246" i="24"/>
  <c r="CE305" i="24"/>
  <c r="CE247" i="24"/>
  <c r="CE181" i="24"/>
  <c r="CE260" i="24"/>
  <c r="CE263" i="24"/>
  <c r="CE290" i="24"/>
  <c r="CE226" i="24"/>
  <c r="CE231" i="24"/>
  <c r="CE301" i="24"/>
  <c r="CE237" i="24"/>
  <c r="CE315" i="24"/>
  <c r="CE256" i="24"/>
  <c r="CE234" i="24"/>
  <c r="CE245" i="24"/>
  <c r="CE296" i="24"/>
  <c r="CE283" i="24"/>
  <c r="CE262" i="24"/>
  <c r="CE257" i="24"/>
  <c r="CE287" i="24"/>
  <c r="CE308" i="24"/>
  <c r="CE129" i="24"/>
  <c r="CE251" i="24"/>
  <c r="CE178" i="24"/>
  <c r="CE270" i="24"/>
  <c r="CE116" i="24"/>
  <c r="CE281" i="24"/>
  <c r="CE303" i="24"/>
  <c r="CE300" i="24"/>
  <c r="CE236" i="24"/>
  <c r="CE273" i="24"/>
  <c r="CE228" i="24"/>
  <c r="CE285" i="24"/>
  <c r="CE221" i="24"/>
  <c r="CE219" i="24"/>
  <c r="CE254" i="24"/>
  <c r="CE112" i="24"/>
  <c r="CE111" i="24"/>
  <c r="CE291" i="24"/>
  <c r="CE244" i="24"/>
  <c r="CE302" i="24"/>
  <c r="CE313" i="24"/>
  <c r="CE271" i="24"/>
  <c r="CE310" i="24"/>
  <c r="CE235" i="24"/>
  <c r="CE309" i="24"/>
  <c r="CE118" i="24"/>
  <c r="CE238" i="24"/>
  <c r="CE249" i="24"/>
  <c r="CE223" i="24"/>
  <c r="CE284" i="24"/>
  <c r="CE314" i="24"/>
  <c r="CE248" i="24"/>
  <c r="CE241" i="24"/>
  <c r="CE134" i="24"/>
  <c r="CE114" i="24"/>
  <c r="CE288" i="24"/>
  <c r="CE125" i="24"/>
  <c r="CE298" i="24"/>
  <c r="CE232" i="24"/>
  <c r="CE124" i="24"/>
  <c r="CE268" i="24"/>
  <c r="CE229" i="24"/>
  <c r="CE166" i="24"/>
  <c r="CE258" i="24"/>
  <c r="CE123" i="24"/>
  <c r="CE269" i="24"/>
  <c r="CE224" i="24"/>
  <c r="CE267" i="24"/>
  <c r="CE220" i="24"/>
  <c r="AT173" i="24"/>
  <c r="AT135" i="24"/>
  <c r="AT138" i="24"/>
  <c r="AT118" i="24"/>
  <c r="AT202" i="24"/>
  <c r="AT164" i="24"/>
  <c r="AT129" i="24"/>
  <c r="AT140" i="24"/>
  <c r="AT178" i="24"/>
  <c r="AT175" i="24"/>
  <c r="AT180" i="24"/>
  <c r="AT126" i="24"/>
  <c r="AT124" i="24"/>
  <c r="AT200" i="24"/>
  <c r="AT160" i="24"/>
  <c r="AI254" i="24"/>
  <c r="AJ254" i="24" s="1"/>
  <c r="AT254" i="24" s="1"/>
  <c r="W254" i="24"/>
  <c r="Y254" i="24" s="1"/>
  <c r="AE254" i="24"/>
  <c r="X278" i="24"/>
  <c r="AA278" i="24" s="1"/>
  <c r="AB278" i="24" s="1"/>
  <c r="AC278" i="24" s="1"/>
  <c r="AE306" i="24"/>
  <c r="AE130" i="24"/>
  <c r="AF130" i="24" s="1"/>
  <c r="W306" i="24"/>
  <c r="Y306" i="24" s="1"/>
  <c r="AI306" i="24"/>
  <c r="AJ306" i="24" s="1"/>
  <c r="AT306" i="24" s="1"/>
  <c r="X190" i="24"/>
  <c r="AA190" i="24" s="1"/>
  <c r="AB190" i="24" s="1"/>
  <c r="AC190" i="24" s="1"/>
  <c r="AJ190" i="24" s="1"/>
  <c r="AE190" i="24"/>
  <c r="AF190" i="24" s="1"/>
  <c r="W190" i="24"/>
  <c r="Y190" i="24" s="1"/>
  <c r="AI278" i="24"/>
  <c r="W278" i="24"/>
  <c r="Y278" i="24" s="1"/>
  <c r="X281" i="24"/>
  <c r="AA281" i="24" s="1"/>
  <c r="AB281" i="24" s="1"/>
  <c r="AC281" i="24" s="1"/>
  <c r="X261" i="24"/>
  <c r="AA261" i="24" s="1"/>
  <c r="AB261" i="24" s="1"/>
  <c r="AC261" i="24" s="1"/>
  <c r="AE227" i="24"/>
  <c r="AF227" i="24" s="1"/>
  <c r="X249" i="24"/>
  <c r="AA249" i="24" s="1"/>
  <c r="AB249" i="24" s="1"/>
  <c r="AC249" i="24" s="1"/>
  <c r="AE193" i="24"/>
  <c r="AF193" i="24" s="1"/>
  <c r="X245" i="24"/>
  <c r="AA245" i="24" s="1"/>
  <c r="AB245" i="24" s="1"/>
  <c r="AC245" i="24" s="1"/>
  <c r="X300" i="24"/>
  <c r="AA300" i="24" s="1"/>
  <c r="AB300" i="24" s="1"/>
  <c r="AC300" i="24" s="1"/>
  <c r="AJ300" i="24" s="1"/>
  <c r="AT300" i="24" s="1"/>
  <c r="AI249" i="24"/>
  <c r="W249" i="24"/>
  <c r="Y249" i="24" s="1"/>
  <c r="AE245" i="24"/>
  <c r="AF245" i="24" s="1"/>
  <c r="AI245" i="24"/>
  <c r="X193" i="24"/>
  <c r="AA193" i="24" s="1"/>
  <c r="AB193" i="24" s="1"/>
  <c r="AC193" i="24" s="1"/>
  <c r="AJ193" i="24" s="1"/>
  <c r="AI282" i="24"/>
  <c r="AJ282" i="24" s="1"/>
  <c r="AT282" i="24" s="1"/>
  <c r="AI263" i="24"/>
  <c r="AI218" i="24"/>
  <c r="AJ218" i="24" s="1"/>
  <c r="AT218" i="24" s="1"/>
  <c r="X284" i="24"/>
  <c r="AA284" i="24" s="1"/>
  <c r="AB284" i="24" s="1"/>
  <c r="AC284" i="24" s="1"/>
  <c r="W281" i="24"/>
  <c r="Y281" i="24" s="1"/>
  <c r="AE171" i="24"/>
  <c r="AF171" i="24" s="1"/>
  <c r="AE282" i="24"/>
  <c r="W284" i="24"/>
  <c r="Y284" i="24" s="1"/>
  <c r="AE218" i="24"/>
  <c r="AF218" i="24" s="1"/>
  <c r="X132" i="24"/>
  <c r="AA132" i="24" s="1"/>
  <c r="AB132" i="24" s="1"/>
  <c r="AC132" i="24" s="1"/>
  <c r="AJ132" i="24" s="1"/>
  <c r="AI279" i="24"/>
  <c r="AJ279" i="24" s="1"/>
  <c r="AT279" i="24" s="1"/>
  <c r="AI258" i="24"/>
  <c r="AE291" i="24"/>
  <c r="AF291" i="24" s="1"/>
  <c r="X290" i="24"/>
  <c r="AA290" i="24" s="1"/>
  <c r="AB290" i="24" s="1"/>
  <c r="AC290" i="24" s="1"/>
  <c r="W283" i="24"/>
  <c r="Y283" i="24" s="1"/>
  <c r="AE132" i="24"/>
  <c r="AF132" i="24" s="1"/>
  <c r="W156" i="24"/>
  <c r="Y156" i="24" s="1"/>
  <c r="W227" i="24"/>
  <c r="Y227" i="24" s="1"/>
  <c r="W218" i="24"/>
  <c r="Y218" i="24" s="1"/>
  <c r="W263" i="24"/>
  <c r="Y263" i="24" s="1"/>
  <c r="X227" i="24"/>
  <c r="AA227" i="24" s="1"/>
  <c r="AB227" i="24" s="1"/>
  <c r="AC227" i="24" s="1"/>
  <c r="AJ227" i="24" s="1"/>
  <c r="AT227" i="24" s="1"/>
  <c r="X171" i="24"/>
  <c r="AA171" i="24" s="1"/>
  <c r="AB171" i="24" s="1"/>
  <c r="AC171" i="24" s="1"/>
  <c r="AJ171" i="24" s="1"/>
  <c r="AI281" i="24"/>
  <c r="X263" i="24"/>
  <c r="AA263" i="24" s="1"/>
  <c r="AB263" i="24" s="1"/>
  <c r="AC263" i="24" s="1"/>
  <c r="AI284" i="24"/>
  <c r="W132" i="24"/>
  <c r="Y132" i="24" s="1"/>
  <c r="W282" i="24"/>
  <c r="Y282" i="24" s="1"/>
  <c r="X243" i="24"/>
  <c r="AA243" i="24" s="1"/>
  <c r="AB243" i="24" s="1"/>
  <c r="AC243" i="24" s="1"/>
  <c r="AJ243" i="24" s="1"/>
  <c r="AT243" i="24" s="1"/>
  <c r="W171" i="24"/>
  <c r="Y171" i="24" s="1"/>
  <c r="AE312" i="24"/>
  <c r="AF312" i="24" s="1"/>
  <c r="AI238" i="24"/>
  <c r="AJ238" i="24" s="1"/>
  <c r="AT238" i="24" s="1"/>
  <c r="X191" i="24"/>
  <c r="AA191" i="24" s="1"/>
  <c r="AB191" i="24" s="1"/>
  <c r="AC191" i="24" s="1"/>
  <c r="AJ191" i="24" s="1"/>
  <c r="X270" i="24"/>
  <c r="AA270" i="24" s="1"/>
  <c r="AB270" i="24" s="1"/>
  <c r="AC270" i="24" s="1"/>
  <c r="AJ270" i="24" s="1"/>
  <c r="AT270" i="24" s="1"/>
  <c r="W312" i="24"/>
  <c r="Y312" i="24" s="1"/>
  <c r="W253" i="24"/>
  <c r="Y253" i="24" s="1"/>
  <c r="W158" i="24"/>
  <c r="Y158" i="24" s="1"/>
  <c r="AI290" i="24"/>
  <c r="X291" i="24"/>
  <c r="AA291" i="24" s="1"/>
  <c r="AB291" i="24" s="1"/>
  <c r="AC291" i="24" s="1"/>
  <c r="AJ291" i="24" s="1"/>
  <c r="AT291" i="24" s="1"/>
  <c r="AE261" i="24"/>
  <c r="AF261" i="24" s="1"/>
  <c r="AI283" i="24"/>
  <c r="X158" i="24"/>
  <c r="AA158" i="24" s="1"/>
  <c r="AB158" i="24" s="1"/>
  <c r="AC158" i="24" s="1"/>
  <c r="AJ158" i="24" s="1"/>
  <c r="X147" i="24"/>
  <c r="AA147" i="24" s="1"/>
  <c r="AB147" i="24" s="1"/>
  <c r="AC147" i="24" s="1"/>
  <c r="AJ147" i="24" s="1"/>
  <c r="X185" i="24"/>
  <c r="AA185" i="24" s="1"/>
  <c r="AB185" i="24" s="1"/>
  <c r="AC185" i="24" s="1"/>
  <c r="AJ185" i="24" s="1"/>
  <c r="X130" i="24"/>
  <c r="AA130" i="24" s="1"/>
  <c r="AB130" i="24" s="1"/>
  <c r="AC130" i="24" s="1"/>
  <c r="AJ130" i="24" s="1"/>
  <c r="W279" i="24"/>
  <c r="Y279" i="24" s="1"/>
  <c r="AE290" i="24"/>
  <c r="AF290" i="24" s="1"/>
  <c r="W238" i="24"/>
  <c r="Y238" i="24" s="1"/>
  <c r="AI312" i="24"/>
  <c r="AJ312" i="24" s="1"/>
  <c r="AT312" i="24" s="1"/>
  <c r="X283" i="24"/>
  <c r="AA283" i="24" s="1"/>
  <c r="AB283" i="24" s="1"/>
  <c r="AC283" i="24" s="1"/>
  <c r="AE204" i="24"/>
  <c r="AF204" i="24" s="1"/>
  <c r="W291" i="24"/>
  <c r="Y291" i="24" s="1"/>
  <c r="AI261" i="24"/>
  <c r="AI309" i="24"/>
  <c r="AJ309" i="24" s="1"/>
  <c r="AT309" i="24" s="1"/>
  <c r="X258" i="24"/>
  <c r="AA258" i="24" s="1"/>
  <c r="AB258" i="24" s="1"/>
  <c r="AC258" i="24" s="1"/>
  <c r="W147" i="24"/>
  <c r="Y147" i="24" s="1"/>
  <c r="AE147" i="24"/>
  <c r="AF147" i="24" s="1"/>
  <c r="W130" i="24"/>
  <c r="Y130" i="24" s="1"/>
  <c r="W266" i="24"/>
  <c r="Y266" i="24" s="1"/>
  <c r="AE313" i="24"/>
  <c r="AF313" i="24" s="1"/>
  <c r="AE266" i="24"/>
  <c r="AF266" i="24" s="1"/>
  <c r="W166" i="24"/>
  <c r="Y166" i="24" s="1"/>
  <c r="X117" i="24"/>
  <c r="AA117" i="24" s="1"/>
  <c r="AB117" i="24" s="1"/>
  <c r="AC117" i="24" s="1"/>
  <c r="AJ117" i="24" s="1"/>
  <c r="AE191" i="24"/>
  <c r="AF191" i="24" s="1"/>
  <c r="AE158" i="24"/>
  <c r="AF158" i="24" s="1"/>
  <c r="AE151" i="24"/>
  <c r="AF151" i="24" s="1"/>
  <c r="W193" i="24"/>
  <c r="Y193" i="24" s="1"/>
  <c r="AE176" i="24"/>
  <c r="AF176" i="24" s="1"/>
  <c r="X198" i="24"/>
  <c r="AA198" i="24" s="1"/>
  <c r="AB198" i="24" s="1"/>
  <c r="AC198" i="24" s="1"/>
  <c r="AJ198" i="24" s="1"/>
  <c r="W191" i="24"/>
  <c r="Y191" i="24" s="1"/>
  <c r="X266" i="24"/>
  <c r="AA266" i="24" s="1"/>
  <c r="AB266" i="24" s="1"/>
  <c r="AC266" i="24" s="1"/>
  <c r="AJ266" i="24" s="1"/>
  <c r="AT266" i="24" s="1"/>
  <c r="W168" i="24"/>
  <c r="Y168" i="24" s="1"/>
  <c r="W146" i="24"/>
  <c r="Y146" i="24" s="1"/>
  <c r="AI313" i="24"/>
  <c r="X299" i="24"/>
  <c r="AA299" i="24" s="1"/>
  <c r="AB299" i="24" s="1"/>
  <c r="AC299" i="24" s="1"/>
  <c r="AI195" i="24"/>
  <c r="AE133" i="24"/>
  <c r="AF133" i="24" s="1"/>
  <c r="X262" i="24"/>
  <c r="AA262" i="24" s="1"/>
  <c r="AB262" i="24" s="1"/>
  <c r="AC262" i="24" s="1"/>
  <c r="W133" i="24"/>
  <c r="Y133" i="24" s="1"/>
  <c r="AE114" i="24"/>
  <c r="AF114" i="24" s="1"/>
  <c r="AI153" i="24"/>
  <c r="W233" i="24"/>
  <c r="Y233" i="24" s="1"/>
  <c r="AI271" i="24"/>
  <c r="X313" i="24"/>
  <c r="AA313" i="24" s="1"/>
  <c r="AB313" i="24" s="1"/>
  <c r="AC313" i="24" s="1"/>
  <c r="W139" i="24"/>
  <c r="Y139" i="24" s="1"/>
  <c r="AE292" i="24"/>
  <c r="AF292" i="24" s="1"/>
  <c r="AE300" i="24"/>
  <c r="AF300" i="24" s="1"/>
  <c r="AE279" i="24"/>
  <c r="W300" i="24"/>
  <c r="Y300" i="24" s="1"/>
  <c r="X292" i="24"/>
  <c r="AA292" i="24" s="1"/>
  <c r="AB292" i="24" s="1"/>
  <c r="AC292" i="24" s="1"/>
  <c r="AJ292" i="24" s="1"/>
  <c r="AT292" i="24" s="1"/>
  <c r="X253" i="24"/>
  <c r="AA253" i="24" s="1"/>
  <c r="AB253" i="24" s="1"/>
  <c r="AC253" i="24" s="1"/>
  <c r="AJ253" i="24" s="1"/>
  <c r="AT253" i="24" s="1"/>
  <c r="AE238" i="24"/>
  <c r="AE258" i="24"/>
  <c r="AF258" i="24" s="1"/>
  <c r="W204" i="24"/>
  <c r="Y204" i="24" s="1"/>
  <c r="W176" i="24"/>
  <c r="Y176" i="24" s="1"/>
  <c r="W185" i="24"/>
  <c r="Y185" i="24" s="1"/>
  <c r="X176" i="24"/>
  <c r="AA176" i="24" s="1"/>
  <c r="AB176" i="24" s="1"/>
  <c r="AC176" i="24" s="1"/>
  <c r="AJ176" i="24" s="1"/>
  <c r="AE198" i="24"/>
  <c r="AF198" i="24" s="1"/>
  <c r="W292" i="24"/>
  <c r="Y292" i="24" s="1"/>
  <c r="W268" i="24"/>
  <c r="Y268" i="24" s="1"/>
  <c r="X268" i="24"/>
  <c r="AA268" i="24" s="1"/>
  <c r="AB268" i="24" s="1"/>
  <c r="AC268" i="24" s="1"/>
  <c r="AJ268" i="24" s="1"/>
  <c r="AT268" i="24" s="1"/>
  <c r="AI239" i="24"/>
  <c r="AJ239" i="24" s="1"/>
  <c r="AT239" i="24" s="1"/>
  <c r="AI247" i="24"/>
  <c r="AJ247" i="24" s="1"/>
  <c r="AT247" i="24" s="1"/>
  <c r="X166" i="24"/>
  <c r="AA166" i="24" s="1"/>
  <c r="AB166" i="24" s="1"/>
  <c r="AC166" i="24" s="1"/>
  <c r="AJ166" i="24" s="1"/>
  <c r="W151" i="24"/>
  <c r="Y151" i="24" s="1"/>
  <c r="X120" i="24"/>
  <c r="AA120" i="24" s="1"/>
  <c r="AB120" i="24" s="1"/>
  <c r="AC120" i="24" s="1"/>
  <c r="AJ120" i="24" s="1"/>
  <c r="AE185" i="24"/>
  <c r="AF185" i="24" s="1"/>
  <c r="W198" i="24"/>
  <c r="Y198" i="24" s="1"/>
  <c r="AE233" i="24"/>
  <c r="AF233" i="24" s="1"/>
  <c r="X143" i="24"/>
  <c r="AA143" i="24" s="1"/>
  <c r="AB143" i="24" s="1"/>
  <c r="AC143" i="24" s="1"/>
  <c r="AJ143" i="24" s="1"/>
  <c r="AE209" i="24"/>
  <c r="AF209" i="24" s="1"/>
  <c r="W153" i="24"/>
  <c r="Y153" i="24" s="1"/>
  <c r="AE139" i="24"/>
  <c r="AF139" i="24" s="1"/>
  <c r="AI299" i="24"/>
  <c r="W262" i="24"/>
  <c r="Y262" i="24" s="1"/>
  <c r="X232" i="24"/>
  <c r="AA232" i="24" s="1"/>
  <c r="AB232" i="24" s="1"/>
  <c r="AC232" i="24" s="1"/>
  <c r="AJ232" i="24" s="1"/>
  <c r="AT232" i="24" s="1"/>
  <c r="AI262" i="24"/>
  <c r="W271" i="24"/>
  <c r="Y271" i="24" s="1"/>
  <c r="X195" i="24"/>
  <c r="AA195" i="24" s="1"/>
  <c r="AB195" i="24" s="1"/>
  <c r="AC195" i="24" s="1"/>
  <c r="X146" i="24"/>
  <c r="AA146" i="24" s="1"/>
  <c r="AB146" i="24" s="1"/>
  <c r="AC146" i="24" s="1"/>
  <c r="AJ146" i="24" s="1"/>
  <c r="W114" i="24"/>
  <c r="Y114" i="24" s="1"/>
  <c r="AE232" i="24"/>
  <c r="AF232" i="24" s="1"/>
  <c r="W232" i="24"/>
  <c r="Y232" i="24" s="1"/>
  <c r="X271" i="24"/>
  <c r="AA271" i="24" s="1"/>
  <c r="AB271" i="24" s="1"/>
  <c r="AC271" i="24" s="1"/>
  <c r="X168" i="24"/>
  <c r="AA168" i="24" s="1"/>
  <c r="AB168" i="24" s="1"/>
  <c r="AC168" i="24" s="1"/>
  <c r="AJ168" i="24" s="1"/>
  <c r="AE146" i="24"/>
  <c r="AF146" i="24" s="1"/>
  <c r="W195" i="24"/>
  <c r="Y195" i="24" s="1"/>
  <c r="W209" i="24"/>
  <c r="Y209" i="24" s="1"/>
  <c r="X139" i="24"/>
  <c r="AA139" i="24" s="1"/>
  <c r="AB139" i="24" s="1"/>
  <c r="AC139" i="24" s="1"/>
  <c r="AJ139" i="24" s="1"/>
  <c r="X233" i="24"/>
  <c r="AA233" i="24" s="1"/>
  <c r="AB233" i="24" s="1"/>
  <c r="AC233" i="24" s="1"/>
  <c r="AJ233" i="24" s="1"/>
  <c r="AT233" i="24" s="1"/>
  <c r="W143" i="24"/>
  <c r="Y143" i="24" s="1"/>
  <c r="AE143" i="24"/>
  <c r="AF143" i="24" s="1"/>
  <c r="X133" i="24"/>
  <c r="AA133" i="24" s="1"/>
  <c r="AB133" i="24" s="1"/>
  <c r="AC133" i="24" s="1"/>
  <c r="AJ133" i="24" s="1"/>
  <c r="X114" i="24"/>
  <c r="AA114" i="24" s="1"/>
  <c r="AB114" i="24" s="1"/>
  <c r="AC114" i="24" s="1"/>
  <c r="AJ114" i="24" s="1"/>
  <c r="X153" i="24"/>
  <c r="AA153" i="24" s="1"/>
  <c r="AB153" i="24" s="1"/>
  <c r="AC153" i="24" s="1"/>
  <c r="AE250" i="24"/>
  <c r="AI307" i="24"/>
  <c r="AE239" i="24"/>
  <c r="AE226" i="24"/>
  <c r="AF226" i="24" s="1"/>
  <c r="AE117" i="24"/>
  <c r="AF117" i="24" s="1"/>
  <c r="AI314" i="24"/>
  <c r="AJ314" i="24" s="1"/>
  <c r="AT314" i="24" s="1"/>
  <c r="W309" i="24"/>
  <c r="Y309" i="24" s="1"/>
  <c r="W270" i="24"/>
  <c r="Y270" i="24" s="1"/>
  <c r="X277" i="24"/>
  <c r="AA277" i="24" s="1"/>
  <c r="AB277" i="24" s="1"/>
  <c r="AC277" i="24" s="1"/>
  <c r="AE264" i="24"/>
  <c r="AF264" i="24" s="1"/>
  <c r="X204" i="24"/>
  <c r="AA204" i="24" s="1"/>
  <c r="AB204" i="24" s="1"/>
  <c r="AC204" i="24" s="1"/>
  <c r="AJ204" i="24" s="1"/>
  <c r="AE166" i="24"/>
  <c r="AF166" i="24" s="1"/>
  <c r="X151" i="24"/>
  <c r="AA151" i="24" s="1"/>
  <c r="AB151" i="24" s="1"/>
  <c r="AC151" i="24" s="1"/>
  <c r="AJ151" i="24" s="1"/>
  <c r="W117" i="24"/>
  <c r="Y117" i="24" s="1"/>
  <c r="AE314" i="24"/>
  <c r="W277" i="24"/>
  <c r="Y277" i="24" s="1"/>
  <c r="W264" i="24"/>
  <c r="Y264" i="24" s="1"/>
  <c r="AE247" i="24"/>
  <c r="X297" i="24"/>
  <c r="AA297" i="24" s="1"/>
  <c r="AB297" i="24" s="1"/>
  <c r="AC297" i="24" s="1"/>
  <c r="AJ297" i="24" s="1"/>
  <c r="AT297" i="24" s="1"/>
  <c r="W250" i="24"/>
  <c r="Y250" i="24" s="1"/>
  <c r="X144" i="24"/>
  <c r="AA144" i="24" s="1"/>
  <c r="AB144" i="24" s="1"/>
  <c r="AC144" i="24" s="1"/>
  <c r="AJ144" i="24" s="1"/>
  <c r="W314" i="24"/>
  <c r="Y314" i="24" s="1"/>
  <c r="AI277" i="24"/>
  <c r="AE285" i="24"/>
  <c r="AF285" i="24" s="1"/>
  <c r="X264" i="24"/>
  <c r="AA264" i="24" s="1"/>
  <c r="AB264" i="24" s="1"/>
  <c r="AC264" i="24" s="1"/>
  <c r="AJ264" i="24" s="1"/>
  <c r="AT264" i="24" s="1"/>
  <c r="AE256" i="24"/>
  <c r="AF256" i="24" s="1"/>
  <c r="X226" i="24"/>
  <c r="AA226" i="24" s="1"/>
  <c r="AB226" i="24" s="1"/>
  <c r="AC226" i="24" s="1"/>
  <c r="W297" i="24"/>
  <c r="Y297" i="24" s="1"/>
  <c r="AE297" i="24"/>
  <c r="AF297" i="24" s="1"/>
  <c r="W285" i="24"/>
  <c r="Y285" i="24" s="1"/>
  <c r="AE156" i="24"/>
  <c r="AF156" i="24" s="1"/>
  <c r="AE144" i="24"/>
  <c r="AF144" i="24" s="1"/>
  <c r="X189" i="24"/>
  <c r="AA189" i="24" s="1"/>
  <c r="AB189" i="24" s="1"/>
  <c r="AC189" i="24" s="1"/>
  <c r="AJ189" i="24" s="1"/>
  <c r="AI250" i="24"/>
  <c r="AJ250" i="24" s="1"/>
  <c r="AT250" i="24" s="1"/>
  <c r="X285" i="24"/>
  <c r="AA285" i="24" s="1"/>
  <c r="AB285" i="24" s="1"/>
  <c r="AC285" i="24" s="1"/>
  <c r="AJ285" i="24" s="1"/>
  <c r="AT285" i="24" s="1"/>
  <c r="AI296" i="24"/>
  <c r="AJ296" i="24" s="1"/>
  <c r="AT296" i="24" s="1"/>
  <c r="W247" i="24"/>
  <c r="Y247" i="24" s="1"/>
  <c r="AI226" i="24"/>
  <c r="X156" i="24"/>
  <c r="AA156" i="24" s="1"/>
  <c r="AB156" i="24" s="1"/>
  <c r="AC156" i="24" s="1"/>
  <c r="AJ156" i="24" s="1"/>
  <c r="W144" i="24"/>
  <c r="Y144" i="24" s="1"/>
  <c r="AE194" i="24"/>
  <c r="AF194" i="24" s="1"/>
  <c r="AE296" i="24"/>
  <c r="AE243" i="24"/>
  <c r="AF243" i="24" s="1"/>
  <c r="W243" i="24"/>
  <c r="Y243" i="24" s="1"/>
  <c r="W145" i="24"/>
  <c r="Y145" i="24" s="1"/>
  <c r="AE189" i="24"/>
  <c r="AF189" i="24" s="1"/>
  <c r="W296" i="24"/>
  <c r="Y296" i="24" s="1"/>
  <c r="W256" i="24"/>
  <c r="Y256" i="24" s="1"/>
  <c r="W307" i="24"/>
  <c r="Y307" i="24" s="1"/>
  <c r="AE253" i="24"/>
  <c r="AF253" i="24" s="1"/>
  <c r="X307" i="24"/>
  <c r="AA307" i="24" s="1"/>
  <c r="AB307" i="24" s="1"/>
  <c r="AC307" i="24" s="1"/>
  <c r="AE309" i="24"/>
  <c r="AF309" i="24" s="1"/>
  <c r="AE268" i="24"/>
  <c r="AF268" i="24" s="1"/>
  <c r="X256" i="24"/>
  <c r="AA256" i="24" s="1"/>
  <c r="AB256" i="24" s="1"/>
  <c r="AC256" i="24" s="1"/>
  <c r="AJ256" i="24" s="1"/>
  <c r="AT256" i="24" s="1"/>
  <c r="AE270" i="24"/>
  <c r="AF270" i="24" s="1"/>
  <c r="AE113" i="24"/>
  <c r="AF113" i="24" s="1"/>
  <c r="AE120" i="24"/>
  <c r="AF120" i="24" s="1"/>
  <c r="AE174" i="24"/>
  <c r="AF174" i="24" s="1"/>
  <c r="W299" i="24"/>
  <c r="Y299" i="24" s="1"/>
  <c r="W239" i="24"/>
  <c r="Y239" i="24" s="1"/>
  <c r="W113" i="24"/>
  <c r="Y113" i="24" s="1"/>
  <c r="AE168" i="24"/>
  <c r="AF168" i="24" s="1"/>
  <c r="X113" i="24"/>
  <c r="AA113" i="24" s="1"/>
  <c r="AB113" i="24" s="1"/>
  <c r="AC113" i="24" s="1"/>
  <c r="AJ113" i="24" s="1"/>
  <c r="W120" i="24"/>
  <c r="Y120" i="24" s="1"/>
  <c r="W189" i="24"/>
  <c r="Y189" i="24" s="1"/>
  <c r="X209" i="24"/>
  <c r="AA209" i="24" s="1"/>
  <c r="AB209" i="24" s="1"/>
  <c r="AC209" i="24" s="1"/>
  <c r="AJ209" i="24" s="1"/>
  <c r="W174" i="24"/>
  <c r="Y174" i="24" s="1"/>
  <c r="X174" i="24"/>
  <c r="AA174" i="24" s="1"/>
  <c r="AB174" i="24" s="1"/>
  <c r="AC174" i="24" s="1"/>
  <c r="AJ174" i="24" s="1"/>
  <c r="AE186" i="24"/>
  <c r="AF186" i="24" s="1"/>
  <c r="X89" i="24"/>
  <c r="AA89" i="24" s="1"/>
  <c r="AB89" i="24" s="1"/>
  <c r="AC89" i="24" s="1"/>
  <c r="W186" i="24"/>
  <c r="Y186" i="24" s="1"/>
  <c r="AE201" i="24"/>
  <c r="AF201" i="24" s="1"/>
  <c r="X112" i="24"/>
  <c r="AA112" i="24" s="1"/>
  <c r="AB112" i="24" s="1"/>
  <c r="AC112" i="24" s="1"/>
  <c r="AE150" i="24"/>
  <c r="AF150" i="24" s="1"/>
  <c r="AE179" i="24"/>
  <c r="AF179" i="24" s="1"/>
  <c r="W119" i="24"/>
  <c r="Y119" i="24" s="1"/>
  <c r="AI172" i="24"/>
  <c r="W50" i="24"/>
  <c r="Y50" i="24" s="1"/>
  <c r="W101" i="24"/>
  <c r="Y101" i="24" s="1"/>
  <c r="AE100" i="24"/>
  <c r="AF100" i="24" s="1"/>
  <c r="AE60" i="24"/>
  <c r="AF60" i="24" s="1"/>
  <c r="X25" i="24"/>
  <c r="AA25" i="24" s="1"/>
  <c r="AB25" i="24" s="1"/>
  <c r="AC25" i="24" s="1"/>
  <c r="AJ25" i="24" s="1"/>
  <c r="AE101" i="24"/>
  <c r="AF101" i="24" s="1"/>
  <c r="W150" i="24"/>
  <c r="Y150" i="24" s="1"/>
  <c r="W179" i="24"/>
  <c r="Y179" i="24" s="1"/>
  <c r="X181" i="24"/>
  <c r="AA181" i="24" s="1"/>
  <c r="AB181" i="24" s="1"/>
  <c r="AC181" i="24" s="1"/>
  <c r="X208" i="24"/>
  <c r="AA208" i="24" s="1"/>
  <c r="AB208" i="24" s="1"/>
  <c r="AC208" i="24" s="1"/>
  <c r="W128" i="24"/>
  <c r="Y128" i="24" s="1"/>
  <c r="X196" i="24"/>
  <c r="AA196" i="24" s="1"/>
  <c r="AB196" i="24" s="1"/>
  <c r="AC196" i="24" s="1"/>
  <c r="AJ196" i="24" s="1"/>
  <c r="AE128" i="24"/>
  <c r="AI112" i="24"/>
  <c r="W60" i="24"/>
  <c r="Y60" i="24" s="1"/>
  <c r="X92" i="24"/>
  <c r="AA92" i="24" s="1"/>
  <c r="AB92" i="24" s="1"/>
  <c r="AC92" i="24" s="1"/>
  <c r="W181" i="24"/>
  <c r="Y181" i="24" s="1"/>
  <c r="AI181" i="24"/>
  <c r="CD166" i="24"/>
  <c r="CD113" i="24"/>
  <c r="W154" i="24"/>
  <c r="Y154" i="24" s="1"/>
  <c r="X162" i="24"/>
  <c r="AA162" i="24" s="1"/>
  <c r="AB162" i="24" s="1"/>
  <c r="AC162" i="24" s="1"/>
  <c r="AJ162" i="24" s="1"/>
  <c r="X206" i="24"/>
  <c r="AA206" i="24" s="1"/>
  <c r="AB206" i="24" s="1"/>
  <c r="AC206" i="24" s="1"/>
  <c r="AJ206" i="24" s="1"/>
  <c r="X46" i="24"/>
  <c r="AA46" i="24" s="1"/>
  <c r="AB46" i="24" s="1"/>
  <c r="AC46" i="24" s="1"/>
  <c r="AI54" i="24"/>
  <c r="X18" i="24"/>
  <c r="AA18" i="24" s="1"/>
  <c r="AB18" i="24" s="1"/>
  <c r="AC18" i="24" s="1"/>
  <c r="W188" i="24"/>
  <c r="Y188" i="24" s="1"/>
  <c r="AI207" i="24"/>
  <c r="X157" i="24"/>
  <c r="AA157" i="24" s="1"/>
  <c r="AB157" i="24" s="1"/>
  <c r="AC157" i="24" s="1"/>
  <c r="AE137" i="24"/>
  <c r="AI18" i="24"/>
  <c r="W27" i="24"/>
  <c r="Y27" i="24" s="1"/>
  <c r="W78" i="24"/>
  <c r="Y78" i="24" s="1"/>
  <c r="X54" i="24"/>
  <c r="AA54" i="24" s="1"/>
  <c r="AB54" i="24" s="1"/>
  <c r="AC54" i="24" s="1"/>
  <c r="X95" i="24"/>
  <c r="AA95" i="24" s="1"/>
  <c r="AB95" i="24" s="1"/>
  <c r="AC95" i="24" s="1"/>
  <c r="AJ95" i="24" s="1"/>
  <c r="X148" i="24"/>
  <c r="AA148" i="24" s="1"/>
  <c r="AB148" i="24" s="1"/>
  <c r="AC148" i="24" s="1"/>
  <c r="AE125" i="24"/>
  <c r="AF125" i="24" s="1"/>
  <c r="W87" i="24"/>
  <c r="Y87" i="24" s="1"/>
  <c r="W54" i="24"/>
  <c r="Y54" i="24" s="1"/>
  <c r="W10" i="24"/>
  <c r="Y10" i="24" s="1"/>
  <c r="X10" i="24"/>
  <c r="AA10" i="24" s="1"/>
  <c r="AB10" i="24" s="1"/>
  <c r="AC10" i="24" s="1"/>
  <c r="AJ10" i="24" s="1"/>
  <c r="X199" i="24"/>
  <c r="AA199" i="24" s="1"/>
  <c r="AB199" i="24" s="1"/>
  <c r="AC199" i="24" s="1"/>
  <c r="AJ199" i="24" s="1"/>
  <c r="AE134" i="24"/>
  <c r="AF134" i="24" s="1"/>
  <c r="AE142" i="24"/>
  <c r="AE210" i="24"/>
  <c r="AF210" i="24" s="1"/>
  <c r="AI170" i="24"/>
  <c r="AJ170" i="24" s="1"/>
  <c r="W19" i="24"/>
  <c r="Y19" i="24" s="1"/>
  <c r="X36" i="24"/>
  <c r="AA36" i="24" s="1"/>
  <c r="AB36" i="24" s="1"/>
  <c r="AC36" i="24" s="1"/>
  <c r="AJ36" i="24" s="1"/>
  <c r="AE78" i="24"/>
  <c r="W157" i="24"/>
  <c r="Y157" i="24" s="1"/>
  <c r="W203" i="24"/>
  <c r="Y203" i="24" s="1"/>
  <c r="X192" i="24"/>
  <c r="AA192" i="24" s="1"/>
  <c r="AB192" i="24" s="1"/>
  <c r="AC192" i="24" s="1"/>
  <c r="AJ192" i="24" s="1"/>
  <c r="AE159" i="24"/>
  <c r="AF159" i="24" s="1"/>
  <c r="AI78" i="24"/>
  <c r="AJ78" i="24" s="1"/>
  <c r="AI203" i="24"/>
  <c r="AI165" i="24"/>
  <c r="AJ165" i="24" s="1"/>
  <c r="W31" i="24"/>
  <c r="Y31" i="24" s="1"/>
  <c r="W46" i="24"/>
  <c r="Y46" i="24" s="1"/>
  <c r="X41" i="24"/>
  <c r="AA41" i="24" s="1"/>
  <c r="AB41" i="24" s="1"/>
  <c r="AC41" i="24" s="1"/>
  <c r="AE96" i="24"/>
  <c r="AF96" i="24" s="1"/>
  <c r="X161" i="24"/>
  <c r="AA161" i="24" s="1"/>
  <c r="AB161" i="24" s="1"/>
  <c r="AC161" i="24" s="1"/>
  <c r="AJ161" i="24" s="1"/>
  <c r="X188" i="24"/>
  <c r="AA188" i="24" s="1"/>
  <c r="AB188" i="24" s="1"/>
  <c r="AC188" i="24" s="1"/>
  <c r="AJ188" i="24" s="1"/>
  <c r="W205" i="24"/>
  <c r="Y205" i="24" s="1"/>
  <c r="W182" i="24"/>
  <c r="Y182" i="24" s="1"/>
  <c r="AE205" i="24"/>
  <c r="AF205" i="24" s="1"/>
  <c r="AE170" i="24"/>
  <c r="W194" i="24"/>
  <c r="Y194" i="24" s="1"/>
  <c r="W206" i="24"/>
  <c r="Y206" i="24" s="1"/>
  <c r="W199" i="24"/>
  <c r="Y199" i="24" s="1"/>
  <c r="X50" i="24"/>
  <c r="AA50" i="24" s="1"/>
  <c r="AB50" i="24" s="1"/>
  <c r="AC50" i="24" s="1"/>
  <c r="AJ50" i="24" s="1"/>
  <c r="AI46" i="24"/>
  <c r="AI157" i="24"/>
  <c r="AE56" i="24"/>
  <c r="W165" i="24"/>
  <c r="Y165" i="24" s="1"/>
  <c r="X203" i="24"/>
  <c r="AA203" i="24" s="1"/>
  <c r="AB203" i="24" s="1"/>
  <c r="AC203" i="24" s="1"/>
  <c r="X177" i="24"/>
  <c r="AA177" i="24" s="1"/>
  <c r="AB177" i="24" s="1"/>
  <c r="AC177" i="24" s="1"/>
  <c r="AJ177" i="24" s="1"/>
  <c r="W36" i="24"/>
  <c r="Y36" i="24" s="1"/>
  <c r="AI210" i="24"/>
  <c r="W18" i="24"/>
  <c r="Y18" i="24" s="1"/>
  <c r="AI53" i="24"/>
  <c r="AJ53" i="24" s="1"/>
  <c r="AE95" i="24"/>
  <c r="AF95" i="24" s="1"/>
  <c r="AI148" i="24"/>
  <c r="CD158" i="24"/>
  <c r="AI21" i="24"/>
  <c r="AE21" i="24"/>
  <c r="AF21" i="24" s="1"/>
  <c r="W42" i="24"/>
  <c r="Y42" i="24" s="1"/>
  <c r="W155" i="24"/>
  <c r="Y155" i="24" s="1"/>
  <c r="X187" i="24"/>
  <c r="AA187" i="24" s="1"/>
  <c r="AB187" i="24" s="1"/>
  <c r="AC187" i="24" s="1"/>
  <c r="X136" i="24"/>
  <c r="AA136" i="24" s="1"/>
  <c r="AB136" i="24" s="1"/>
  <c r="AC136" i="24" s="1"/>
  <c r="AE163" i="24"/>
  <c r="AF163" i="24" s="1"/>
  <c r="W149" i="24"/>
  <c r="Y149" i="24" s="1"/>
  <c r="X122" i="24"/>
  <c r="AA122" i="24" s="1"/>
  <c r="AB122" i="24" s="1"/>
  <c r="AC122" i="24" s="1"/>
  <c r="AE141" i="24"/>
  <c r="AF141" i="24" s="1"/>
  <c r="W136" i="24"/>
  <c r="Y136" i="24" s="1"/>
  <c r="X163" i="24"/>
  <c r="AA163" i="24" s="1"/>
  <c r="AB163" i="24" s="1"/>
  <c r="AC163" i="24" s="1"/>
  <c r="AJ163" i="24" s="1"/>
  <c r="AE145" i="24"/>
  <c r="AF145" i="24" s="1"/>
  <c r="AI83" i="24"/>
  <c r="AJ83" i="24" s="1"/>
  <c r="AI101" i="24"/>
  <c r="AJ101" i="24" s="1"/>
  <c r="AI97" i="24"/>
  <c r="AI92" i="24"/>
  <c r="AI179" i="24"/>
  <c r="AJ179" i="24" s="1"/>
  <c r="AI150" i="24"/>
  <c r="AJ150" i="24" s="1"/>
  <c r="AI208" i="24"/>
  <c r="W74" i="24"/>
  <c r="Y74" i="24" s="1"/>
  <c r="AE25" i="24"/>
  <c r="AF25" i="24" s="1"/>
  <c r="X60" i="24"/>
  <c r="AA60" i="24" s="1"/>
  <c r="AB60" i="24" s="1"/>
  <c r="AC60" i="24" s="1"/>
  <c r="AJ60" i="24" s="1"/>
  <c r="AE131" i="24"/>
  <c r="AF131" i="24" s="1"/>
  <c r="AE183" i="24"/>
  <c r="X186" i="24"/>
  <c r="AA186" i="24" s="1"/>
  <c r="AB186" i="24" s="1"/>
  <c r="AC186" i="24" s="1"/>
  <c r="AJ186" i="24" s="1"/>
  <c r="AE172" i="24"/>
  <c r="AF172" i="24" s="1"/>
  <c r="AE196" i="24"/>
  <c r="AF196" i="24" s="1"/>
  <c r="W131" i="24"/>
  <c r="Y131" i="24" s="1"/>
  <c r="AI201" i="24"/>
  <c r="W89" i="24"/>
  <c r="Y89" i="24" s="1"/>
  <c r="CD118" i="24"/>
  <c r="CD116" i="24"/>
  <c r="AI89" i="24"/>
  <c r="AI183" i="24"/>
  <c r="AJ183" i="24" s="1"/>
  <c r="W25" i="24"/>
  <c r="Y25" i="24" s="1"/>
  <c r="W82" i="24"/>
  <c r="Y82" i="24" s="1"/>
  <c r="W92" i="24"/>
  <c r="Y92" i="24" s="1"/>
  <c r="X100" i="24"/>
  <c r="AA100" i="24" s="1"/>
  <c r="AB100" i="24" s="1"/>
  <c r="AC100" i="24" s="1"/>
  <c r="AJ100" i="24" s="1"/>
  <c r="AI128" i="24"/>
  <c r="AJ128" i="24" s="1"/>
  <c r="W208" i="24"/>
  <c r="Y208" i="24" s="1"/>
  <c r="W196" i="24"/>
  <c r="Y196" i="24" s="1"/>
  <c r="AE119" i="24"/>
  <c r="AF119" i="24" s="1"/>
  <c r="AE50" i="24"/>
  <c r="AF50" i="24" s="1"/>
  <c r="CD114" i="24"/>
  <c r="CD115" i="24"/>
  <c r="CD137" i="24"/>
  <c r="AI74" i="24"/>
  <c r="AJ74" i="24" s="1"/>
  <c r="AI136" i="24"/>
  <c r="W53" i="24"/>
  <c r="Y53" i="24" s="1"/>
  <c r="W86" i="24"/>
  <c r="Y86" i="24" s="1"/>
  <c r="W95" i="24"/>
  <c r="Y95" i="24" s="1"/>
  <c r="W56" i="24"/>
  <c r="Y56" i="24" s="1"/>
  <c r="AE69" i="24"/>
  <c r="AF69" i="24" s="1"/>
  <c r="X31" i="24"/>
  <c r="AA31" i="24" s="1"/>
  <c r="AB31" i="24" s="1"/>
  <c r="AC31" i="24" s="1"/>
  <c r="X96" i="24"/>
  <c r="AA96" i="24" s="1"/>
  <c r="AB96" i="24" s="1"/>
  <c r="AC96" i="24" s="1"/>
  <c r="W183" i="24"/>
  <c r="Y183" i="24" s="1"/>
  <c r="AE188" i="24"/>
  <c r="AF188" i="24" s="1"/>
  <c r="AE112" i="24"/>
  <c r="AF112" i="24" s="1"/>
  <c r="AE199" i="24"/>
  <c r="AF199" i="24" s="1"/>
  <c r="X131" i="24"/>
  <c r="AA131" i="24" s="1"/>
  <c r="AB131" i="24" s="1"/>
  <c r="AC131" i="24" s="1"/>
  <c r="AJ131" i="24" s="1"/>
  <c r="X134" i="24"/>
  <c r="AA134" i="24" s="1"/>
  <c r="AB134" i="24" s="1"/>
  <c r="AC134" i="24" s="1"/>
  <c r="AJ134" i="24" s="1"/>
  <c r="AE123" i="24"/>
  <c r="AF123" i="24" s="1"/>
  <c r="W192" i="24"/>
  <c r="Y192" i="24" s="1"/>
  <c r="W125" i="24"/>
  <c r="Y125" i="24" s="1"/>
  <c r="W142" i="24"/>
  <c r="Y142" i="24" s="1"/>
  <c r="AE184" i="24"/>
  <c r="AF184" i="24" s="1"/>
  <c r="X152" i="24"/>
  <c r="AA152" i="24" s="1"/>
  <c r="AB152" i="24" s="1"/>
  <c r="AC152" i="24" s="1"/>
  <c r="AJ152" i="24" s="1"/>
  <c r="AE148" i="24"/>
  <c r="AF148" i="24" s="1"/>
  <c r="AE162" i="24"/>
  <c r="AF162" i="24" s="1"/>
  <c r="X116" i="24"/>
  <c r="AA116" i="24" s="1"/>
  <c r="AB116" i="24" s="1"/>
  <c r="AC116" i="24" s="1"/>
  <c r="AE192" i="24"/>
  <c r="AF192" i="24" s="1"/>
  <c r="X125" i="24"/>
  <c r="AA125" i="24" s="1"/>
  <c r="AB125" i="24" s="1"/>
  <c r="AC125" i="24" s="1"/>
  <c r="AJ125" i="24" s="1"/>
  <c r="W207" i="24"/>
  <c r="Y207" i="24" s="1"/>
  <c r="W170" i="24"/>
  <c r="Y170" i="24" s="1"/>
  <c r="X167" i="24"/>
  <c r="AA167" i="24" s="1"/>
  <c r="AB167" i="24" s="1"/>
  <c r="AC167" i="24" s="1"/>
  <c r="AJ167" i="24" s="1"/>
  <c r="X172" i="24"/>
  <c r="AA172" i="24" s="1"/>
  <c r="AB172" i="24" s="1"/>
  <c r="AC172" i="24" s="1"/>
  <c r="AE165" i="24"/>
  <c r="AE177" i="24"/>
  <c r="AF177" i="24" s="1"/>
  <c r="AE206" i="24"/>
  <c r="AF206" i="24" s="1"/>
  <c r="X194" i="24"/>
  <c r="AA194" i="24" s="1"/>
  <c r="AB194" i="24" s="1"/>
  <c r="AC194" i="24" s="1"/>
  <c r="AJ194" i="24" s="1"/>
  <c r="X210" i="24"/>
  <c r="AA210" i="24" s="1"/>
  <c r="AB210" i="24" s="1"/>
  <c r="AC210" i="24" s="1"/>
  <c r="X201" i="24"/>
  <c r="AA201" i="24" s="1"/>
  <c r="AB201" i="24" s="1"/>
  <c r="AC201" i="24" s="1"/>
  <c r="AI31" i="24"/>
  <c r="AI96" i="24"/>
  <c r="AI87" i="24"/>
  <c r="AI142" i="24"/>
  <c r="AJ142" i="24" s="1"/>
  <c r="AI169" i="24"/>
  <c r="AI205" i="24"/>
  <c r="AJ205" i="24" s="1"/>
  <c r="AE27" i="24"/>
  <c r="AF27" i="24" s="1"/>
  <c r="AE36" i="24"/>
  <c r="AF36" i="24" s="1"/>
  <c r="AE10" i="24"/>
  <c r="AF10" i="24" s="1"/>
  <c r="AE161" i="24"/>
  <c r="AF161" i="24" s="1"/>
  <c r="W134" i="24"/>
  <c r="Y134" i="24" s="1"/>
  <c r="W162" i="24"/>
  <c r="Y162" i="24" s="1"/>
  <c r="W159" i="24"/>
  <c r="Y159" i="24" s="1"/>
  <c r="X169" i="24"/>
  <c r="AA169" i="24" s="1"/>
  <c r="AB169" i="24" s="1"/>
  <c r="AC169" i="24" s="1"/>
  <c r="W137" i="24"/>
  <c r="Y137" i="24" s="1"/>
  <c r="X159" i="24"/>
  <c r="AA159" i="24" s="1"/>
  <c r="AB159" i="24" s="1"/>
  <c r="AC159" i="24" s="1"/>
  <c r="AJ159" i="24" s="1"/>
  <c r="X119" i="24"/>
  <c r="AA119" i="24" s="1"/>
  <c r="AB119" i="24" s="1"/>
  <c r="AC119" i="24" s="1"/>
  <c r="AJ119" i="24" s="1"/>
  <c r="AI56" i="24"/>
  <c r="AJ56" i="24" s="1"/>
  <c r="AE83" i="24"/>
  <c r="X40" i="24"/>
  <c r="AA40" i="24" s="1"/>
  <c r="AB40" i="24" s="1"/>
  <c r="AC40" i="24" s="1"/>
  <c r="AI116" i="24"/>
  <c r="W105" i="24"/>
  <c r="Y105" i="24" s="1"/>
  <c r="W79" i="24"/>
  <c r="Y79" i="24" s="1"/>
  <c r="AE105" i="24"/>
  <c r="AF105" i="24" s="1"/>
  <c r="X33" i="24"/>
  <c r="AA33" i="24" s="1"/>
  <c r="AB33" i="24" s="1"/>
  <c r="AC33" i="24" s="1"/>
  <c r="AE55" i="24"/>
  <c r="AF55" i="24" s="1"/>
  <c r="X87" i="24"/>
  <c r="AA87" i="24" s="1"/>
  <c r="AB87" i="24" s="1"/>
  <c r="AC87" i="24" s="1"/>
  <c r="AJ87" i="24" s="1"/>
  <c r="W161" i="24"/>
  <c r="Y161" i="24" s="1"/>
  <c r="W152" i="24"/>
  <c r="Y152" i="24" s="1"/>
  <c r="W163" i="24"/>
  <c r="Y163" i="24" s="1"/>
  <c r="AE182" i="24"/>
  <c r="X155" i="24"/>
  <c r="AA155" i="24" s="1"/>
  <c r="AB155" i="24" s="1"/>
  <c r="AC155" i="24" s="1"/>
  <c r="X123" i="24"/>
  <c r="AA123" i="24" s="1"/>
  <c r="AB123" i="24" s="1"/>
  <c r="AC123" i="24" s="1"/>
  <c r="W116" i="24"/>
  <c r="Y116" i="24" s="1"/>
  <c r="W169" i="24"/>
  <c r="Y169" i="24" s="1"/>
  <c r="W167" i="24"/>
  <c r="Y167" i="24" s="1"/>
  <c r="AE152" i="24"/>
  <c r="AF152" i="24" s="1"/>
  <c r="X115" i="24"/>
  <c r="AA115" i="24" s="1"/>
  <c r="AB115" i="24" s="1"/>
  <c r="AC115" i="24" s="1"/>
  <c r="X207" i="24"/>
  <c r="AA207" i="24" s="1"/>
  <c r="AB207" i="24" s="1"/>
  <c r="AC207" i="24" s="1"/>
  <c r="W187" i="24"/>
  <c r="Y187" i="24" s="1"/>
  <c r="W115" i="24"/>
  <c r="Y115" i="24" s="1"/>
  <c r="AE154" i="24"/>
  <c r="X149" i="24"/>
  <c r="AA149" i="24" s="1"/>
  <c r="AB149" i="24" s="1"/>
  <c r="AC149" i="24" s="1"/>
  <c r="AJ149" i="24" s="1"/>
  <c r="AE122" i="24"/>
  <c r="AF122" i="24" s="1"/>
  <c r="W177" i="24"/>
  <c r="Y177" i="24" s="1"/>
  <c r="AI145" i="24"/>
  <c r="AJ145" i="24" s="1"/>
  <c r="AI68" i="24"/>
  <c r="AE104" i="24"/>
  <c r="AF104" i="24" s="1"/>
  <c r="AI154" i="24"/>
  <c r="AJ154" i="24" s="1"/>
  <c r="AI123" i="24"/>
  <c r="AI182" i="24"/>
  <c r="AJ182" i="24" s="1"/>
  <c r="AI122" i="24"/>
  <c r="AI184" i="24"/>
  <c r="AJ184" i="24" s="1"/>
  <c r="AI141" i="24"/>
  <c r="AJ141" i="24" s="1"/>
  <c r="AE42" i="24"/>
  <c r="AF42" i="24" s="1"/>
  <c r="W184" i="24"/>
  <c r="Y184" i="24" s="1"/>
  <c r="AI155" i="24"/>
  <c r="W72" i="24"/>
  <c r="Y72" i="24" s="1"/>
  <c r="X27" i="24"/>
  <c r="AA27" i="24" s="1"/>
  <c r="AB27" i="24" s="1"/>
  <c r="AC27" i="24" s="1"/>
  <c r="AJ27" i="24" s="1"/>
  <c r="X105" i="24"/>
  <c r="AA105" i="24" s="1"/>
  <c r="AB105" i="24" s="1"/>
  <c r="AC105" i="24" s="1"/>
  <c r="AJ105" i="24" s="1"/>
  <c r="X19" i="24"/>
  <c r="AA19" i="24" s="1"/>
  <c r="AB19" i="24" s="1"/>
  <c r="AC19" i="24" s="1"/>
  <c r="AE91" i="24"/>
  <c r="AF91" i="24" s="1"/>
  <c r="AI187" i="24"/>
  <c r="AI137" i="24"/>
  <c r="AJ137" i="24" s="1"/>
  <c r="AI115" i="24"/>
  <c r="W141" i="24"/>
  <c r="Y141" i="24" s="1"/>
  <c r="AE167" i="24"/>
  <c r="AF167" i="24" s="1"/>
  <c r="AE149" i="24"/>
  <c r="AF149" i="24" s="1"/>
  <c r="X21" i="24"/>
  <c r="AA21" i="24" s="1"/>
  <c r="AB21" i="24" s="1"/>
  <c r="AC21" i="24" s="1"/>
  <c r="X42" i="24"/>
  <c r="AA42" i="24" s="1"/>
  <c r="AB42" i="24" s="1"/>
  <c r="AC42" i="24" s="1"/>
  <c r="AJ42" i="24" s="1"/>
  <c r="AI79" i="24"/>
  <c r="W63" i="24"/>
  <c r="Y63" i="24" s="1"/>
  <c r="X79" i="24"/>
  <c r="AA79" i="24" s="1"/>
  <c r="AB79" i="24" s="1"/>
  <c r="AC79" i="24" s="1"/>
  <c r="X72" i="24"/>
  <c r="AA72" i="24" s="1"/>
  <c r="AB72" i="24" s="1"/>
  <c r="AC72" i="24" s="1"/>
  <c r="AI55" i="24"/>
  <c r="AI72" i="24"/>
  <c r="W83" i="24"/>
  <c r="Y83" i="24" s="1"/>
  <c r="W40" i="24"/>
  <c r="Y40" i="24" s="1"/>
  <c r="X55" i="24"/>
  <c r="AA55" i="24" s="1"/>
  <c r="AB55" i="24" s="1"/>
  <c r="AC55" i="24" s="1"/>
  <c r="W68" i="24"/>
  <c r="Y68" i="24" s="1"/>
  <c r="W23" i="24"/>
  <c r="Y23" i="24" s="1"/>
  <c r="W41" i="24"/>
  <c r="Y41" i="24" s="1"/>
  <c r="W69" i="24"/>
  <c r="Y69" i="24" s="1"/>
  <c r="X68" i="24"/>
  <c r="AA68" i="24" s="1"/>
  <c r="AB68" i="24" s="1"/>
  <c r="AC68" i="24" s="1"/>
  <c r="X51" i="24"/>
  <c r="AA51" i="24" s="1"/>
  <c r="AB51" i="24" s="1"/>
  <c r="AC51" i="24" s="1"/>
  <c r="X97" i="24"/>
  <c r="AA97" i="24" s="1"/>
  <c r="AB97" i="24" s="1"/>
  <c r="AC97" i="24" s="1"/>
  <c r="X28" i="24"/>
  <c r="AA28" i="24" s="1"/>
  <c r="AB28" i="24" s="1"/>
  <c r="AC28" i="24" s="1"/>
  <c r="AE86" i="24"/>
  <c r="AF86" i="24" s="1"/>
  <c r="AE85" i="24"/>
  <c r="AF85" i="24" s="1"/>
  <c r="X70" i="24"/>
  <c r="AA70" i="24" s="1"/>
  <c r="AB70" i="24" s="1"/>
  <c r="AC70" i="24" s="1"/>
  <c r="AJ70" i="24" s="1"/>
  <c r="AE32" i="24"/>
  <c r="AF32" i="24" s="1"/>
  <c r="X104" i="24"/>
  <c r="AA104" i="24" s="1"/>
  <c r="AB104" i="24" s="1"/>
  <c r="AC104" i="24" s="1"/>
  <c r="AJ104" i="24" s="1"/>
  <c r="W70" i="24"/>
  <c r="Y70" i="24" s="1"/>
  <c r="AI86" i="24"/>
  <c r="AJ86" i="24" s="1"/>
  <c r="AI33" i="24"/>
  <c r="AI41" i="24"/>
  <c r="AI28" i="24"/>
  <c r="AI19" i="24"/>
  <c r="AI51" i="24"/>
  <c r="AE33" i="24"/>
  <c r="AF33" i="24" s="1"/>
  <c r="AE14" i="24"/>
  <c r="AF14" i="24" s="1"/>
  <c r="X69" i="24"/>
  <c r="AA69" i="24" s="1"/>
  <c r="AB69" i="24" s="1"/>
  <c r="AC69" i="24" s="1"/>
  <c r="AJ69" i="24" s="1"/>
  <c r="AE23" i="24"/>
  <c r="AF23" i="24" s="1"/>
  <c r="X29" i="24"/>
  <c r="AA29" i="24" s="1"/>
  <c r="AB29" i="24" s="1"/>
  <c r="AC29" i="24" s="1"/>
  <c r="W51" i="24"/>
  <c r="Y51" i="24" s="1"/>
  <c r="AE53" i="24"/>
  <c r="AF53" i="24" s="1"/>
  <c r="AI29" i="24"/>
  <c r="AI85" i="24"/>
  <c r="AJ85" i="24" s="1"/>
  <c r="W29" i="24"/>
  <c r="Y29" i="24" s="1"/>
  <c r="W85" i="24"/>
  <c r="Y85" i="24" s="1"/>
  <c r="W28" i="24"/>
  <c r="Y28" i="24" s="1"/>
  <c r="W104" i="24"/>
  <c r="Y104" i="24" s="1"/>
  <c r="AE97" i="24"/>
  <c r="AF97" i="24" s="1"/>
  <c r="AE70" i="24"/>
  <c r="AF70" i="24" s="1"/>
  <c r="AE73" i="24"/>
  <c r="AI63" i="24"/>
  <c r="AI14" i="24"/>
  <c r="AJ14" i="24" s="1"/>
  <c r="AI59" i="24"/>
  <c r="AI91" i="24"/>
  <c r="AJ91" i="24" s="1"/>
  <c r="P100" i="24"/>
  <c r="W14" i="24"/>
  <c r="Y14" i="24" s="1"/>
  <c r="AE74" i="24"/>
  <c r="AI40" i="24"/>
  <c r="AI73" i="24"/>
  <c r="AJ73" i="24" s="1"/>
  <c r="AI82" i="24"/>
  <c r="P101" i="24"/>
  <c r="P32" i="24"/>
  <c r="W100" i="24"/>
  <c r="Y100" i="24" s="1"/>
  <c r="W59" i="24"/>
  <c r="Y59" i="24" s="1"/>
  <c r="AP32" i="24"/>
  <c r="AP25" i="24"/>
  <c r="AP86" i="24"/>
  <c r="X59" i="24"/>
  <c r="AA59" i="24" s="1"/>
  <c r="AB59" i="24" s="1"/>
  <c r="AC59" i="24" s="1"/>
  <c r="X82" i="24"/>
  <c r="AA82" i="24" s="1"/>
  <c r="AB82" i="24" s="1"/>
  <c r="AC82" i="24" s="1"/>
  <c r="W32" i="24"/>
  <c r="Y32" i="24" s="1"/>
  <c r="X23" i="24"/>
  <c r="AA23" i="24" s="1"/>
  <c r="AB23" i="24" s="1"/>
  <c r="AC23" i="24" s="1"/>
  <c r="AJ23" i="24" s="1"/>
  <c r="X32" i="24"/>
  <c r="AA32" i="24" s="1"/>
  <c r="AB32" i="24" s="1"/>
  <c r="AC32" i="24" s="1"/>
  <c r="AJ32" i="24" s="1"/>
  <c r="X63" i="24"/>
  <c r="AA63" i="24" s="1"/>
  <c r="AB63" i="24" s="1"/>
  <c r="AC63" i="24" s="1"/>
  <c r="W64" i="24"/>
  <c r="Y64" i="24" s="1"/>
  <c r="W91" i="24"/>
  <c r="Y91" i="24" s="1"/>
  <c r="W73" i="24"/>
  <c r="Y73" i="24" s="1"/>
  <c r="AP100" i="24"/>
  <c r="X64" i="24"/>
  <c r="AA64" i="24" s="1"/>
  <c r="AB64" i="24" s="1"/>
  <c r="AC64" i="24" s="1"/>
  <c r="P85" i="24"/>
  <c r="P25" i="24"/>
  <c r="P104" i="24"/>
  <c r="AP33" i="24"/>
  <c r="AP78" i="24"/>
  <c r="AP69" i="24"/>
  <c r="AP23" i="24"/>
  <c r="P69" i="24"/>
  <c r="P70" i="24"/>
  <c r="P97" i="24"/>
  <c r="Q92" i="24"/>
  <c r="R92" i="24" s="1"/>
  <c r="P74" i="24"/>
  <c r="Q74" i="24"/>
  <c r="R74" i="24" s="1"/>
  <c r="Q72" i="24"/>
  <c r="R72" i="24" s="1"/>
  <c r="P29" i="24"/>
  <c r="Q29" i="24"/>
  <c r="R29" i="24" s="1"/>
  <c r="Q56" i="24"/>
  <c r="R56" i="24" s="1"/>
  <c r="P14" i="24"/>
  <c r="Q14" i="24"/>
  <c r="R14" i="24" s="1"/>
  <c r="Q50" i="24"/>
  <c r="R50" i="24" s="1"/>
  <c r="Q31" i="24"/>
  <c r="R31" i="24" s="1"/>
  <c r="AP96" i="24"/>
  <c r="Q96" i="24"/>
  <c r="R96" i="24" s="1"/>
  <c r="P73" i="24"/>
  <c r="AP19" i="24"/>
  <c r="AP70" i="24"/>
  <c r="AP21" i="24"/>
  <c r="AP73" i="24"/>
  <c r="AP68" i="24"/>
  <c r="P23" i="24"/>
  <c r="P21" i="24"/>
  <c r="Q91" i="24"/>
  <c r="R91" i="24" s="1"/>
  <c r="P83" i="24"/>
  <c r="Q83" i="24"/>
  <c r="R83" i="24" s="1"/>
  <c r="P36" i="24"/>
  <c r="Q36" i="24"/>
  <c r="R36" i="24" s="1"/>
  <c r="Q89" i="24"/>
  <c r="R89" i="24" s="1"/>
  <c r="AP82" i="24"/>
  <c r="Q82" i="24"/>
  <c r="R82" i="24" s="1"/>
  <c r="P18" i="24"/>
  <c r="Q18" i="24"/>
  <c r="R18" i="24" s="1"/>
  <c r="Q60" i="24"/>
  <c r="R60" i="24" s="1"/>
  <c r="Q42" i="24"/>
  <c r="R42" i="24" s="1"/>
  <c r="Q40" i="24"/>
  <c r="R40" i="24" s="1"/>
  <c r="Q87" i="24"/>
  <c r="R87" i="24" s="1"/>
  <c r="P46" i="24"/>
  <c r="Q46" i="24"/>
  <c r="R46" i="24" s="1"/>
  <c r="P87" i="24"/>
  <c r="P60" i="24"/>
  <c r="P42" i="24"/>
  <c r="P40" i="24"/>
  <c r="P91" i="24"/>
  <c r="J93" i="24"/>
  <c r="W93" i="24" s="1"/>
  <c r="Y93" i="24" s="1"/>
  <c r="Q93" i="24"/>
  <c r="R93" i="24" s="1"/>
  <c r="J80" i="24"/>
  <c r="J35" i="24"/>
  <c r="AI35" i="24" s="1"/>
  <c r="Q35" i="24"/>
  <c r="R35" i="24" s="1"/>
  <c r="J34" i="24"/>
  <c r="AI34" i="24" s="1"/>
  <c r="Q34" i="24"/>
  <c r="R34" i="24" s="1"/>
  <c r="J94" i="24"/>
  <c r="AE94" i="24" s="1"/>
  <c r="AF94" i="24" s="1"/>
  <c r="Q94" i="24"/>
  <c r="R94" i="24" s="1"/>
  <c r="J76" i="24"/>
  <c r="J81" i="24"/>
  <c r="AE81" i="24" s="1"/>
  <c r="AF81" i="24" s="1"/>
  <c r="Q81" i="24"/>
  <c r="R81" i="24" s="1"/>
  <c r="J66" i="24"/>
  <c r="Q66" i="24"/>
  <c r="R66" i="24" s="1"/>
  <c r="J16" i="24"/>
  <c r="W16" i="24" s="1"/>
  <c r="Y16" i="24" s="1"/>
  <c r="P16" i="24"/>
  <c r="J99" i="24"/>
  <c r="AI99" i="24" s="1"/>
  <c r="J17" i="24"/>
  <c r="AP17" i="24"/>
  <c r="J48" i="24"/>
  <c r="W48" i="24" s="1"/>
  <c r="Y48" i="24" s="1"/>
  <c r="Q48" i="24"/>
  <c r="R48" i="24" s="1"/>
  <c r="AP31" i="24"/>
  <c r="J49" i="24"/>
  <c r="AI49" i="24" s="1"/>
  <c r="Q49" i="24"/>
  <c r="R49" i="24" s="1"/>
  <c r="J20" i="24"/>
  <c r="Q20" i="24"/>
  <c r="R20" i="24" s="1"/>
  <c r="J77" i="24"/>
  <c r="AP77" i="24"/>
  <c r="J47" i="24"/>
  <c r="AI47" i="24" s="1"/>
  <c r="J67" i="24"/>
  <c r="P67" i="24"/>
  <c r="J24" i="24"/>
  <c r="Q24" i="24"/>
  <c r="R24" i="24" s="1"/>
  <c r="J8" i="24"/>
  <c r="X8" i="24" s="1"/>
  <c r="AA8" i="24" s="1"/>
  <c r="AB8" i="24" s="1"/>
  <c r="AC8" i="24" s="1"/>
  <c r="Q8" i="24"/>
  <c r="R8" i="24" s="1"/>
  <c r="J90" i="24"/>
  <c r="J88" i="24"/>
  <c r="X88" i="24" s="1"/>
  <c r="AA88" i="24" s="1"/>
  <c r="AB88" i="24" s="1"/>
  <c r="AC88" i="24" s="1"/>
  <c r="P88" i="24"/>
  <c r="P72" i="24"/>
  <c r="P96" i="24"/>
  <c r="AP14" i="24"/>
  <c r="AP92" i="24"/>
  <c r="AP74" i="24"/>
  <c r="AP29" i="24"/>
  <c r="P92" i="24"/>
  <c r="J45" i="24"/>
  <c r="J62" i="24"/>
  <c r="J22" i="24"/>
  <c r="W22" i="24" s="1"/>
  <c r="Y22" i="24" s="1"/>
  <c r="J26" i="24"/>
  <c r="W26" i="24" s="1"/>
  <c r="Y26" i="24" s="1"/>
  <c r="J52" i="24"/>
  <c r="J13" i="24"/>
  <c r="X13" i="24" s="1"/>
  <c r="AA13" i="24" s="1"/>
  <c r="AB13" i="24" s="1"/>
  <c r="AC13" i="24" s="1"/>
  <c r="J15" i="24"/>
  <c r="AI15" i="24" s="1"/>
  <c r="J84" i="24"/>
  <c r="Q84" i="24"/>
  <c r="J9" i="24"/>
  <c r="J37" i="24"/>
  <c r="AI37" i="24" s="1"/>
  <c r="AP37" i="24"/>
  <c r="J38" i="24"/>
  <c r="J39" i="24"/>
  <c r="AP39" i="24"/>
  <c r="J30" i="24"/>
  <c r="Q30" i="24"/>
  <c r="R30" i="24" s="1"/>
  <c r="P31" i="24"/>
  <c r="J12" i="24"/>
  <c r="W12" i="24" s="1"/>
  <c r="Y12" i="24" s="1"/>
  <c r="J65" i="24"/>
  <c r="AI65" i="24" s="1"/>
  <c r="J11" i="24"/>
  <c r="AI11" i="24" s="1"/>
  <c r="J102" i="24"/>
  <c r="AI102" i="24" s="1"/>
  <c r="J71" i="24"/>
  <c r="W71" i="24" s="1"/>
  <c r="Y71" i="24" s="1"/>
  <c r="J44" i="24"/>
  <c r="AE44" i="24" s="1"/>
  <c r="AF44" i="24" s="1"/>
  <c r="J43" i="24"/>
  <c r="X43" i="24" s="1"/>
  <c r="AA43" i="24" s="1"/>
  <c r="AB43" i="24" s="1"/>
  <c r="AC43" i="24" s="1"/>
  <c r="J103" i="24"/>
  <c r="J58" i="24"/>
  <c r="AI58" i="24" s="1"/>
  <c r="J75" i="24"/>
  <c r="J57" i="24"/>
  <c r="J61" i="24"/>
  <c r="X61" i="24" s="1"/>
  <c r="AA61" i="24" s="1"/>
  <c r="AB61" i="24" s="1"/>
  <c r="AC61" i="24" s="1"/>
  <c r="J98" i="24"/>
  <c r="J6" i="24"/>
  <c r="X6" i="24" s="1"/>
  <c r="AA6" i="24" s="1"/>
  <c r="AB6" i="24" s="1"/>
  <c r="AC6" i="24" s="1"/>
  <c r="J7" i="24"/>
  <c r="AP7" i="24"/>
  <c r="P55" i="24"/>
  <c r="R55" i="24"/>
  <c r="P33" i="24"/>
  <c r="R33" i="24"/>
  <c r="AP76" i="24"/>
  <c r="AP85" i="24"/>
  <c r="R97" i="24"/>
  <c r="AP89" i="24"/>
  <c r="R105" i="24"/>
  <c r="P105" i="24"/>
  <c r="R19" i="24"/>
  <c r="P19" i="24"/>
  <c r="P82" i="24"/>
  <c r="AP97" i="24"/>
  <c r="P86" i="24"/>
  <c r="R86" i="24"/>
  <c r="P54" i="24"/>
  <c r="R54" i="24"/>
  <c r="P20" i="24"/>
  <c r="AP95" i="24"/>
  <c r="P95" i="24"/>
  <c r="P80" i="24"/>
  <c r="P15" i="24"/>
  <c r="AP15" i="24"/>
  <c r="P24" i="24"/>
  <c r="AP24" i="24"/>
  <c r="P50" i="24"/>
  <c r="P47" i="24"/>
  <c r="P9" i="24"/>
  <c r="P90" i="24"/>
  <c r="P17" i="24"/>
  <c r="P38" i="24"/>
  <c r="P30" i="24"/>
  <c r="AP9" i="24"/>
  <c r="AP98" i="24"/>
  <c r="AP50" i="24"/>
  <c r="R51" i="24"/>
  <c r="P51" i="24"/>
  <c r="P59" i="24"/>
  <c r="R59" i="24"/>
  <c r="P89" i="24"/>
  <c r="P76" i="24"/>
  <c r="P66" i="24"/>
  <c r="AP51" i="24"/>
  <c r="AP58" i="24"/>
  <c r="AP66" i="24"/>
  <c r="AP47" i="24"/>
  <c r="AP38" i="24"/>
  <c r="P34" i="24"/>
  <c r="P99" i="24"/>
  <c r="P61" i="24"/>
  <c r="P37" i="24"/>
  <c r="P48" i="24"/>
  <c r="P56" i="24"/>
  <c r="AI64" i="24"/>
  <c r="AE110" i="24"/>
  <c r="AI110" i="24"/>
  <c r="AJ110" i="24" s="1"/>
  <c r="W110" i="24"/>
  <c r="Y110" i="24" s="1"/>
  <c r="CD277" i="24"/>
  <c r="CE220" i="25"/>
  <c r="CE265" i="25"/>
  <c r="CE227" i="25"/>
  <c r="CD232" i="24"/>
  <c r="CE230" i="25"/>
  <c r="CE268" i="25"/>
  <c r="CE234" i="25"/>
  <c r="CE223" i="25"/>
  <c r="CE231" i="25"/>
  <c r="CE253" i="25"/>
  <c r="CE254" i="25"/>
  <c r="CE233" i="25"/>
  <c r="CE222" i="25"/>
  <c r="CE250" i="25"/>
  <c r="CE247" i="25"/>
  <c r="CE256" i="25"/>
  <c r="CE228" i="25"/>
  <c r="CE259" i="25"/>
  <c r="CE252" i="25"/>
  <c r="AJ5" i="24"/>
  <c r="CE239" i="25"/>
  <c r="CE299" i="25"/>
  <c r="CE221" i="25"/>
  <c r="CE224" i="25"/>
  <c r="CE225" i="25"/>
  <c r="CE273" i="25"/>
  <c r="CD259" i="24"/>
  <c r="CD227" i="24"/>
  <c r="CD230" i="24"/>
  <c r="CD248" i="24"/>
  <c r="CD240" i="24"/>
  <c r="V110" i="25"/>
  <c r="X110" i="25" s="1"/>
  <c r="AG5" i="24"/>
  <c r="AN5" i="24" s="1"/>
  <c r="CD313" i="24"/>
  <c r="CD223" i="24"/>
  <c r="CD236" i="24"/>
  <c r="CD221" i="24"/>
  <c r="CD243" i="24"/>
  <c r="CD264" i="24"/>
  <c r="CD317" i="24"/>
  <c r="CD219" i="24"/>
  <c r="CD309" i="24"/>
  <c r="CD267" i="24"/>
  <c r="CD226" i="24"/>
  <c r="CD293" i="24"/>
  <c r="CD265" i="24"/>
  <c r="CD238" i="24"/>
  <c r="CD222" i="24"/>
  <c r="CD273" i="24"/>
  <c r="CD297" i="24"/>
  <c r="CD255" i="24"/>
  <c r="CD239" i="24"/>
  <c r="CD249" i="24"/>
  <c r="CD233" i="24"/>
  <c r="CD229" i="24"/>
  <c r="CD225" i="24"/>
  <c r="CD285" i="24"/>
  <c r="CD282" i="24"/>
  <c r="CD302" i="24"/>
  <c r="CD263" i="24"/>
  <c r="CD224" i="24"/>
  <c r="W110" i="25"/>
  <c r="Z110" i="25" s="1"/>
  <c r="AA110" i="25" s="1"/>
  <c r="AB110" i="25" s="1"/>
  <c r="AI110" i="25" s="1"/>
  <c r="V5" i="25"/>
  <c r="X5" i="25" s="1"/>
  <c r="CE24" i="25"/>
  <c r="CE10" i="25"/>
  <c r="CE19" i="25"/>
  <c r="CE15" i="25"/>
  <c r="CE30" i="25"/>
  <c r="CE13" i="25"/>
  <c r="CE16" i="25"/>
  <c r="CE8" i="25"/>
  <c r="W5" i="25"/>
  <c r="CE34" i="25"/>
  <c r="CE22" i="25"/>
  <c r="CE27" i="25"/>
  <c r="CE57" i="25"/>
  <c r="CE11" i="25"/>
  <c r="CE23" i="25"/>
  <c r="CE88" i="25"/>
  <c r="CE28" i="25"/>
  <c r="CE9" i="25"/>
  <c r="CE7" i="25"/>
  <c r="CE5" i="25"/>
  <c r="AF302" i="25"/>
  <c r="AF317" i="25"/>
  <c r="AF220" i="25"/>
  <c r="AF293" i="25"/>
  <c r="AF289" i="25"/>
  <c r="AF305" i="25"/>
  <c r="AF288" i="25"/>
  <c r="AF136" i="25"/>
  <c r="AF315" i="25"/>
  <c r="AF258" i="25"/>
  <c r="AF227" i="25"/>
  <c r="AF219" i="25"/>
  <c r="AF199" i="25"/>
  <c r="AF318" i="25"/>
  <c r="AF295" i="25"/>
  <c r="AF283" i="25"/>
  <c r="AF236" i="25"/>
  <c r="AF268" i="25"/>
  <c r="AF246" i="25"/>
  <c r="AF287" i="25"/>
  <c r="AF275" i="25"/>
  <c r="AF239" i="25"/>
  <c r="AF160" i="25"/>
  <c r="AF269" i="25"/>
  <c r="AF233" i="25"/>
  <c r="AF307" i="25"/>
  <c r="AF38" i="25"/>
  <c r="AF241" i="25"/>
  <c r="AF24" i="25"/>
  <c r="AF262" i="25"/>
  <c r="AF218" i="25"/>
  <c r="AF225" i="25"/>
  <c r="AF250" i="25"/>
  <c r="AF285" i="25"/>
  <c r="AF245" i="25"/>
  <c r="AF276" i="25"/>
  <c r="AF299" i="25"/>
  <c r="AF310" i="25"/>
  <c r="AF112" i="25"/>
  <c r="AF226" i="25"/>
  <c r="AF251" i="25"/>
  <c r="AF294" i="25"/>
  <c r="AF284" i="25"/>
  <c r="AF291" i="25"/>
  <c r="AF234" i="25"/>
  <c r="AF240" i="25"/>
  <c r="AF88" i="25"/>
  <c r="AF232" i="25"/>
  <c r="AF135" i="25"/>
  <c r="AF223" i="25"/>
  <c r="AF115" i="25"/>
  <c r="AF46" i="25"/>
  <c r="AF252" i="25"/>
  <c r="AF222" i="25"/>
  <c r="AF119" i="25"/>
  <c r="AF300" i="25"/>
  <c r="AF309" i="25"/>
  <c r="AF116" i="25"/>
  <c r="AF231" i="25"/>
  <c r="AF277" i="25"/>
  <c r="AF280" i="25"/>
  <c r="AF39" i="25"/>
  <c r="AF65" i="25"/>
  <c r="AF33" i="25"/>
  <c r="AF19" i="25"/>
  <c r="AF53" i="25"/>
  <c r="AF94" i="25"/>
  <c r="AF102" i="25"/>
  <c r="AF69" i="25"/>
  <c r="AF28" i="25"/>
  <c r="AF79" i="25"/>
  <c r="AF29" i="25"/>
  <c r="AF85" i="25"/>
  <c r="AF41" i="25"/>
  <c r="AF75" i="25"/>
  <c r="AF91" i="25"/>
  <c r="AF95" i="25"/>
  <c r="AF16" i="25"/>
  <c r="AF93" i="25"/>
  <c r="AF97" i="25"/>
  <c r="AF101" i="25"/>
  <c r="AF105" i="25"/>
  <c r="AF45" i="25"/>
  <c r="AF58" i="25"/>
  <c r="AF43" i="25"/>
  <c r="AF56" i="25"/>
  <c r="AF86" i="25"/>
  <c r="AF13" i="25"/>
  <c r="AF71" i="25"/>
  <c r="AF72" i="25"/>
  <c r="AF87" i="25"/>
  <c r="AF21" i="25"/>
  <c r="AF98" i="25"/>
  <c r="AF89" i="25"/>
  <c r="AF6" i="25"/>
  <c r="AF10" i="25"/>
  <c r="AF61" i="25"/>
  <c r="AF15" i="25"/>
  <c r="AF67" i="25"/>
  <c r="AF54" i="25"/>
  <c r="AF26" i="25"/>
  <c r="AF32" i="25"/>
  <c r="AF103" i="25"/>
  <c r="AF81" i="25"/>
  <c r="AF99" i="25"/>
  <c r="AF37" i="25"/>
  <c r="AF20" i="25"/>
  <c r="AF70" i="25"/>
  <c r="AF74" i="25"/>
  <c r="AF18" i="25"/>
  <c r="AF42" i="25"/>
  <c r="AF48" i="25"/>
  <c r="AF80" i="25"/>
  <c r="AF78" i="25"/>
  <c r="AF27" i="25"/>
  <c r="AF47" i="25"/>
  <c r="AF63" i="25"/>
  <c r="AF57" i="25"/>
  <c r="AF73" i="25"/>
  <c r="AF31" i="25"/>
  <c r="AF51" i="25"/>
  <c r="AF92" i="25"/>
  <c r="AF104" i="25"/>
  <c r="AF52" i="25"/>
  <c r="AF82" i="25"/>
  <c r="AF60" i="25"/>
  <c r="AF90" i="25"/>
  <c r="AF66" i="25"/>
  <c r="AF76" i="25"/>
  <c r="AF30" i="25"/>
  <c r="AF8" i="25"/>
  <c r="AF17" i="25"/>
  <c r="AF34" i="25"/>
  <c r="AF23" i="25"/>
  <c r="AF50" i="25"/>
  <c r="AF59" i="25"/>
  <c r="AF44" i="25"/>
  <c r="AF40" i="25"/>
  <c r="AF22" i="25"/>
  <c r="AF35" i="25"/>
  <c r="AF12" i="25"/>
  <c r="AF64" i="25"/>
  <c r="AF62" i="25"/>
  <c r="AF14" i="25"/>
  <c r="AF25" i="25"/>
  <c r="AF77" i="25"/>
  <c r="AF7" i="25"/>
  <c r="AF11" i="25"/>
  <c r="AF83" i="25"/>
  <c r="AF49" i="25"/>
  <c r="AF84" i="25"/>
  <c r="AF55" i="25"/>
  <c r="AF96" i="25"/>
  <c r="AF100" i="25"/>
  <c r="AF9" i="25"/>
  <c r="AF36" i="25"/>
  <c r="AF68" i="25"/>
  <c r="AB279" i="25"/>
  <c r="AI279" i="25" s="1"/>
  <c r="AS279" i="25" s="1"/>
  <c r="AB234" i="25"/>
  <c r="AI234" i="25" s="1"/>
  <c r="AS234" i="25" s="1"/>
  <c r="AB240" i="25"/>
  <c r="AI240" i="25" s="1"/>
  <c r="AS240" i="25" s="1"/>
  <c r="AB122" i="25"/>
  <c r="AI122" i="25" s="1"/>
  <c r="AB117" i="25"/>
  <c r="AI117" i="25" s="1"/>
  <c r="AB245" i="25"/>
  <c r="AI245" i="25" s="1"/>
  <c r="AS245" i="25" s="1"/>
  <c r="AB112" i="25"/>
  <c r="AI112" i="25" s="1"/>
  <c r="AB128" i="25"/>
  <c r="AI128" i="25" s="1"/>
  <c r="AB144" i="25"/>
  <c r="AI144" i="25" s="1"/>
  <c r="AB160" i="25"/>
  <c r="AI160" i="25" s="1"/>
  <c r="AB231" i="25"/>
  <c r="AI231" i="25" s="1"/>
  <c r="AS231" i="25" s="1"/>
  <c r="AB289" i="25"/>
  <c r="AI289" i="25" s="1"/>
  <c r="AS289" i="25" s="1"/>
  <c r="AB251" i="25"/>
  <c r="AI251" i="25" s="1"/>
  <c r="AS251" i="25" s="1"/>
  <c r="AB252" i="25"/>
  <c r="AI252" i="25" s="1"/>
  <c r="AS252" i="25" s="1"/>
  <c r="AB262" i="25"/>
  <c r="AI262" i="25" s="1"/>
  <c r="AS262" i="25" s="1"/>
  <c r="AB266" i="25"/>
  <c r="AI266" i="25" s="1"/>
  <c r="AS266" i="25" s="1"/>
  <c r="AB192" i="25"/>
  <c r="AI192" i="25" s="1"/>
  <c r="AB309" i="25"/>
  <c r="AI309" i="25" s="1"/>
  <c r="AS309" i="25" s="1"/>
  <c r="AB116" i="25"/>
  <c r="AI116" i="25" s="1"/>
  <c r="AB246" i="25"/>
  <c r="AI246" i="25" s="1"/>
  <c r="AS246" i="25" s="1"/>
  <c r="AB241" i="25"/>
  <c r="AI241" i="25" s="1"/>
  <c r="AS241" i="25" s="1"/>
  <c r="AB119" i="25"/>
  <c r="AI119" i="25" s="1"/>
  <c r="AB315" i="25"/>
  <c r="AI315" i="25" s="1"/>
  <c r="AS315" i="25" s="1"/>
  <c r="AB269" i="25"/>
  <c r="AI269" i="25" s="1"/>
  <c r="AS269" i="25" s="1"/>
  <c r="AB250" i="25"/>
  <c r="AI250" i="25" s="1"/>
  <c r="AS250" i="25" s="1"/>
  <c r="AB302" i="25"/>
  <c r="AI302" i="25" s="1"/>
  <c r="AS302" i="25" s="1"/>
  <c r="AB295" i="25"/>
  <c r="AI295" i="25" s="1"/>
  <c r="AS295" i="25" s="1"/>
  <c r="AB141" i="25"/>
  <c r="AI141" i="25" s="1"/>
  <c r="AB233" i="25"/>
  <c r="AI233" i="25" s="1"/>
  <c r="AS233" i="25" s="1"/>
  <c r="AB220" i="25"/>
  <c r="AI220" i="25" s="1"/>
  <c r="AS220" i="25" s="1"/>
  <c r="AB223" i="25"/>
  <c r="AI223" i="25" s="1"/>
  <c r="AS223" i="25" s="1"/>
  <c r="AB136" i="25"/>
  <c r="AI136" i="25" s="1"/>
  <c r="AB152" i="25"/>
  <c r="AI152" i="25" s="1"/>
  <c r="AB238" i="25"/>
  <c r="AI238" i="25" s="1"/>
  <c r="AS238" i="25" s="1"/>
  <c r="AB235" i="25"/>
  <c r="AI235" i="25" s="1"/>
  <c r="AS235" i="25" s="1"/>
  <c r="AB275" i="25"/>
  <c r="AI275" i="25" s="1"/>
  <c r="AS275" i="25" s="1"/>
  <c r="AB176" i="25"/>
  <c r="AI176" i="25" s="1"/>
  <c r="AB163" i="25"/>
  <c r="AI163" i="25" s="1"/>
  <c r="AB225" i="25"/>
  <c r="AI225" i="25" s="1"/>
  <c r="AS225" i="25" s="1"/>
  <c r="AB283" i="25"/>
  <c r="AI283" i="25" s="1"/>
  <c r="AS283" i="25" s="1"/>
  <c r="AB299" i="25"/>
  <c r="AI299" i="25" s="1"/>
  <c r="AS299" i="25" s="1"/>
  <c r="AB307" i="25"/>
  <c r="AI307" i="25" s="1"/>
  <c r="AS307" i="25" s="1"/>
  <c r="AB236" i="25"/>
  <c r="AI236" i="25" s="1"/>
  <c r="AS236" i="25" s="1"/>
  <c r="AB268" i="25"/>
  <c r="AI268" i="25" s="1"/>
  <c r="AS268" i="25" s="1"/>
  <c r="AB174" i="25"/>
  <c r="AI174" i="25" s="1"/>
  <c r="AB287" i="25"/>
  <c r="AI287" i="25" s="1"/>
  <c r="AS287" i="25" s="1"/>
  <c r="AB239" i="25"/>
  <c r="AI239" i="25" s="1"/>
  <c r="AS239" i="25" s="1"/>
  <c r="AB305" i="25"/>
  <c r="AI305" i="25" s="1"/>
  <c r="AS305" i="25" s="1"/>
  <c r="AB227" i="25"/>
  <c r="AI227" i="25" s="1"/>
  <c r="AS227" i="25" s="1"/>
  <c r="AI70" i="25"/>
  <c r="AI69" i="25"/>
  <c r="AI64" i="25"/>
  <c r="AI11" i="25"/>
  <c r="AI61" i="25"/>
  <c r="AI31" i="25"/>
  <c r="AI51" i="25"/>
  <c r="AI81" i="25"/>
  <c r="AI93" i="25"/>
  <c r="AI97" i="25"/>
  <c r="AI101" i="25"/>
  <c r="AI105" i="25"/>
  <c r="AI86" i="25"/>
  <c r="AI71" i="25"/>
  <c r="AI42" i="25"/>
  <c r="AI28" i="25"/>
  <c r="AI62" i="25"/>
  <c r="AI15" i="25"/>
  <c r="AI67" i="25"/>
  <c r="AI103" i="25"/>
  <c r="AI96" i="25"/>
  <c r="AI100" i="25"/>
  <c r="AI8" i="25"/>
  <c r="AI30" i="25"/>
  <c r="AI20" i="25"/>
  <c r="AI59" i="25"/>
  <c r="AI21" i="25"/>
  <c r="AI48" i="25"/>
  <c r="AI79" i="25"/>
  <c r="AI83" i="25"/>
  <c r="AI41" i="25"/>
  <c r="AI17" i="25"/>
  <c r="AI88" i="25"/>
  <c r="AI53" i="25"/>
  <c r="AI94" i="25"/>
  <c r="AI102" i="25"/>
  <c r="AI22" i="25"/>
  <c r="AI35" i="25"/>
  <c r="AI78" i="25"/>
  <c r="AI27" i="25"/>
  <c r="AI47" i="25"/>
  <c r="AI63" i="25"/>
  <c r="AI92" i="25"/>
  <c r="AI104" i="25"/>
  <c r="AI9" i="25"/>
  <c r="AI52" i="25"/>
  <c r="AI218" i="25"/>
  <c r="AS218" i="25" s="1"/>
  <c r="X76" i="25"/>
  <c r="X73" i="25"/>
  <c r="X75" i="25"/>
  <c r="X111" i="25"/>
  <c r="X318" i="25"/>
  <c r="X45" i="25"/>
  <c r="X86" i="25"/>
  <c r="AI199" i="25"/>
  <c r="X50" i="25"/>
  <c r="X19" i="25"/>
  <c r="AI280" i="25"/>
  <c r="AS280" i="25" s="1"/>
  <c r="AI138" i="25"/>
  <c r="X125" i="25"/>
  <c r="X227" i="25"/>
  <c r="X72" i="25"/>
  <c r="X33" i="25"/>
  <c r="X17" i="25"/>
  <c r="X23" i="25"/>
  <c r="X98" i="25"/>
  <c r="X20" i="25"/>
  <c r="X279" i="25"/>
  <c r="X172" i="25"/>
  <c r="X44" i="25"/>
  <c r="X196" i="25"/>
  <c r="X79" i="25"/>
  <c r="X24" i="25"/>
  <c r="X60" i="25"/>
  <c r="X49" i="25"/>
  <c r="X271" i="25"/>
  <c r="X302" i="25"/>
  <c r="X18" i="25"/>
  <c r="X99" i="25"/>
  <c r="X83" i="25"/>
  <c r="X136" i="25"/>
  <c r="X41" i="25"/>
  <c r="X81" i="25"/>
  <c r="X29" i="25"/>
  <c r="X85" i="25"/>
  <c r="X31" i="25"/>
  <c r="X96" i="25"/>
  <c r="X104" i="25"/>
  <c r="X315" i="25"/>
  <c r="X52" i="25"/>
  <c r="X84" i="25"/>
  <c r="X182" i="25"/>
  <c r="X149" i="25"/>
  <c r="X46" i="25"/>
  <c r="X68" i="25"/>
  <c r="X82" i="25"/>
  <c r="X70" i="25"/>
  <c r="X209" i="25"/>
  <c r="X54" i="25"/>
  <c r="X16" i="25"/>
  <c r="X32" i="25"/>
  <c r="X67" i="25"/>
  <c r="X200" i="25"/>
  <c r="AI314" i="25"/>
  <c r="AS314" i="25" s="1"/>
  <c r="AI312" i="25"/>
  <c r="AS312" i="25" s="1"/>
  <c r="AI24" i="25"/>
  <c r="X57" i="25"/>
  <c r="X61" i="25"/>
  <c r="X92" i="25"/>
  <c r="X100" i="25"/>
  <c r="AI36" i="25"/>
  <c r="AI68" i="25"/>
  <c r="AI76" i="25"/>
  <c r="X290" i="25"/>
  <c r="AI14" i="25"/>
  <c r="X226" i="25"/>
  <c r="X286" i="25"/>
  <c r="AI38" i="25"/>
  <c r="AI54" i="25"/>
  <c r="AI277" i="25"/>
  <c r="AS277" i="25" s="1"/>
  <c r="AI82" i="25"/>
  <c r="X238" i="25"/>
  <c r="X265" i="25"/>
  <c r="AI168" i="25"/>
  <c r="AI156" i="25"/>
  <c r="AI132" i="25"/>
  <c r="AI37" i="25"/>
  <c r="AI56" i="25"/>
  <c r="AI44" i="25"/>
  <c r="AI276" i="25"/>
  <c r="AS276" i="25" s="1"/>
  <c r="AI6" i="25"/>
  <c r="AI300" i="25"/>
  <c r="AS300" i="25" s="1"/>
  <c r="X87" i="25"/>
  <c r="X183" i="25"/>
  <c r="AI135" i="25"/>
  <c r="X310" i="25"/>
  <c r="X121" i="25"/>
  <c r="X155" i="25"/>
  <c r="X37" i="25"/>
  <c r="X123" i="25"/>
  <c r="X180" i="25"/>
  <c r="AI87" i="25"/>
  <c r="X189" i="25"/>
  <c r="X12" i="25"/>
  <c r="X43" i="25"/>
  <c r="X233" i="25"/>
  <c r="X245" i="25"/>
  <c r="X22" i="25"/>
  <c r="X42" i="25"/>
  <c r="X78" i="25"/>
  <c r="AI115" i="25"/>
  <c r="AI273" i="25"/>
  <c r="AS273" i="25" s="1"/>
  <c r="X7" i="25"/>
  <c r="X11" i="25"/>
  <c r="AI29" i="25"/>
  <c r="X275" i="25"/>
  <c r="X309" i="25"/>
  <c r="AI26" i="25"/>
  <c r="X280" i="25"/>
  <c r="X305" i="25"/>
  <c r="X223" i="25"/>
  <c r="X210" i="25"/>
  <c r="X62" i="25"/>
  <c r="X205" i="25"/>
  <c r="X58" i="25"/>
  <c r="X74" i="25"/>
  <c r="AI13" i="25"/>
  <c r="AI232" i="25"/>
  <c r="AS232" i="25" s="1"/>
  <c r="X30" i="25"/>
  <c r="X113" i="25"/>
  <c r="X276" i="25"/>
  <c r="X230" i="25"/>
  <c r="X21" i="25"/>
  <c r="AI40" i="25"/>
  <c r="AI12" i="25"/>
  <c r="X112" i="25"/>
  <c r="X27" i="25"/>
  <c r="X47" i="25"/>
  <c r="X63" i="25"/>
  <c r="X126" i="25"/>
  <c r="X203" i="25"/>
  <c r="X308" i="25"/>
  <c r="X35" i="25"/>
  <c r="X80" i="25"/>
  <c r="X25" i="25"/>
  <c r="X36" i="25"/>
  <c r="X66" i="25"/>
  <c r="X241" i="25"/>
  <c r="X277" i="25"/>
  <c r="AI49" i="25"/>
  <c r="X274" i="25"/>
  <c r="X202" i="25"/>
  <c r="X268" i="25"/>
  <c r="X94" i="25"/>
  <c r="X103" i="25"/>
  <c r="X15" i="25"/>
  <c r="X131" i="25"/>
  <c r="AI91" i="25"/>
  <c r="X236" i="25"/>
  <c r="X219" i="25"/>
  <c r="X285" i="25"/>
  <c r="X259" i="25"/>
  <c r="AI72" i="25"/>
  <c r="X237" i="25"/>
  <c r="AI243" i="25"/>
  <c r="AS243" i="25" s="1"/>
  <c r="X283" i="25"/>
  <c r="AI77" i="25"/>
  <c r="X246" i="25"/>
  <c r="AI85" i="25"/>
  <c r="AI293" i="25"/>
  <c r="AS293" i="25" s="1"/>
  <c r="X169" i="25"/>
  <c r="X249" i="25"/>
  <c r="AI165" i="25"/>
  <c r="X177" i="25"/>
  <c r="X193" i="25"/>
  <c r="AI288" i="25"/>
  <c r="AS288" i="25" s="1"/>
  <c r="X232" i="25"/>
  <c r="X138" i="25"/>
  <c r="X256" i="25"/>
  <c r="X269" i="25"/>
  <c r="X8" i="25"/>
  <c r="AI219" i="25"/>
  <c r="AS219" i="25" s="1"/>
  <c r="AI318" i="25"/>
  <c r="AS318" i="25" s="1"/>
  <c r="AI34" i="25"/>
  <c r="X250" i="25"/>
  <c r="AI285" i="25"/>
  <c r="AS285" i="25" s="1"/>
  <c r="AI18" i="25"/>
  <c r="X299" i="25"/>
  <c r="X6" i="25"/>
  <c r="X234" i="25"/>
  <c r="AI258" i="25"/>
  <c r="AS258" i="25" s="1"/>
  <c r="AI310" i="25"/>
  <c r="AS310" i="25" s="1"/>
  <c r="AI57" i="25"/>
  <c r="AI226" i="25"/>
  <c r="AS226" i="25" s="1"/>
  <c r="AI184" i="25"/>
  <c r="X207" i="25"/>
  <c r="AI7" i="25"/>
  <c r="X252" i="25"/>
  <c r="X239" i="25"/>
  <c r="AI32" i="25"/>
  <c r="X300" i="25"/>
  <c r="AI55" i="25"/>
  <c r="X270" i="25"/>
  <c r="X185" i="25"/>
  <c r="AI182" i="25"/>
  <c r="X291" i="25"/>
  <c r="AI267" i="25"/>
  <c r="AS267" i="25" s="1"/>
  <c r="AI222" i="25"/>
  <c r="AS222" i="25" s="1"/>
  <c r="AI60" i="25"/>
  <c r="AI137" i="25"/>
  <c r="AI153" i="25"/>
  <c r="AI169" i="25"/>
  <c r="X231" i="25"/>
  <c r="X298" i="25"/>
  <c r="AI263" i="25"/>
  <c r="AS263" i="25" s="1"/>
  <c r="AI16" i="25"/>
  <c r="AI291" i="25"/>
  <c r="AS291" i="25" s="1"/>
  <c r="AI284" i="25"/>
  <c r="AS284" i="25" s="1"/>
  <c r="X225" i="25"/>
  <c r="AI39" i="25"/>
  <c r="X190" i="25"/>
  <c r="AI33" i="25"/>
  <c r="AI19" i="25"/>
  <c r="X293" i="25"/>
  <c r="AI10" i="25"/>
  <c r="X289" i="25"/>
  <c r="AI84" i="25"/>
  <c r="X284" i="25"/>
  <c r="X222" i="25"/>
  <c r="AI75" i="25"/>
  <c r="AI90" i="25"/>
  <c r="X56" i="25"/>
  <c r="X13" i="25"/>
  <c r="X65" i="25"/>
  <c r="X93" i="25"/>
  <c r="X97" i="25"/>
  <c r="X101" i="25"/>
  <c r="X105" i="25"/>
  <c r="AI164" i="25"/>
  <c r="X258" i="25"/>
  <c r="X14" i="25"/>
  <c r="X89" i="25"/>
  <c r="X40" i="25"/>
  <c r="X71" i="25"/>
  <c r="X38" i="25"/>
  <c r="X201" i="25"/>
  <c r="AI45" i="25"/>
  <c r="X88" i="25"/>
  <c r="X140" i="25"/>
  <c r="X296" i="25"/>
  <c r="AI58" i="25"/>
  <c r="AI43" i="25"/>
  <c r="AI65" i="25"/>
  <c r="X55" i="25"/>
  <c r="X240" i="25"/>
  <c r="AI23" i="25"/>
  <c r="X133" i="25"/>
  <c r="X148" i="25"/>
  <c r="AI317" i="25"/>
  <c r="AS317" i="25" s="1"/>
  <c r="X34" i="25"/>
  <c r="AI74" i="25"/>
  <c r="AI50" i="25"/>
  <c r="X295" i="25"/>
  <c r="X53" i="25"/>
  <c r="X90" i="25"/>
  <c r="X59" i="25"/>
  <c r="X261" i="25"/>
  <c r="X69" i="25"/>
  <c r="X28" i="25"/>
  <c r="X39" i="25"/>
  <c r="X206" i="25"/>
  <c r="X307" i="25"/>
  <c r="X48" i="25"/>
  <c r="AI80" i="25"/>
  <c r="AI98" i="25"/>
  <c r="AI89" i="25"/>
  <c r="X9" i="25"/>
  <c r="X139" i="25"/>
  <c r="X10" i="25"/>
  <c r="AI25" i="25"/>
  <c r="X220" i="25"/>
  <c r="AI73" i="25"/>
  <c r="X199" i="25"/>
  <c r="X95" i="25"/>
  <c r="X248" i="25"/>
  <c r="X26" i="25"/>
  <c r="X51" i="25"/>
  <c r="X102" i="25"/>
  <c r="X278" i="25"/>
  <c r="AI46" i="25"/>
  <c r="X116" i="25"/>
  <c r="X119" i="25"/>
  <c r="X91" i="25"/>
  <c r="X143" i="25"/>
  <c r="X267" i="25"/>
  <c r="X77" i="25"/>
  <c r="X288" i="25"/>
  <c r="X64" i="25"/>
  <c r="AI99" i="25"/>
  <c r="X159" i="25"/>
  <c r="X191" i="25"/>
  <c r="AI294" i="25"/>
  <c r="AS294" i="25" s="1"/>
  <c r="X229" i="25"/>
  <c r="X282" i="25"/>
  <c r="X313" i="25"/>
  <c r="AI316" i="25"/>
  <c r="AS316" i="25" s="1"/>
  <c r="AI127" i="25"/>
  <c r="AI95" i="25"/>
  <c r="X262" i="25"/>
  <c r="X294" i="25"/>
  <c r="AI66" i="25"/>
  <c r="AJ197" i="24"/>
  <c r="AJ127" i="24"/>
  <c r="Y200" i="24"/>
  <c r="Y123" i="24"/>
  <c r="Y311" i="24"/>
  <c r="AJ289" i="24"/>
  <c r="AT289" i="24" s="1"/>
  <c r="Y124" i="24"/>
  <c r="AJ121" i="24"/>
  <c r="Y126" i="24"/>
  <c r="Y160" i="24"/>
  <c r="Y140" i="24"/>
  <c r="Y197" i="24"/>
  <c r="Y173" i="24"/>
  <c r="AJ273" i="24"/>
  <c r="AT273" i="24" s="1"/>
  <c r="AJ257" i="24"/>
  <c r="AT257" i="24" s="1"/>
  <c r="AJ311" i="24"/>
  <c r="AT311" i="24" s="1"/>
  <c r="AJ230" i="24"/>
  <c r="AT230" i="24" s="1"/>
  <c r="AJ225" i="24"/>
  <c r="AT225" i="24" s="1"/>
  <c r="AJ111" i="24"/>
  <c r="AJ269" i="24"/>
  <c r="AT269" i="24" s="1"/>
  <c r="Y112" i="24"/>
  <c r="Y111" i="24"/>
  <c r="Y201" i="24"/>
  <c r="AG140" i="24"/>
  <c r="Y180" i="24"/>
  <c r="AG126" i="24"/>
  <c r="AG160" i="24"/>
  <c r="AG178" i="24"/>
  <c r="AG175" i="24"/>
  <c r="AG197" i="24"/>
  <c r="AG111" i="24"/>
  <c r="AG164" i="24"/>
  <c r="AJ298" i="24"/>
  <c r="AT298" i="24" s="1"/>
  <c r="AG118" i="24"/>
  <c r="AG173" i="24"/>
  <c r="AG180" i="24"/>
  <c r="AG129" i="24"/>
  <c r="AG138" i="24"/>
  <c r="AG124" i="24"/>
  <c r="AJ272" i="24"/>
  <c r="AT272" i="24" s="1"/>
  <c r="AJ293" i="24"/>
  <c r="AT293" i="24" s="1"/>
  <c r="Y244" i="24"/>
  <c r="Y287" i="24"/>
  <c r="AJ222" i="24"/>
  <c r="AT222" i="24" s="1"/>
  <c r="AG200" i="24"/>
  <c r="AG202" i="24"/>
  <c r="AG135" i="24"/>
  <c r="Y172" i="24"/>
  <c r="Y175" i="24"/>
  <c r="AG121" i="24"/>
  <c r="AG127" i="24"/>
  <c r="AJ301" i="24"/>
  <c r="AT301" i="24" s="1"/>
  <c r="AJ308" i="24"/>
  <c r="AT308" i="24" s="1"/>
  <c r="AJ228" i="24"/>
  <c r="AT228" i="24" s="1"/>
  <c r="AJ251" i="24"/>
  <c r="AT251" i="24" s="1"/>
  <c r="AJ252" i="24"/>
  <c r="AT252" i="24" s="1"/>
  <c r="AJ286" i="24"/>
  <c r="AT286" i="24" s="1"/>
  <c r="AJ302" i="24"/>
  <c r="AT302" i="24" s="1"/>
  <c r="AJ223" i="24"/>
  <c r="AT223" i="24" s="1"/>
  <c r="AJ274" i="24"/>
  <c r="AT274" i="24" s="1"/>
  <c r="AJ246" i="24"/>
  <c r="AT246" i="24" s="1"/>
  <c r="AJ295" i="24"/>
  <c r="AT295" i="24" s="1"/>
  <c r="AJ305" i="24"/>
  <c r="AT305" i="24" s="1"/>
  <c r="AJ304" i="24"/>
  <c r="AT304" i="24" s="1"/>
  <c r="AJ231" i="24"/>
  <c r="AT231" i="24" s="1"/>
  <c r="AJ316" i="24"/>
  <c r="AT316" i="24" s="1"/>
  <c r="Y248" i="24"/>
  <c r="Y301" i="24"/>
  <c r="Y275" i="24"/>
  <c r="AJ255" i="24"/>
  <c r="AT255" i="24" s="1"/>
  <c r="Y295" i="24"/>
  <c r="AJ237" i="24"/>
  <c r="AT237" i="24" s="1"/>
  <c r="AJ224" i="24"/>
  <c r="AT224" i="24" s="1"/>
  <c r="AJ241" i="24"/>
  <c r="AT241" i="24" s="1"/>
  <c r="AJ303" i="24"/>
  <c r="AT303" i="24" s="1"/>
  <c r="AJ234" i="24"/>
  <c r="AT234" i="24" s="1"/>
  <c r="AJ259" i="24"/>
  <c r="AT259" i="24" s="1"/>
  <c r="AJ310" i="24"/>
  <c r="AT310" i="24" s="1"/>
  <c r="AJ248" i="24"/>
  <c r="AT248" i="24" s="1"/>
  <c r="AJ315" i="24"/>
  <c r="AT315" i="24" s="1"/>
  <c r="AJ219" i="24"/>
  <c r="AT219" i="24" s="1"/>
  <c r="AJ217" i="24"/>
  <c r="AT217" i="24" s="1"/>
  <c r="AG231" i="24"/>
  <c r="AG235" i="24"/>
  <c r="AG315" i="24"/>
  <c r="AG220" i="24"/>
  <c r="AG242" i="24"/>
  <c r="AG294" i="24"/>
  <c r="AG224" i="24"/>
  <c r="Y303" i="24"/>
  <c r="AG273" i="24"/>
  <c r="AG301" i="24"/>
  <c r="AG236" i="24"/>
  <c r="AJ317" i="24"/>
  <c r="AT317" i="24" s="1"/>
  <c r="Y257" i="24"/>
  <c r="AG252" i="24"/>
  <c r="Y224" i="24"/>
  <c r="Y313" i="24"/>
  <c r="Y228" i="24"/>
  <c r="AG308" i="24"/>
  <c r="AG228" i="24"/>
  <c r="AG234" i="24"/>
  <c r="AJ276" i="24"/>
  <c r="AT276" i="24" s="1"/>
  <c r="AG259" i="24"/>
  <c r="AG257" i="24"/>
  <c r="AG272" i="24"/>
  <c r="AG316" i="24"/>
  <c r="AJ229" i="24"/>
  <c r="AT229" i="24" s="1"/>
  <c r="Y265" i="24"/>
  <c r="AG251" i="24"/>
  <c r="AG293" i="24"/>
  <c r="AG289" i="24"/>
  <c r="AG222" i="24"/>
  <c r="AJ287" i="24"/>
  <c r="AT287" i="24" s="1"/>
  <c r="AJ275" i="24"/>
  <c r="AT275" i="24" s="1"/>
  <c r="AG317" i="24"/>
  <c r="AJ267" i="24"/>
  <c r="AT267" i="24" s="1"/>
  <c r="AJ221" i="24"/>
  <c r="AT221" i="24" s="1"/>
  <c r="AG237" i="24"/>
  <c r="Y305" i="24"/>
  <c r="AJ244" i="24"/>
  <c r="AT244" i="24" s="1"/>
  <c r="AG241" i="24"/>
  <c r="AG295" i="24"/>
  <c r="AG240" i="24"/>
  <c r="AG305" i="24"/>
  <c r="AG219" i="24"/>
  <c r="AG269" i="24"/>
  <c r="AG288" i="24"/>
  <c r="AG286" i="24"/>
  <c r="AG265" i="24"/>
  <c r="AG260" i="24"/>
  <c r="AG246" i="24"/>
  <c r="Y219" i="24"/>
  <c r="Y317" i="24"/>
  <c r="AG280" i="24"/>
  <c r="AG302" i="24"/>
  <c r="AG298" i="24"/>
  <c r="AG311" i="24"/>
  <c r="AJ240" i="24"/>
  <c r="AT240" i="24" s="1"/>
  <c r="AG230" i="24"/>
  <c r="AG276" i="24"/>
  <c r="AG304" i="24"/>
  <c r="Y223" i="24"/>
  <c r="Y245" i="24"/>
  <c r="AG310" i="24"/>
  <c r="AG248" i="24"/>
  <c r="AJ235" i="24"/>
  <c r="AT235" i="24" s="1"/>
  <c r="AG229" i="24"/>
  <c r="Y236" i="24"/>
  <c r="AJ236" i="24"/>
  <c r="AT236" i="24" s="1"/>
  <c r="AG287" i="24"/>
  <c r="AJ220" i="24"/>
  <c r="AT220" i="24" s="1"/>
  <c r="AG255" i="24"/>
  <c r="AG275" i="24"/>
  <c r="AG267" i="24"/>
  <c r="AJ288" i="24"/>
  <c r="AT288" i="24" s="1"/>
  <c r="AG221" i="24"/>
  <c r="AG217" i="24"/>
  <c r="Y315" i="24"/>
  <c r="Y310" i="24"/>
  <c r="Y255" i="24"/>
  <c r="AG225" i="24"/>
  <c r="AJ280" i="24"/>
  <c r="AT280" i="24" s="1"/>
  <c r="AJ242" i="24"/>
  <c r="AT242" i="24" s="1"/>
  <c r="AJ294" i="24"/>
  <c r="AT294" i="24" s="1"/>
  <c r="AG244" i="24"/>
  <c r="AG223" i="24"/>
  <c r="AG274" i="24"/>
  <c r="AJ265" i="24"/>
  <c r="AT265" i="24" s="1"/>
  <c r="AJ260" i="24"/>
  <c r="AT260" i="24" s="1"/>
  <c r="Y246" i="24"/>
  <c r="Y280" i="24"/>
  <c r="AG303" i="24"/>
  <c r="Y5" i="24"/>
  <c r="Y33" i="24"/>
  <c r="Y96" i="24"/>
  <c r="Y21" i="24"/>
  <c r="AF178" i="25" l="1"/>
  <c r="AF111" i="25"/>
  <c r="AF153" i="25"/>
  <c r="AF306" i="25"/>
  <c r="AF273" i="25"/>
  <c r="AF235" i="25"/>
  <c r="AF265" i="25"/>
  <c r="AJ265" i="25" s="1"/>
  <c r="AF286" i="25"/>
  <c r="AM286" i="25" s="1"/>
  <c r="CE286" i="25" s="1"/>
  <c r="AF169" i="25"/>
  <c r="AJ169" i="25" s="1"/>
  <c r="AF189" i="25"/>
  <c r="AJ189" i="25" s="1"/>
  <c r="AF138" i="25"/>
  <c r="AF263" i="25"/>
  <c r="AF301" i="25"/>
  <c r="AF182" i="25"/>
  <c r="AM182" i="25" s="1"/>
  <c r="BW182" i="25" s="1"/>
  <c r="AF163" i="25"/>
  <c r="AM163" i="25" s="1"/>
  <c r="BW163" i="25" s="1"/>
  <c r="AF155" i="25"/>
  <c r="AJ155" i="25" s="1"/>
  <c r="AF279" i="25"/>
  <c r="AM279" i="25" s="1"/>
  <c r="CE279" i="25" s="1"/>
  <c r="AF188" i="25"/>
  <c r="AM188" i="25" s="1"/>
  <c r="BW188" i="25" s="1"/>
  <c r="AF173" i="25"/>
  <c r="AF267" i="25"/>
  <c r="AM267" i="25" s="1"/>
  <c r="CE267" i="25" s="1"/>
  <c r="AF190" i="25"/>
  <c r="AM190" i="25" s="1"/>
  <c r="BW190" i="25" s="1"/>
  <c r="AF121" i="25"/>
  <c r="AJ121" i="25" s="1"/>
  <c r="AF129" i="25"/>
  <c r="AJ129" i="25" s="1"/>
  <c r="AF261" i="25"/>
  <c r="AM261" i="25" s="1"/>
  <c r="CE261" i="25" s="1"/>
  <c r="AF157" i="25"/>
  <c r="AJ157" i="25" s="1"/>
  <c r="AF161" i="25"/>
  <c r="AF142" i="25"/>
  <c r="AF165" i="25"/>
  <c r="AJ165" i="25" s="1"/>
  <c r="AF192" i="25"/>
  <c r="AM192" i="25" s="1"/>
  <c r="BW192" i="25" s="1"/>
  <c r="AF130" i="25"/>
  <c r="AM130" i="25" s="1"/>
  <c r="BW130" i="25" s="1"/>
  <c r="AF171" i="25"/>
  <c r="AJ171" i="25" s="1"/>
  <c r="AF203" i="25"/>
  <c r="AM203" i="25" s="1"/>
  <c r="BW203" i="25" s="1"/>
  <c r="AF243" i="25"/>
  <c r="AM243" i="25" s="1"/>
  <c r="CE243" i="25" s="1"/>
  <c r="AF174" i="25"/>
  <c r="AM174" i="25" s="1"/>
  <c r="BW174" i="25" s="1"/>
  <c r="AF270" i="25"/>
  <c r="AF314" i="25"/>
  <c r="AF191" i="25"/>
  <c r="AM191" i="25" s="1"/>
  <c r="BW191" i="25" s="1"/>
  <c r="AF281" i="25"/>
  <c r="AJ281" i="25" s="1"/>
  <c r="AF304" i="25"/>
  <c r="AM304" i="25" s="1"/>
  <c r="CE304" i="25" s="1"/>
  <c r="AF308" i="25"/>
  <c r="AM308" i="25" s="1"/>
  <c r="CE308" i="25" s="1"/>
  <c r="AF224" i="25"/>
  <c r="AJ224" i="25" s="1"/>
  <c r="AF117" i="25"/>
  <c r="AM117" i="25" s="1"/>
  <c r="BW117" i="25" s="1"/>
  <c r="AF195" i="25"/>
  <c r="AJ195" i="25" s="1"/>
  <c r="AF140" i="25"/>
  <c r="AJ140" i="25" s="1"/>
  <c r="AF316" i="25"/>
  <c r="AJ316" i="25" s="1"/>
  <c r="AF259" i="25"/>
  <c r="AM259" i="25" s="1"/>
  <c r="AF152" i="25"/>
  <c r="AJ152" i="25" s="1"/>
  <c r="AF205" i="25"/>
  <c r="AM205" i="25" s="1"/>
  <c r="BW205" i="25" s="1"/>
  <c r="AF247" i="25"/>
  <c r="AM247" i="25" s="1"/>
  <c r="AF175" i="25"/>
  <c r="AF248" i="25"/>
  <c r="AJ248" i="25" s="1"/>
  <c r="AF312" i="25"/>
  <c r="AJ312" i="25" s="1"/>
  <c r="AF303" i="25"/>
  <c r="AM303" i="25" s="1"/>
  <c r="CE303" i="25" s="1"/>
  <c r="AF278" i="25"/>
  <c r="AJ278" i="25" s="1"/>
  <c r="AF249" i="25"/>
  <c r="AJ249" i="25" s="1"/>
  <c r="AF170" i="25"/>
  <c r="AJ170" i="25" s="1"/>
  <c r="AF145" i="25"/>
  <c r="AJ145" i="25" s="1"/>
  <c r="AF282" i="25"/>
  <c r="AF290" i="25"/>
  <c r="AJ290" i="25" s="1"/>
  <c r="AF164" i="25"/>
  <c r="AM164" i="25" s="1"/>
  <c r="BW164" i="25" s="1"/>
  <c r="AF177" i="25"/>
  <c r="AM177" i="25" s="1"/>
  <c r="BW177" i="25" s="1"/>
  <c r="AF122" i="25"/>
  <c r="AM122" i="25" s="1"/>
  <c r="BW122" i="25" s="1"/>
  <c r="AF149" i="25"/>
  <c r="AJ149" i="25" s="1"/>
  <c r="AF120" i="25"/>
  <c r="AM120" i="25" s="1"/>
  <c r="AF238" i="25"/>
  <c r="AJ238" i="25" s="1"/>
  <c r="AF253" i="25"/>
  <c r="AF179" i="25"/>
  <c r="AJ179" i="25" s="1"/>
  <c r="AF228" i="25"/>
  <c r="AJ228" i="25" s="1"/>
  <c r="AF186" i="25"/>
  <c r="AJ186" i="25" s="1"/>
  <c r="AF196" i="25"/>
  <c r="AJ196" i="25" s="1"/>
  <c r="AF271" i="25"/>
  <c r="AJ271" i="25" s="1"/>
  <c r="AF166" i="25"/>
  <c r="AJ166" i="25" s="1"/>
  <c r="AF202" i="25"/>
  <c r="AJ202" i="25" s="1"/>
  <c r="AF167" i="25"/>
  <c r="AF296" i="25"/>
  <c r="AM296" i="25" s="1"/>
  <c r="CE296" i="25" s="1"/>
  <c r="AF229" i="25"/>
  <c r="AJ229" i="25" s="1"/>
  <c r="AF141" i="25"/>
  <c r="AJ141" i="25" s="1"/>
  <c r="AF244" i="25"/>
  <c r="AJ244" i="25" s="1"/>
  <c r="AF180" i="25"/>
  <c r="AM180" i="25" s="1"/>
  <c r="BW180" i="25" s="1"/>
  <c r="AF266" i="25"/>
  <c r="AM266" i="25" s="1"/>
  <c r="CE266" i="25" s="1"/>
  <c r="AF257" i="25"/>
  <c r="AM257" i="25" s="1"/>
  <c r="CE257" i="25" s="1"/>
  <c r="AF274" i="25"/>
  <c r="AF159" i="25"/>
  <c r="AM159" i="25" s="1"/>
  <c r="BW159" i="25" s="1"/>
  <c r="AF118" i="25"/>
  <c r="AM118" i="25" s="1"/>
  <c r="BW118" i="25" s="1"/>
  <c r="AF297" i="25"/>
  <c r="AM297" i="25" s="1"/>
  <c r="CE297" i="25" s="1"/>
  <c r="AF260" i="25"/>
  <c r="AJ260" i="25" s="1"/>
  <c r="AF256" i="25"/>
  <c r="AM256" i="25" s="1"/>
  <c r="AF127" i="25"/>
  <c r="AJ127" i="25" s="1"/>
  <c r="AF185" i="25"/>
  <c r="AJ185" i="25" s="1"/>
  <c r="AF206" i="25"/>
  <c r="AJ206" i="25" s="1"/>
  <c r="AF194" i="25"/>
  <c r="AM194" i="25" s="1"/>
  <c r="BW194" i="25" s="1"/>
  <c r="AF131" i="25"/>
  <c r="AJ131" i="25" s="1"/>
  <c r="AF204" i="25"/>
  <c r="AM204" i="25" s="1"/>
  <c r="BW204" i="25" s="1"/>
  <c r="AF208" i="25"/>
  <c r="AJ208" i="25" s="1"/>
  <c r="AF187" i="25"/>
  <c r="AM187" i="25" s="1"/>
  <c r="BW187" i="25" s="1"/>
  <c r="AF158" i="25"/>
  <c r="AJ158" i="25" s="1"/>
  <c r="AF176" i="25"/>
  <c r="AJ176" i="25" s="1"/>
  <c r="AF193" i="25"/>
  <c r="AJ193" i="25" s="1"/>
  <c r="AF151" i="25"/>
  <c r="AJ151" i="25" s="1"/>
  <c r="AF146" i="25"/>
  <c r="AM146" i="25" s="1"/>
  <c r="BW146" i="25" s="1"/>
  <c r="AF137" i="25"/>
  <c r="AM137" i="25" s="1"/>
  <c r="AF209" i="25"/>
  <c r="AJ209" i="25" s="1"/>
  <c r="AF150" i="25"/>
  <c r="AM150" i="25" s="1"/>
  <c r="BW150" i="25" s="1"/>
  <c r="AF200" i="25"/>
  <c r="AM200" i="25" s="1"/>
  <c r="BW200" i="25" s="1"/>
  <c r="AF114" i="25"/>
  <c r="AM114" i="25" s="1"/>
  <c r="BW114" i="25" s="1"/>
  <c r="AF197" i="25"/>
  <c r="AJ197" i="25" s="1"/>
  <c r="AF124" i="25"/>
  <c r="AM124" i="25" s="1"/>
  <c r="AF181" i="25"/>
  <c r="AJ181" i="25" s="1"/>
  <c r="AF113" i="25"/>
  <c r="AJ113" i="25" s="1"/>
  <c r="AF134" i="25"/>
  <c r="AM134" i="25" s="1"/>
  <c r="BW134" i="25" s="1"/>
  <c r="AF183" i="25"/>
  <c r="AM183" i="25" s="1"/>
  <c r="BW183" i="25" s="1"/>
  <c r="AF143" i="25"/>
  <c r="AJ143" i="25" s="1"/>
  <c r="AF254" i="25"/>
  <c r="AM254" i="25" s="1"/>
  <c r="AF264" i="25"/>
  <c r="AM264" i="25" s="1"/>
  <c r="CE264" i="25" s="1"/>
  <c r="AF154" i="25"/>
  <c r="AM154" i="25" s="1"/>
  <c r="BW154" i="25" s="1"/>
  <c r="AF198" i="25"/>
  <c r="AJ198" i="25" s="1"/>
  <c r="AF147" i="25"/>
  <c r="AM147" i="25" s="1"/>
  <c r="BW147" i="25" s="1"/>
  <c r="AF298" i="25"/>
  <c r="AJ298" i="25" s="1"/>
  <c r="AF237" i="25"/>
  <c r="AM237" i="25" s="1"/>
  <c r="CE237" i="25" s="1"/>
  <c r="AF144" i="25"/>
  <c r="AM144" i="25" s="1"/>
  <c r="BW144" i="25" s="1"/>
  <c r="AF311" i="25"/>
  <c r="AM311" i="25" s="1"/>
  <c r="CE311" i="25" s="1"/>
  <c r="AF207" i="25"/>
  <c r="AM207" i="25" s="1"/>
  <c r="BW207" i="25" s="1"/>
  <c r="AF230" i="25"/>
  <c r="AM230" i="25" s="1"/>
  <c r="AF313" i="25"/>
  <c r="AJ313" i="25" s="1"/>
  <c r="AF242" i="25"/>
  <c r="AJ242" i="25" s="1"/>
  <c r="AF148" i="25"/>
  <c r="AJ148" i="25" s="1"/>
  <c r="AF126" i="25"/>
  <c r="AJ126" i="25" s="1"/>
  <c r="AF168" i="25"/>
  <c r="AM168" i="25" s="1"/>
  <c r="BW168" i="25" s="1"/>
  <c r="AF201" i="25"/>
  <c r="AM201" i="25" s="1"/>
  <c r="BW201" i="25" s="1"/>
  <c r="AF272" i="25"/>
  <c r="AJ272" i="25" s="1"/>
  <c r="AF132" i="25"/>
  <c r="AM132" i="25" s="1"/>
  <c r="BW132" i="25" s="1"/>
  <c r="AF292" i="25"/>
  <c r="AM292" i="25" s="1"/>
  <c r="CE292" i="25" s="1"/>
  <c r="AF162" i="25"/>
  <c r="AM162" i="25" s="1"/>
  <c r="AF221" i="25"/>
  <c r="AJ221" i="25" s="1"/>
  <c r="AF125" i="25"/>
  <c r="AJ125" i="25" s="1"/>
  <c r="AF172" i="25"/>
  <c r="AJ172" i="25" s="1"/>
  <c r="AF128" i="25"/>
  <c r="AM128" i="25" s="1"/>
  <c r="BW128" i="25" s="1"/>
  <c r="AF255" i="25"/>
  <c r="AM255" i="25" s="1"/>
  <c r="CE255" i="25" s="1"/>
  <c r="AF139" i="25"/>
  <c r="AM139" i="25" s="1"/>
  <c r="BW139" i="25" s="1"/>
  <c r="AF156" i="25"/>
  <c r="AJ156" i="25" s="1"/>
  <c r="AF210" i="25"/>
  <c r="AJ210" i="25" s="1"/>
  <c r="AF184" i="25"/>
  <c r="AJ184" i="25" s="1"/>
  <c r="AF133" i="25"/>
  <c r="AJ133" i="25" s="1"/>
  <c r="AF123" i="25"/>
  <c r="AJ123" i="25" s="1"/>
  <c r="AG110" i="24"/>
  <c r="AF110" i="24"/>
  <c r="AG137" i="24"/>
  <c r="AN137" i="24" s="1"/>
  <c r="AF137" i="24"/>
  <c r="AG182" i="24"/>
  <c r="AK182" i="24" s="1"/>
  <c r="AF182" i="24"/>
  <c r="AG128" i="24"/>
  <c r="AF128" i="24"/>
  <c r="AG296" i="24"/>
  <c r="AK296" i="24" s="1"/>
  <c r="AF296" i="24"/>
  <c r="AG247" i="24"/>
  <c r="AN247" i="24" s="1"/>
  <c r="CD247" i="24" s="1"/>
  <c r="AF247" i="24"/>
  <c r="AG239" i="24"/>
  <c r="AF239" i="24"/>
  <c r="AG183" i="24"/>
  <c r="AN183" i="24" s="1"/>
  <c r="AX183" i="24" s="1"/>
  <c r="AF183" i="24"/>
  <c r="AG142" i="24"/>
  <c r="AN142" i="24" s="1"/>
  <c r="BU142" i="24" s="1"/>
  <c r="AF142" i="24"/>
  <c r="AG250" i="24"/>
  <c r="AN250" i="24" s="1"/>
  <c r="CD250" i="24" s="1"/>
  <c r="AF250" i="24"/>
  <c r="AG279" i="24"/>
  <c r="AK279" i="24" s="1"/>
  <c r="AF279" i="24"/>
  <c r="AG282" i="24"/>
  <c r="AF282" i="24"/>
  <c r="AG254" i="24"/>
  <c r="AF254" i="24"/>
  <c r="AG170" i="24"/>
  <c r="AK170" i="24" s="1"/>
  <c r="AF170" i="24"/>
  <c r="AG314" i="24"/>
  <c r="AN314" i="24" s="1"/>
  <c r="CD314" i="24" s="1"/>
  <c r="AF314" i="24"/>
  <c r="AG73" i="24"/>
  <c r="AK73" i="24" s="1"/>
  <c r="AF73" i="24"/>
  <c r="AG83" i="24"/>
  <c r="AN83" i="24" s="1"/>
  <c r="AF83" i="24"/>
  <c r="AG165" i="24"/>
  <c r="AK165" i="24" s="1"/>
  <c r="AF165" i="24"/>
  <c r="AG56" i="24"/>
  <c r="AN56" i="24" s="1"/>
  <c r="AX56" i="24" s="1"/>
  <c r="AF56" i="24"/>
  <c r="AG78" i="24"/>
  <c r="AK78" i="24" s="1"/>
  <c r="AF78" i="24"/>
  <c r="AG306" i="24"/>
  <c r="AK306" i="24" s="1"/>
  <c r="AF306" i="24"/>
  <c r="AG74" i="24"/>
  <c r="AK74" i="24" s="1"/>
  <c r="AF74" i="24"/>
  <c r="AG154" i="24"/>
  <c r="AN154" i="24" s="1"/>
  <c r="BJ154" i="24" s="1"/>
  <c r="AF154" i="24"/>
  <c r="AG238" i="24"/>
  <c r="AF238" i="24"/>
  <c r="AJ203" i="24"/>
  <c r="AT203" i="24" s="1"/>
  <c r="O212" i="24"/>
  <c r="J212" i="24"/>
  <c r="W212" i="24" s="1"/>
  <c r="V212" i="24"/>
  <c r="AS134" i="25"/>
  <c r="AS202" i="25"/>
  <c r="AS177" i="25"/>
  <c r="AS187" i="25"/>
  <c r="AS191" i="25"/>
  <c r="AS183" i="25"/>
  <c r="AS182" i="25"/>
  <c r="AS209" i="25"/>
  <c r="AS186" i="25"/>
  <c r="AS180" i="25"/>
  <c r="AS200" i="25"/>
  <c r="AS179" i="25"/>
  <c r="AS146" i="25"/>
  <c r="AS181" i="25"/>
  <c r="AS119" i="25"/>
  <c r="AS193" i="25"/>
  <c r="AS144" i="25"/>
  <c r="AS117" i="25"/>
  <c r="AS205" i="25"/>
  <c r="AS173" i="25"/>
  <c r="AS140" i="25"/>
  <c r="AS194" i="25"/>
  <c r="AS166" i="25"/>
  <c r="AS137" i="25"/>
  <c r="AS184" i="25"/>
  <c r="AS203" i="25"/>
  <c r="AS148" i="25"/>
  <c r="AS165" i="25"/>
  <c r="AS124" i="25"/>
  <c r="AS158" i="25"/>
  <c r="AS132" i="25"/>
  <c r="AS207" i="25"/>
  <c r="AS138" i="25"/>
  <c r="AS131" i="25"/>
  <c r="AS143" i="25"/>
  <c r="AS161" i="25"/>
  <c r="AS152" i="25"/>
  <c r="AS149" i="25"/>
  <c r="AS141" i="25"/>
  <c r="AS123" i="25"/>
  <c r="AS118" i="25"/>
  <c r="AS125" i="25"/>
  <c r="AS129" i="25"/>
  <c r="AS128" i="25"/>
  <c r="AS127" i="25"/>
  <c r="AS198" i="25"/>
  <c r="AS157" i="25"/>
  <c r="AS170" i="25"/>
  <c r="AS169" i="25"/>
  <c r="AS189" i="25"/>
  <c r="AS126" i="25"/>
  <c r="AS156" i="25"/>
  <c r="AS133" i="25"/>
  <c r="AS176" i="25"/>
  <c r="AS190" i="25"/>
  <c r="AS195" i="25"/>
  <c r="AS160" i="25"/>
  <c r="AS197" i="25"/>
  <c r="AS171" i="25"/>
  <c r="AS164" i="25"/>
  <c r="AS150" i="25"/>
  <c r="AS153" i="25"/>
  <c r="AS178" i="25"/>
  <c r="AS167" i="25"/>
  <c r="AS113" i="25"/>
  <c r="AS154" i="25"/>
  <c r="AS142" i="25"/>
  <c r="AS168" i="25"/>
  <c r="AS201" i="25"/>
  <c r="AS114" i="25"/>
  <c r="AS175" i="25"/>
  <c r="AS206" i="25"/>
  <c r="AS145" i="25"/>
  <c r="AS192" i="25"/>
  <c r="AS159" i="25"/>
  <c r="AS204" i="25"/>
  <c r="AS111" i="25"/>
  <c r="AS151" i="25"/>
  <c r="AS185" i="25"/>
  <c r="AS120" i="25"/>
  <c r="AS188" i="25"/>
  <c r="AS121" i="25"/>
  <c r="AS162" i="25"/>
  <c r="AS115" i="25"/>
  <c r="AS135" i="25"/>
  <c r="AS172" i="25"/>
  <c r="AS196" i="25"/>
  <c r="AS199" i="25"/>
  <c r="AS147" i="25"/>
  <c r="AS174" i="25"/>
  <c r="AS163" i="25"/>
  <c r="AS130" i="25"/>
  <c r="AS136" i="25"/>
  <c r="AS208" i="25"/>
  <c r="AS155" i="25"/>
  <c r="AS210" i="25"/>
  <c r="AS116" i="25"/>
  <c r="AS112" i="25"/>
  <c r="AS139" i="25"/>
  <c r="AS122" i="25"/>
  <c r="AS110" i="25"/>
  <c r="AT141" i="24"/>
  <c r="AT145" i="24"/>
  <c r="AT205" i="24"/>
  <c r="AT194" i="24"/>
  <c r="AT125" i="24"/>
  <c r="AT131" i="24"/>
  <c r="AT150" i="24"/>
  <c r="AT188" i="24"/>
  <c r="AT170" i="24"/>
  <c r="AT162" i="24"/>
  <c r="AT113" i="24"/>
  <c r="AT143" i="24"/>
  <c r="AT127" i="24"/>
  <c r="AT110" i="24"/>
  <c r="AT184" i="24"/>
  <c r="AT154" i="24"/>
  <c r="AT119" i="24"/>
  <c r="AT167" i="24"/>
  <c r="AT152" i="24"/>
  <c r="AT128" i="24"/>
  <c r="AT186" i="24"/>
  <c r="AT179" i="24"/>
  <c r="AT163" i="24"/>
  <c r="AT161" i="24"/>
  <c r="AT209" i="24"/>
  <c r="AT133" i="24"/>
  <c r="AT139" i="24"/>
  <c r="AT168" i="24"/>
  <c r="AT176" i="24"/>
  <c r="AT198" i="24"/>
  <c r="AT130" i="24"/>
  <c r="AT191" i="24"/>
  <c r="AT193" i="24"/>
  <c r="AT190" i="24"/>
  <c r="AT197" i="24"/>
  <c r="AT137" i="24"/>
  <c r="AT159" i="24"/>
  <c r="AT142" i="24"/>
  <c r="AT183" i="24"/>
  <c r="AT177" i="24"/>
  <c r="AT165" i="24"/>
  <c r="AT192" i="24"/>
  <c r="AT196" i="24"/>
  <c r="AT189" i="24"/>
  <c r="AT144" i="24"/>
  <c r="AT151" i="24"/>
  <c r="AT146" i="24"/>
  <c r="AT166" i="24"/>
  <c r="AT185" i="24"/>
  <c r="AT111" i="24"/>
  <c r="AT199" i="24"/>
  <c r="AT156" i="24"/>
  <c r="AT204" i="24"/>
  <c r="AT114" i="24"/>
  <c r="AT120" i="24"/>
  <c r="AT158" i="24"/>
  <c r="AT121" i="24"/>
  <c r="AT182" i="24"/>
  <c r="AT149" i="24"/>
  <c r="AT134" i="24"/>
  <c r="AT206" i="24"/>
  <c r="AT174" i="24"/>
  <c r="AT117" i="24"/>
  <c r="AT147" i="24"/>
  <c r="AT171" i="24"/>
  <c r="AT132" i="24"/>
  <c r="AV23" i="24"/>
  <c r="AV73" i="24"/>
  <c r="AV104" i="24"/>
  <c r="AV105" i="24"/>
  <c r="AV100" i="24"/>
  <c r="AV53" i="24"/>
  <c r="AV36" i="24"/>
  <c r="AV5" i="24"/>
  <c r="BV5" i="24"/>
  <c r="AV27" i="24"/>
  <c r="AV87" i="24"/>
  <c r="AV95" i="24"/>
  <c r="AV69" i="24"/>
  <c r="AV70" i="24"/>
  <c r="AV42" i="24"/>
  <c r="AV60" i="24"/>
  <c r="AV50" i="24"/>
  <c r="AV78" i="24"/>
  <c r="AV32" i="24"/>
  <c r="AV14" i="24"/>
  <c r="AV83" i="24"/>
  <c r="AV10" i="24"/>
  <c r="AV25" i="24"/>
  <c r="AJ55" i="24"/>
  <c r="AT55" i="24" s="1"/>
  <c r="AG290" i="24"/>
  <c r="AG152" i="24"/>
  <c r="AG70" i="24"/>
  <c r="AJ278" i="24"/>
  <c r="AT278" i="24" s="1"/>
  <c r="AG278" i="24"/>
  <c r="AN278" i="24" s="1"/>
  <c r="CD278" i="24" s="1"/>
  <c r="AN254" i="24"/>
  <c r="CD254" i="24" s="1"/>
  <c r="AG190" i="24"/>
  <c r="AN190" i="24" s="1"/>
  <c r="AJ207" i="24"/>
  <c r="AG281" i="24"/>
  <c r="AN281" i="24" s="1"/>
  <c r="CD281" i="24" s="1"/>
  <c r="AJ261" i="24"/>
  <c r="AT261" i="24" s="1"/>
  <c r="AJ281" i="24"/>
  <c r="AT281" i="24" s="1"/>
  <c r="AG261" i="24"/>
  <c r="AJ195" i="24"/>
  <c r="AJ245" i="24"/>
  <c r="AT245" i="24" s="1"/>
  <c r="AG284" i="24"/>
  <c r="AN284" i="24" s="1"/>
  <c r="CD284" i="24" s="1"/>
  <c r="AJ249" i="24"/>
  <c r="AT249" i="24" s="1"/>
  <c r="AJ153" i="24"/>
  <c r="AG263" i="24"/>
  <c r="AG249" i="24"/>
  <c r="AN249" i="24" s="1"/>
  <c r="AG191" i="24"/>
  <c r="AJ290" i="24"/>
  <c r="AT290" i="24" s="1"/>
  <c r="AJ263" i="24"/>
  <c r="AT263" i="24" s="1"/>
  <c r="AG271" i="24"/>
  <c r="AN271" i="24" s="1"/>
  <c r="CD271" i="24" s="1"/>
  <c r="AG193" i="24"/>
  <c r="AG256" i="24"/>
  <c r="AK256" i="24" s="1"/>
  <c r="AJ79" i="24"/>
  <c r="AJ201" i="24"/>
  <c r="AJ172" i="24"/>
  <c r="AJ262" i="24"/>
  <c r="AT262" i="24" s="1"/>
  <c r="AJ187" i="24"/>
  <c r="AJ299" i="24"/>
  <c r="AT299" i="24" s="1"/>
  <c r="AG218" i="24"/>
  <c r="AK218" i="24" s="1"/>
  <c r="AJ96" i="24"/>
  <c r="AT96" i="24" s="1"/>
  <c r="AG245" i="24"/>
  <c r="AN245" i="24" s="1"/>
  <c r="CD245" i="24" s="1"/>
  <c r="AJ157" i="24"/>
  <c r="AJ284" i="24"/>
  <c r="AT284" i="24" s="1"/>
  <c r="AJ208" i="24"/>
  <c r="AJ210" i="24"/>
  <c r="AG313" i="24"/>
  <c r="AG132" i="24"/>
  <c r="AV101" i="24"/>
  <c r="AT101" i="24"/>
  <c r="AV91" i="24"/>
  <c r="AT91" i="24"/>
  <c r="AJ181" i="24"/>
  <c r="AJ92" i="24"/>
  <c r="AG171" i="24"/>
  <c r="AN171" i="24" s="1"/>
  <c r="AX171" i="24" s="1"/>
  <c r="AG312" i="24"/>
  <c r="AK312" i="24" s="1"/>
  <c r="AG227" i="24"/>
  <c r="AK227" i="24" s="1"/>
  <c r="AJ97" i="24"/>
  <c r="AJ313" i="24"/>
  <c r="AT313" i="24" s="1"/>
  <c r="AJ169" i="24"/>
  <c r="AG147" i="24"/>
  <c r="AJ258" i="24"/>
  <c r="AT258" i="24" s="1"/>
  <c r="AJ155" i="24"/>
  <c r="AG243" i="24"/>
  <c r="AG130" i="24"/>
  <c r="AK130" i="24" s="1"/>
  <c r="AJ271" i="24"/>
  <c r="AT271" i="24" s="1"/>
  <c r="AJ283" i="24"/>
  <c r="AT283" i="24" s="1"/>
  <c r="AG158" i="24"/>
  <c r="AN158" i="24" s="1"/>
  <c r="BV158" i="24" s="1"/>
  <c r="AG153" i="24"/>
  <c r="AN153" i="24" s="1"/>
  <c r="CD153" i="24" s="1"/>
  <c r="AG283" i="24"/>
  <c r="AN283" i="24" s="1"/>
  <c r="CD283" i="24" s="1"/>
  <c r="AG270" i="24"/>
  <c r="AG266" i="24"/>
  <c r="AK266" i="24" s="1"/>
  <c r="AG146" i="24"/>
  <c r="AK146" i="24" s="1"/>
  <c r="AG258" i="24"/>
  <c r="AN258" i="24" s="1"/>
  <c r="CD258" i="24" s="1"/>
  <c r="AG268" i="24"/>
  <c r="AN268" i="24" s="1"/>
  <c r="CD268" i="24" s="1"/>
  <c r="AG176" i="24"/>
  <c r="AK176" i="24" s="1"/>
  <c r="AG291" i="24"/>
  <c r="AN291" i="24" s="1"/>
  <c r="CD291" i="24" s="1"/>
  <c r="AG292" i="24"/>
  <c r="AK292" i="24" s="1"/>
  <c r="AG262" i="24"/>
  <c r="AN262" i="24" s="1"/>
  <c r="CD262" i="24" s="1"/>
  <c r="AG198" i="24"/>
  <c r="AK198" i="24" s="1"/>
  <c r="AG114" i="24"/>
  <c r="AG166" i="24"/>
  <c r="AG117" i="24"/>
  <c r="AK117" i="24" s="1"/>
  <c r="AG195" i="24"/>
  <c r="AG309" i="24"/>
  <c r="AK309" i="24" s="1"/>
  <c r="AG233" i="24"/>
  <c r="AK233" i="24" s="1"/>
  <c r="AG122" i="24"/>
  <c r="AG300" i="24"/>
  <c r="AN300" i="24" s="1"/>
  <c r="CD300" i="24" s="1"/>
  <c r="AG299" i="24"/>
  <c r="AN299" i="24" s="1"/>
  <c r="CD299" i="24" s="1"/>
  <c r="AG232" i="24"/>
  <c r="AK232" i="24" s="1"/>
  <c r="AG185" i="24"/>
  <c r="AN185" i="24" s="1"/>
  <c r="BV185" i="24" s="1"/>
  <c r="AV85" i="24"/>
  <c r="AT85" i="24"/>
  <c r="AV86" i="24"/>
  <c r="AT86" i="24"/>
  <c r="AV74" i="24"/>
  <c r="AT74" i="24"/>
  <c r="AJ89" i="24"/>
  <c r="AG120" i="24"/>
  <c r="AN120" i="24" s="1"/>
  <c r="AG133" i="24"/>
  <c r="AK133" i="24" s="1"/>
  <c r="AT83" i="24"/>
  <c r="AG151" i="24"/>
  <c r="AN151" i="24" s="1"/>
  <c r="BJ151" i="24" s="1"/>
  <c r="AG143" i="24"/>
  <c r="AN143" i="24" s="1"/>
  <c r="AT73" i="24"/>
  <c r="AJ63" i="24"/>
  <c r="AJ82" i="24"/>
  <c r="AJ72" i="24"/>
  <c r="AJ148" i="24"/>
  <c r="AJ46" i="24"/>
  <c r="AG168" i="24"/>
  <c r="AG174" i="24"/>
  <c r="AG189" i="24"/>
  <c r="AG139" i="24"/>
  <c r="AN139" i="24" s="1"/>
  <c r="BU139" i="24" s="1"/>
  <c r="AJ68" i="24"/>
  <c r="AG226" i="24"/>
  <c r="AG150" i="24"/>
  <c r="AK150" i="24" s="1"/>
  <c r="AG156" i="24"/>
  <c r="AK156" i="24" s="1"/>
  <c r="AG204" i="24"/>
  <c r="AK204" i="24" s="1"/>
  <c r="AG264" i="24"/>
  <c r="AG144" i="24"/>
  <c r="AN144" i="24" s="1"/>
  <c r="AX144" i="24" s="1"/>
  <c r="AG253" i="24"/>
  <c r="AN253" i="24" s="1"/>
  <c r="CD253" i="24" s="1"/>
  <c r="AJ307" i="24"/>
  <c r="AT307" i="24" s="1"/>
  <c r="AJ277" i="24"/>
  <c r="AT277" i="24" s="1"/>
  <c r="AJ54" i="24"/>
  <c r="AV56" i="24"/>
  <c r="AT56" i="24"/>
  <c r="AG277" i="24"/>
  <c r="AN277" i="24" s="1"/>
  <c r="AJ59" i="24"/>
  <c r="AJ51" i="24"/>
  <c r="AJ136" i="24"/>
  <c r="AJ64" i="24"/>
  <c r="AJ226" i="24"/>
  <c r="AT226" i="24" s="1"/>
  <c r="AG297" i="24"/>
  <c r="AK297" i="24" s="1"/>
  <c r="AG25" i="24"/>
  <c r="AG89" i="24"/>
  <c r="AN89" i="24" s="1"/>
  <c r="CD89" i="24" s="1"/>
  <c r="AG285" i="24"/>
  <c r="AK285" i="24" s="1"/>
  <c r="AG209" i="24"/>
  <c r="AK209" i="24" s="1"/>
  <c r="AJ40" i="24"/>
  <c r="AG307" i="24"/>
  <c r="AG113" i="24"/>
  <c r="AN113" i="24" s="1"/>
  <c r="AJ41" i="24"/>
  <c r="AG179" i="24"/>
  <c r="AN179" i="24" s="1"/>
  <c r="BU179" i="24" s="1"/>
  <c r="AG157" i="24"/>
  <c r="AG101" i="24"/>
  <c r="AK101" i="24" s="1"/>
  <c r="AG112" i="24"/>
  <c r="AG181" i="24"/>
  <c r="AJ112" i="24"/>
  <c r="AG10" i="24"/>
  <c r="AK10" i="24" s="1"/>
  <c r="AG92" i="24"/>
  <c r="AN92" i="24" s="1"/>
  <c r="AG208" i="24"/>
  <c r="AG196" i="24"/>
  <c r="AG162" i="24"/>
  <c r="AG46" i="24"/>
  <c r="AN46" i="24" s="1"/>
  <c r="CD46" i="24" s="1"/>
  <c r="AG186" i="24"/>
  <c r="AK186" i="24" s="1"/>
  <c r="AG141" i="24"/>
  <c r="AK141" i="24" s="1"/>
  <c r="AT100" i="24"/>
  <c r="AG148" i="24"/>
  <c r="AN148" i="24" s="1"/>
  <c r="CD148" i="24" s="1"/>
  <c r="AG96" i="24"/>
  <c r="AN96" i="24" s="1"/>
  <c r="CD96" i="24" s="1"/>
  <c r="AG206" i="24"/>
  <c r="AK206" i="24" s="1"/>
  <c r="AG177" i="24"/>
  <c r="AN177" i="24" s="1"/>
  <c r="AG85" i="24"/>
  <c r="AN85" i="24" s="1"/>
  <c r="AG51" i="24"/>
  <c r="AG95" i="24"/>
  <c r="AK95" i="24" s="1"/>
  <c r="AG203" i="24"/>
  <c r="AG14" i="24"/>
  <c r="AK14" i="24" s="1"/>
  <c r="AG119" i="24"/>
  <c r="AK119" i="24" s="1"/>
  <c r="AJ122" i="24"/>
  <c r="AJ18" i="24"/>
  <c r="AG167" i="24"/>
  <c r="AG18" i="24"/>
  <c r="AN18" i="24" s="1"/>
  <c r="AG54" i="24"/>
  <c r="AN54" i="24" s="1"/>
  <c r="CD54" i="24" s="1"/>
  <c r="AT105" i="24"/>
  <c r="AG23" i="24"/>
  <c r="AG159" i="24"/>
  <c r="AG105" i="24"/>
  <c r="AK105" i="24" s="1"/>
  <c r="AG145" i="24"/>
  <c r="AN145" i="24" s="1"/>
  <c r="AG36" i="24"/>
  <c r="AN36" i="24" s="1"/>
  <c r="BV36" i="24" s="1"/>
  <c r="AG184" i="24"/>
  <c r="AK184" i="24" s="1"/>
  <c r="AG187" i="24"/>
  <c r="AN187" i="24" s="1"/>
  <c r="AJ21" i="24"/>
  <c r="AJ31" i="24"/>
  <c r="AG199" i="24"/>
  <c r="AK199" i="24" s="1"/>
  <c r="AI13" i="24"/>
  <c r="AJ13" i="24" s="1"/>
  <c r="AG100" i="24"/>
  <c r="AN100" i="24" s="1"/>
  <c r="AX100" i="24" s="1"/>
  <c r="AG27" i="24"/>
  <c r="AK27" i="24" s="1"/>
  <c r="AG125" i="24"/>
  <c r="AN125" i="24" s="1"/>
  <c r="BJ125" i="24" s="1"/>
  <c r="AG192" i="24"/>
  <c r="AK192" i="24" s="1"/>
  <c r="AG205" i="24"/>
  <c r="AK205" i="24" s="1"/>
  <c r="AT87" i="24"/>
  <c r="AG41" i="24"/>
  <c r="AG161" i="24"/>
  <c r="AK161" i="24" s="1"/>
  <c r="AG136" i="24"/>
  <c r="AJ19" i="24"/>
  <c r="AJ123" i="24"/>
  <c r="AG207" i="24"/>
  <c r="AG210" i="24"/>
  <c r="AG134" i="24"/>
  <c r="AK134" i="24" s="1"/>
  <c r="AG188" i="24"/>
  <c r="AK188" i="24" s="1"/>
  <c r="AG163" i="24"/>
  <c r="AK163" i="24" s="1"/>
  <c r="AT60" i="24"/>
  <c r="AJ29" i="24"/>
  <c r="AG149" i="24"/>
  <c r="AK149" i="24" s="1"/>
  <c r="AG87" i="24"/>
  <c r="AK87" i="24" s="1"/>
  <c r="AG50" i="24"/>
  <c r="AK50" i="24" s="1"/>
  <c r="AG60" i="24"/>
  <c r="AK60" i="24" s="1"/>
  <c r="AG28" i="24"/>
  <c r="AN28" i="24" s="1"/>
  <c r="AG72" i="24"/>
  <c r="AN72" i="24" s="1"/>
  <c r="CD72" i="24" s="1"/>
  <c r="AG172" i="24"/>
  <c r="X35" i="24"/>
  <c r="AA35" i="24" s="1"/>
  <c r="AB35" i="24" s="1"/>
  <c r="AC35" i="24" s="1"/>
  <c r="AJ35" i="24" s="1"/>
  <c r="AJ28" i="24"/>
  <c r="AG42" i="24"/>
  <c r="AN42" i="24" s="1"/>
  <c r="BV42" i="24" s="1"/>
  <c r="AJ115" i="24"/>
  <c r="AG55" i="24"/>
  <c r="AJ116" i="24"/>
  <c r="X71" i="24"/>
  <c r="AA71" i="24" s="1"/>
  <c r="AB71" i="24" s="1"/>
  <c r="AC71" i="24" s="1"/>
  <c r="W11" i="24"/>
  <c r="Y11" i="24" s="1"/>
  <c r="AI43" i="24"/>
  <c r="AJ43" i="24" s="1"/>
  <c r="AG31" i="24"/>
  <c r="AN31" i="24" s="1"/>
  <c r="CD31" i="24" s="1"/>
  <c r="AG115" i="24"/>
  <c r="AG64" i="24"/>
  <c r="B119" i="2"/>
  <c r="AG97" i="24"/>
  <c r="AJ33" i="24"/>
  <c r="AG40" i="24"/>
  <c r="AN40" i="24" s="1"/>
  <c r="AG116" i="24"/>
  <c r="AN116" i="24" s="1"/>
  <c r="AG201" i="24"/>
  <c r="AN201" i="24" s="1"/>
  <c r="AG169" i="24"/>
  <c r="AG131" i="24"/>
  <c r="AK131" i="24" s="1"/>
  <c r="AG194" i="24"/>
  <c r="AK194" i="24" s="1"/>
  <c r="AG155" i="24"/>
  <c r="AE65" i="24"/>
  <c r="AF65" i="24" s="1"/>
  <c r="AG82" i="24"/>
  <c r="AN82" i="24" s="1"/>
  <c r="CD82" i="24" s="1"/>
  <c r="AG63" i="24"/>
  <c r="AN63" i="24" s="1"/>
  <c r="CD63" i="24" s="1"/>
  <c r="AG21" i="24"/>
  <c r="AN21" i="24" s="1"/>
  <c r="CD21" i="24" s="1"/>
  <c r="AG19" i="24"/>
  <c r="AN19" i="24" s="1"/>
  <c r="AG91" i="24"/>
  <c r="AK91" i="24" s="1"/>
  <c r="AG79" i="24"/>
  <c r="AN79" i="24" s="1"/>
  <c r="CD79" i="24" s="1"/>
  <c r="AG123" i="24"/>
  <c r="W99" i="24"/>
  <c r="Y99" i="24" s="1"/>
  <c r="AG33" i="24"/>
  <c r="AT42" i="24"/>
  <c r="AE22" i="24"/>
  <c r="AF22" i="24" s="1"/>
  <c r="AI8" i="24"/>
  <c r="AJ8" i="24" s="1"/>
  <c r="AE26" i="24"/>
  <c r="AF26" i="24" s="1"/>
  <c r="AG104" i="24"/>
  <c r="AN104" i="24" s="1"/>
  <c r="AG32" i="24"/>
  <c r="AN32" i="24" s="1"/>
  <c r="AX32" i="24" s="1"/>
  <c r="AG68" i="24"/>
  <c r="AN68" i="24" s="1"/>
  <c r="CD68" i="24" s="1"/>
  <c r="AG86" i="24"/>
  <c r="AK86" i="24" s="1"/>
  <c r="AG59" i="24"/>
  <c r="AN59" i="24" s="1"/>
  <c r="CD59" i="24" s="1"/>
  <c r="W88" i="24"/>
  <c r="Y88" i="24" s="1"/>
  <c r="AG29" i="24"/>
  <c r="AN29" i="24" s="1"/>
  <c r="CD29" i="24" s="1"/>
  <c r="AE43" i="24"/>
  <c r="AT70" i="24"/>
  <c r="AT69" i="24"/>
  <c r="AE13" i="24"/>
  <c r="AF13" i="24" s="1"/>
  <c r="W13" i="24"/>
  <c r="Y13" i="24" s="1"/>
  <c r="AI71" i="24"/>
  <c r="AG69" i="24"/>
  <c r="AK69" i="24" s="1"/>
  <c r="AG53" i="24"/>
  <c r="AN53" i="24" s="1"/>
  <c r="X49" i="24"/>
  <c r="AA49" i="24" s="1"/>
  <c r="AB49" i="24" s="1"/>
  <c r="AC49" i="24" s="1"/>
  <c r="AJ49" i="24" s="1"/>
  <c r="AE71" i="24"/>
  <c r="AF71" i="24" s="1"/>
  <c r="P8" i="24"/>
  <c r="P94" i="24"/>
  <c r="AE102" i="24"/>
  <c r="AF102" i="24" s="1"/>
  <c r="AP94" i="24"/>
  <c r="W61" i="24"/>
  <c r="Y61" i="24" s="1"/>
  <c r="P93" i="24"/>
  <c r="W65" i="24"/>
  <c r="Y65" i="24" s="1"/>
  <c r="W6" i="24"/>
  <c r="Y6" i="24" s="1"/>
  <c r="X22" i="24"/>
  <c r="AA22" i="24" s="1"/>
  <c r="AB22" i="24" s="1"/>
  <c r="AC22" i="24" s="1"/>
  <c r="AP49" i="24"/>
  <c r="P77" i="24"/>
  <c r="X37" i="24"/>
  <c r="AA37" i="24" s="1"/>
  <c r="AB37" i="24" s="1"/>
  <c r="AC37" i="24" s="1"/>
  <c r="AJ37" i="24" s="1"/>
  <c r="W43" i="24"/>
  <c r="Y43" i="24" s="1"/>
  <c r="X102" i="24"/>
  <c r="AA102" i="24" s="1"/>
  <c r="AB102" i="24" s="1"/>
  <c r="AC102" i="24" s="1"/>
  <c r="AJ102" i="24" s="1"/>
  <c r="P35" i="24"/>
  <c r="AP84" i="24"/>
  <c r="P49" i="24"/>
  <c r="P81" i="24"/>
  <c r="AI22" i="24"/>
  <c r="W102" i="24"/>
  <c r="Y102" i="24" s="1"/>
  <c r="X65" i="24"/>
  <c r="AA65" i="24" s="1"/>
  <c r="AB65" i="24" s="1"/>
  <c r="AC65" i="24" s="1"/>
  <c r="AJ65" i="24" s="1"/>
  <c r="Q38" i="24"/>
  <c r="R38" i="24" s="1"/>
  <c r="Q9" i="24"/>
  <c r="R9" i="24" s="1"/>
  <c r="Q15" i="24"/>
  <c r="R15" i="24" s="1"/>
  <c r="AP90" i="24"/>
  <c r="Q90" i="24"/>
  <c r="R90" i="24" s="1"/>
  <c r="Q47" i="24"/>
  <c r="R47" i="24" s="1"/>
  <c r="AP99" i="24"/>
  <c r="Q99" i="24"/>
  <c r="R99" i="24" s="1"/>
  <c r="Q76" i="24"/>
  <c r="R76" i="24" s="1"/>
  <c r="AP80" i="24"/>
  <c r="Q80" i="24"/>
  <c r="R80" i="24" s="1"/>
  <c r="AP6" i="24"/>
  <c r="Q6" i="24"/>
  <c r="R6" i="24" s="1"/>
  <c r="AP61" i="24"/>
  <c r="Q61" i="24"/>
  <c r="R61" i="24" s="1"/>
  <c r="AP75" i="24"/>
  <c r="Q75" i="24"/>
  <c r="R75" i="24" s="1"/>
  <c r="Q103" i="24"/>
  <c r="R103" i="24" s="1"/>
  <c r="AP44" i="24"/>
  <c r="Q44" i="24"/>
  <c r="R44" i="24" s="1"/>
  <c r="Q102" i="24"/>
  <c r="R102" i="24" s="1"/>
  <c r="Q65" i="24"/>
  <c r="R65" i="24" s="1"/>
  <c r="P52" i="24"/>
  <c r="Q52" i="24"/>
  <c r="R52" i="24" s="1"/>
  <c r="AP22" i="24"/>
  <c r="Q22" i="24"/>
  <c r="R22" i="24" s="1"/>
  <c r="AP45" i="24"/>
  <c r="Q45" i="24"/>
  <c r="R45" i="24" s="1"/>
  <c r="P39" i="24"/>
  <c r="Q39" i="24"/>
  <c r="R39" i="24" s="1"/>
  <c r="Q37" i="24"/>
  <c r="R37" i="24" s="1"/>
  <c r="AP88" i="24"/>
  <c r="Q88" i="24"/>
  <c r="R88" i="24" s="1"/>
  <c r="AP67" i="24"/>
  <c r="Q67" i="24"/>
  <c r="R67" i="24" s="1"/>
  <c r="Q77" i="24"/>
  <c r="R77" i="24" s="1"/>
  <c r="Q17" i="24"/>
  <c r="R17" i="24" s="1"/>
  <c r="AP16" i="24"/>
  <c r="Q16" i="24"/>
  <c r="R16" i="24" s="1"/>
  <c r="Q7" i="24"/>
  <c r="R7" i="24" s="1"/>
  <c r="Q98" i="24"/>
  <c r="R98" i="24" s="1"/>
  <c r="P57" i="24"/>
  <c r="Q57" i="24"/>
  <c r="R57" i="24" s="1"/>
  <c r="Q58" i="24"/>
  <c r="R58" i="24" s="1"/>
  <c r="AP43" i="24"/>
  <c r="Q43" i="24"/>
  <c r="R43" i="24" s="1"/>
  <c r="P71" i="24"/>
  <c r="Q71" i="24"/>
  <c r="R71" i="24" s="1"/>
  <c r="P11" i="24"/>
  <c r="Q11" i="24"/>
  <c r="R11" i="24" s="1"/>
  <c r="AP12" i="24"/>
  <c r="Q12" i="24"/>
  <c r="R12" i="24" s="1"/>
  <c r="Q13" i="24"/>
  <c r="R13" i="24" s="1"/>
  <c r="P26" i="24"/>
  <c r="Q26" i="24"/>
  <c r="R26" i="24" s="1"/>
  <c r="AP62" i="24"/>
  <c r="Q62" i="24"/>
  <c r="R62" i="24" s="1"/>
  <c r="AP13" i="24"/>
  <c r="P98" i="24"/>
  <c r="AE93" i="24"/>
  <c r="AF93" i="24" s="1"/>
  <c r="W37" i="24"/>
  <c r="Y37" i="24" s="1"/>
  <c r="AI94" i="24"/>
  <c r="AE49" i="24"/>
  <c r="AF49" i="24" s="1"/>
  <c r="AP57" i="24"/>
  <c r="W94" i="24"/>
  <c r="Y94" i="24" s="1"/>
  <c r="P62" i="24"/>
  <c r="P13" i="24"/>
  <c r="P43" i="24"/>
  <c r="AI93" i="24"/>
  <c r="AE37" i="24"/>
  <c r="AF37" i="24" s="1"/>
  <c r="W8" i="24"/>
  <c r="Y8" i="24" s="1"/>
  <c r="X94" i="24"/>
  <c r="W49" i="24"/>
  <c r="Y49" i="24" s="1"/>
  <c r="P7" i="24"/>
  <c r="P58" i="24"/>
  <c r="X93" i="24"/>
  <c r="AA93" i="24" s="1"/>
  <c r="AB93" i="24" s="1"/>
  <c r="AC93" i="24" s="1"/>
  <c r="P12" i="24"/>
  <c r="AE8" i="24"/>
  <c r="AF8" i="24" s="1"/>
  <c r="P103" i="24"/>
  <c r="P102" i="24"/>
  <c r="BK5" i="24"/>
  <c r="P6" i="24"/>
  <c r="P75" i="24"/>
  <c r="AP65" i="24"/>
  <c r="P65" i="24"/>
  <c r="AE34" i="24"/>
  <c r="AF34" i="24" s="1"/>
  <c r="X99" i="24"/>
  <c r="AA99" i="24" s="1"/>
  <c r="AB99" i="24" s="1"/>
  <c r="AC99" i="24" s="1"/>
  <c r="AJ99" i="24" s="1"/>
  <c r="AI98" i="24"/>
  <c r="W98" i="24"/>
  <c r="Y98" i="24" s="1"/>
  <c r="AE98" i="24"/>
  <c r="AF98" i="24" s="1"/>
  <c r="X98" i="24"/>
  <c r="AA98" i="24" s="1"/>
  <c r="AB98" i="24" s="1"/>
  <c r="AC98" i="24" s="1"/>
  <c r="AE57" i="24"/>
  <c r="AF57" i="24" s="1"/>
  <c r="AI57" i="24"/>
  <c r="W57" i="24"/>
  <c r="Y57" i="24" s="1"/>
  <c r="X57" i="24"/>
  <c r="AA57" i="24" s="1"/>
  <c r="AB57" i="24" s="1"/>
  <c r="AC57" i="24" s="1"/>
  <c r="X58" i="24"/>
  <c r="AA58" i="24" s="1"/>
  <c r="AB58" i="24" s="1"/>
  <c r="AC58" i="24" s="1"/>
  <c r="AJ58" i="24" s="1"/>
  <c r="AE58" i="24"/>
  <c r="AF58" i="24" s="1"/>
  <c r="W58" i="24"/>
  <c r="Y58" i="24" s="1"/>
  <c r="X11" i="24"/>
  <c r="AA11" i="24" s="1"/>
  <c r="AB11" i="24" s="1"/>
  <c r="AC11" i="24" s="1"/>
  <c r="AJ11" i="24" s="1"/>
  <c r="AE11" i="24"/>
  <c r="AF11" i="24" s="1"/>
  <c r="AE12" i="24"/>
  <c r="AF12" i="24" s="1"/>
  <c r="AI12" i="24"/>
  <c r="X12" i="24"/>
  <c r="AA12" i="24" s="1"/>
  <c r="AB12" i="24" s="1"/>
  <c r="AC12" i="24" s="1"/>
  <c r="AP30" i="24"/>
  <c r="AI26" i="24"/>
  <c r="X26" i="24"/>
  <c r="AI62" i="24"/>
  <c r="W62" i="24"/>
  <c r="Y62" i="24" s="1"/>
  <c r="AE62" i="24"/>
  <c r="AF62" i="24" s="1"/>
  <c r="X62" i="24"/>
  <c r="AA62" i="24" s="1"/>
  <c r="AB62" i="24" s="1"/>
  <c r="AC62" i="24" s="1"/>
  <c r="AP20" i="24"/>
  <c r="AP48" i="24"/>
  <c r="AP34" i="24"/>
  <c r="W9" i="24"/>
  <c r="Y9" i="24" s="1"/>
  <c r="AI9" i="24"/>
  <c r="AE9" i="24"/>
  <c r="AF9" i="24" s="1"/>
  <c r="X9" i="24"/>
  <c r="AA9" i="24" s="1"/>
  <c r="AB9" i="24" s="1"/>
  <c r="AC9" i="24" s="1"/>
  <c r="AE90" i="24"/>
  <c r="AF90" i="24" s="1"/>
  <c r="X90" i="24"/>
  <c r="AA90" i="24" s="1"/>
  <c r="AB90" i="24" s="1"/>
  <c r="AC90" i="24" s="1"/>
  <c r="AI90" i="24"/>
  <c r="AE47" i="24"/>
  <c r="AF47" i="24" s="1"/>
  <c r="X47" i="24"/>
  <c r="AA47" i="24" s="1"/>
  <c r="AB47" i="24" s="1"/>
  <c r="AC47" i="24" s="1"/>
  <c r="AJ47" i="24" s="1"/>
  <c r="AE20" i="24"/>
  <c r="AF20" i="24" s="1"/>
  <c r="X20" i="24"/>
  <c r="AA20" i="24" s="1"/>
  <c r="AB20" i="24" s="1"/>
  <c r="AC20" i="24" s="1"/>
  <c r="AI20" i="24"/>
  <c r="P22" i="24"/>
  <c r="W20" i="24"/>
  <c r="Y20" i="24" s="1"/>
  <c r="W34" i="24"/>
  <c r="Y34" i="24" s="1"/>
  <c r="AE99" i="24"/>
  <c r="AF99" i="24" s="1"/>
  <c r="W47" i="24"/>
  <c r="Y47" i="24" s="1"/>
  <c r="AI61" i="24"/>
  <c r="AJ61" i="24" s="1"/>
  <c r="AE61" i="24"/>
  <c r="AF61" i="24" s="1"/>
  <c r="AI75" i="24"/>
  <c r="W75" i="24"/>
  <c r="Y75" i="24" s="1"/>
  <c r="AE75" i="24"/>
  <c r="AF75" i="24" s="1"/>
  <c r="X75" i="24"/>
  <c r="AA75" i="24" s="1"/>
  <c r="AB75" i="24" s="1"/>
  <c r="AC75" i="24" s="1"/>
  <c r="AI103" i="24"/>
  <c r="AE103" i="24"/>
  <c r="AF103" i="24" s="1"/>
  <c r="W103" i="24"/>
  <c r="Y103" i="24" s="1"/>
  <c r="X103" i="24"/>
  <c r="AA103" i="24" s="1"/>
  <c r="AB103" i="24" s="1"/>
  <c r="AC103" i="24" s="1"/>
  <c r="AI44" i="24"/>
  <c r="X44" i="24"/>
  <c r="AA44" i="24" s="1"/>
  <c r="AB44" i="24" s="1"/>
  <c r="AC44" i="24" s="1"/>
  <c r="W44" i="24"/>
  <c r="Y44" i="24" s="1"/>
  <c r="R84" i="24"/>
  <c r="P84" i="24"/>
  <c r="AI52" i="24"/>
  <c r="X52" i="24"/>
  <c r="AA52" i="24" s="1"/>
  <c r="AB52" i="24" s="1"/>
  <c r="AC52" i="24" s="1"/>
  <c r="AE52" i="24"/>
  <c r="AF52" i="24" s="1"/>
  <c r="W52" i="24"/>
  <c r="Y52" i="24" s="1"/>
  <c r="W45" i="24"/>
  <c r="Y45" i="24" s="1"/>
  <c r="AI45" i="24"/>
  <c r="AE45" i="24"/>
  <c r="AF45" i="24" s="1"/>
  <c r="X45" i="24"/>
  <c r="AA45" i="24" s="1"/>
  <c r="AB45" i="24" s="1"/>
  <c r="AC45" i="24" s="1"/>
  <c r="AP8" i="24"/>
  <c r="AP81" i="24"/>
  <c r="AP35" i="24"/>
  <c r="AP93" i="24"/>
  <c r="AP103" i="24"/>
  <c r="AE30" i="24"/>
  <c r="AF30" i="24" s="1"/>
  <c r="W30" i="24"/>
  <c r="Y30" i="24" s="1"/>
  <c r="X30" i="24"/>
  <c r="AA30" i="24" s="1"/>
  <c r="AB30" i="24" s="1"/>
  <c r="AC30" i="24" s="1"/>
  <c r="AI30" i="24"/>
  <c r="W38" i="24"/>
  <c r="Y38" i="24" s="1"/>
  <c r="AI38" i="24"/>
  <c r="AE38" i="24"/>
  <c r="AF38" i="24" s="1"/>
  <c r="X38" i="24"/>
  <c r="AA38" i="24" s="1"/>
  <c r="AB38" i="24" s="1"/>
  <c r="AC38" i="24" s="1"/>
  <c r="W15" i="24"/>
  <c r="Y15" i="24" s="1"/>
  <c r="X15" i="24"/>
  <c r="AA15" i="24" s="1"/>
  <c r="AB15" i="24" s="1"/>
  <c r="AC15" i="24" s="1"/>
  <c r="AJ15" i="24" s="1"/>
  <c r="AP52" i="24"/>
  <c r="AE24" i="24"/>
  <c r="AF24" i="24" s="1"/>
  <c r="W24" i="24"/>
  <c r="Y24" i="24" s="1"/>
  <c r="X24" i="24"/>
  <c r="AA24" i="24" s="1"/>
  <c r="AB24" i="24" s="1"/>
  <c r="AC24" i="24" s="1"/>
  <c r="AI24" i="24"/>
  <c r="AI48" i="24"/>
  <c r="X48" i="24"/>
  <c r="AA48" i="24" s="1"/>
  <c r="AB48" i="24" s="1"/>
  <c r="AC48" i="24" s="1"/>
  <c r="AE66" i="24"/>
  <c r="AF66" i="24" s="1"/>
  <c r="AI66" i="24"/>
  <c r="X66" i="24"/>
  <c r="AA66" i="24" s="1"/>
  <c r="AB66" i="24" s="1"/>
  <c r="AC66" i="24" s="1"/>
  <c r="W66" i="24"/>
  <c r="Y66" i="24" s="1"/>
  <c r="X76" i="24"/>
  <c r="AA76" i="24" s="1"/>
  <c r="AB76" i="24" s="1"/>
  <c r="AC76" i="24" s="1"/>
  <c r="W76" i="24"/>
  <c r="Y76" i="24" s="1"/>
  <c r="AE76" i="24"/>
  <c r="AF76" i="24" s="1"/>
  <c r="AI76" i="24"/>
  <c r="W80" i="24"/>
  <c r="Y80" i="24" s="1"/>
  <c r="AE80" i="24"/>
  <c r="AF80" i="24" s="1"/>
  <c r="AI80" i="24"/>
  <c r="X80" i="24"/>
  <c r="AA80" i="24" s="1"/>
  <c r="AB80" i="24" s="1"/>
  <c r="AC80" i="24" s="1"/>
  <c r="AT53" i="24"/>
  <c r="AP102" i="24"/>
  <c r="W90" i="24"/>
  <c r="Y90" i="24" s="1"/>
  <c r="P45" i="24"/>
  <c r="AE15" i="24"/>
  <c r="AF15" i="24" s="1"/>
  <c r="P44" i="24"/>
  <c r="X34" i="24"/>
  <c r="AA34" i="24" s="1"/>
  <c r="AB34" i="24" s="1"/>
  <c r="AC34" i="24" s="1"/>
  <c r="AJ34" i="24" s="1"/>
  <c r="AE48" i="24"/>
  <c r="AF48" i="24" s="1"/>
  <c r="AP71" i="24"/>
  <c r="AP11" i="24"/>
  <c r="AE39" i="24"/>
  <c r="AF39" i="24" s="1"/>
  <c r="X39" i="24"/>
  <c r="AA39" i="24" s="1"/>
  <c r="AB39" i="24" s="1"/>
  <c r="AC39" i="24" s="1"/>
  <c r="AI39" i="24"/>
  <c r="W39" i="24"/>
  <c r="Y39" i="24" s="1"/>
  <c r="AI84" i="24"/>
  <c r="X84" i="24"/>
  <c r="AA84" i="24" s="1"/>
  <c r="AB84" i="24" s="1"/>
  <c r="AC84" i="24" s="1"/>
  <c r="AE84" i="24"/>
  <c r="AF84" i="24" s="1"/>
  <c r="W84" i="24"/>
  <c r="Y84" i="24" s="1"/>
  <c r="AP26" i="24"/>
  <c r="AI88" i="24"/>
  <c r="AJ88" i="24" s="1"/>
  <c r="AE88" i="24"/>
  <c r="AF88" i="24" s="1"/>
  <c r="AE67" i="24"/>
  <c r="AF67" i="24" s="1"/>
  <c r="AI67" i="24"/>
  <c r="X67" i="24"/>
  <c r="AA67" i="24" s="1"/>
  <c r="AB67" i="24" s="1"/>
  <c r="AC67" i="24" s="1"/>
  <c r="W67" i="24"/>
  <c r="Y67" i="24" s="1"/>
  <c r="X77" i="24"/>
  <c r="AA77" i="24" s="1"/>
  <c r="AB77" i="24" s="1"/>
  <c r="AC77" i="24" s="1"/>
  <c r="AI77" i="24"/>
  <c r="AE77" i="24"/>
  <c r="AF77" i="24" s="1"/>
  <c r="W77" i="24"/>
  <c r="Y77" i="24" s="1"/>
  <c r="AI17" i="24"/>
  <c r="X17" i="24"/>
  <c r="AA17" i="24" s="1"/>
  <c r="AB17" i="24" s="1"/>
  <c r="AC17" i="24" s="1"/>
  <c r="AE17" i="24"/>
  <c r="AF17" i="24" s="1"/>
  <c r="W17" i="24"/>
  <c r="Y17" i="24" s="1"/>
  <c r="AE16" i="24"/>
  <c r="AF16" i="24" s="1"/>
  <c r="X16" i="24"/>
  <c r="AA16" i="24" s="1"/>
  <c r="AB16" i="24" s="1"/>
  <c r="AC16" i="24" s="1"/>
  <c r="AI16" i="24"/>
  <c r="AI81" i="24"/>
  <c r="X81" i="24"/>
  <c r="AA81" i="24" s="1"/>
  <c r="AB81" i="24" s="1"/>
  <c r="AC81" i="24" s="1"/>
  <c r="W81" i="24"/>
  <c r="Y81" i="24" s="1"/>
  <c r="W35" i="24"/>
  <c r="Y35" i="24" s="1"/>
  <c r="AE35" i="24"/>
  <c r="AF35" i="24" s="1"/>
  <c r="W7" i="24"/>
  <c r="Y7" i="24" s="1"/>
  <c r="X7" i="24"/>
  <c r="AA7" i="24" s="1"/>
  <c r="AB7" i="24" s="1"/>
  <c r="AC7" i="24" s="1"/>
  <c r="AI7" i="24"/>
  <c r="AE7" i="24"/>
  <c r="AF7" i="24" s="1"/>
  <c r="AI6" i="24"/>
  <c r="AJ6" i="24" s="1"/>
  <c r="AE6" i="24"/>
  <c r="AF6" i="24" s="1"/>
  <c r="AT50" i="24"/>
  <c r="AT32" i="24"/>
  <c r="AT23" i="24"/>
  <c r="AT25" i="24"/>
  <c r="AT14" i="24"/>
  <c r="AX5" i="24"/>
  <c r="AT5" i="24"/>
  <c r="BL5" i="24"/>
  <c r="AK5" i="24"/>
  <c r="AS5" i="24"/>
  <c r="AQ5" i="24"/>
  <c r="BJ5" i="24"/>
  <c r="BU5" i="24"/>
  <c r="AF110" i="25"/>
  <c r="AJ110" i="25" s="1"/>
  <c r="Z5" i="25"/>
  <c r="AA5" i="25" s="1"/>
  <c r="AB5" i="25" s="1"/>
  <c r="AI5" i="25" s="1"/>
  <c r="AF5" i="25"/>
  <c r="AS40" i="25"/>
  <c r="AS13" i="25"/>
  <c r="AS29" i="25"/>
  <c r="AS44" i="25"/>
  <c r="AS14" i="25"/>
  <c r="AS36" i="25"/>
  <c r="AS9" i="25"/>
  <c r="AS47" i="25"/>
  <c r="AS22" i="25"/>
  <c r="AS88" i="25"/>
  <c r="AS79" i="25"/>
  <c r="AS20" i="25"/>
  <c r="AS96" i="25"/>
  <c r="AS62" i="25"/>
  <c r="AS86" i="25"/>
  <c r="AS93" i="25"/>
  <c r="AS61" i="25"/>
  <c r="AS70" i="25"/>
  <c r="AS26" i="25"/>
  <c r="AS38" i="25"/>
  <c r="AS24" i="25"/>
  <c r="AS104" i="25"/>
  <c r="AS27" i="25"/>
  <c r="AS102" i="25"/>
  <c r="AS17" i="25"/>
  <c r="AS48" i="25"/>
  <c r="AS30" i="25"/>
  <c r="AS103" i="25"/>
  <c r="AS28" i="25"/>
  <c r="AS105" i="25"/>
  <c r="AS81" i="25"/>
  <c r="AS11" i="25"/>
  <c r="AS91" i="25"/>
  <c r="AS49" i="25"/>
  <c r="AS6" i="25"/>
  <c r="AS56" i="25"/>
  <c r="AS76" i="25"/>
  <c r="AS92" i="25"/>
  <c r="AS78" i="25"/>
  <c r="AS94" i="25"/>
  <c r="AS41" i="25"/>
  <c r="AS21" i="25"/>
  <c r="AS8" i="25"/>
  <c r="AS67" i="25"/>
  <c r="AS42" i="25"/>
  <c r="AS101" i="25"/>
  <c r="AS51" i="25"/>
  <c r="AS64" i="25"/>
  <c r="AS12" i="25"/>
  <c r="AS87" i="25"/>
  <c r="AS37" i="25"/>
  <c r="AS82" i="25"/>
  <c r="AS54" i="25"/>
  <c r="AS68" i="25"/>
  <c r="AS52" i="25"/>
  <c r="AS63" i="25"/>
  <c r="AS35" i="25"/>
  <c r="AS53" i="25"/>
  <c r="AS83" i="25"/>
  <c r="AS59" i="25"/>
  <c r="AS100" i="25"/>
  <c r="AS15" i="25"/>
  <c r="AS71" i="25"/>
  <c r="AS97" i="25"/>
  <c r="AS31" i="25"/>
  <c r="AS69" i="25"/>
  <c r="AJ218" i="25"/>
  <c r="AM218" i="25"/>
  <c r="AJ267" i="25"/>
  <c r="AM277" i="25"/>
  <c r="CE277" i="25" s="1"/>
  <c r="AJ277" i="25"/>
  <c r="AM189" i="25"/>
  <c r="BW189" i="25" s="1"/>
  <c r="AJ226" i="25"/>
  <c r="AM226" i="25"/>
  <c r="CE226" i="25" s="1"/>
  <c r="AJ174" i="25"/>
  <c r="AJ31" i="25"/>
  <c r="AM31" i="25"/>
  <c r="AJ116" i="25"/>
  <c r="AM116" i="25"/>
  <c r="BW116" i="25" s="1"/>
  <c r="AS10" i="25"/>
  <c r="AJ59" i="25"/>
  <c r="AM59" i="25"/>
  <c r="CE59" i="25" s="1"/>
  <c r="AJ295" i="25"/>
  <c r="AM295" i="25"/>
  <c r="CE295" i="25" s="1"/>
  <c r="AM138" i="25"/>
  <c r="BW138" i="25" s="1"/>
  <c r="AJ138" i="25"/>
  <c r="AJ99" i="25"/>
  <c r="AM99" i="25"/>
  <c r="CE99" i="25" s="1"/>
  <c r="AJ26" i="25"/>
  <c r="AM26" i="25"/>
  <c r="CE26" i="25" s="1"/>
  <c r="AM136" i="25"/>
  <c r="BW136" i="25" s="1"/>
  <c r="AJ136" i="25"/>
  <c r="AM98" i="25"/>
  <c r="BW98" i="25" s="1"/>
  <c r="AJ98" i="25"/>
  <c r="AJ173" i="25"/>
  <c r="AM173" i="25"/>
  <c r="CE173" i="25" s="1"/>
  <c r="AS60" i="25"/>
  <c r="AM103" i="25"/>
  <c r="CE103" i="25" s="1"/>
  <c r="AJ103" i="25"/>
  <c r="AJ85" i="25"/>
  <c r="AM85" i="25"/>
  <c r="AS57" i="25"/>
  <c r="AM102" i="25"/>
  <c r="CE102" i="25" s="1"/>
  <c r="AJ102" i="25"/>
  <c r="AM93" i="25"/>
  <c r="CE93" i="25" s="1"/>
  <c r="AJ93" i="25"/>
  <c r="AM87" i="25"/>
  <c r="CE87" i="25" s="1"/>
  <c r="AJ87" i="25"/>
  <c r="AJ135" i="25"/>
  <c r="AM135" i="25"/>
  <c r="AJ15" i="25"/>
  <c r="AM15" i="25"/>
  <c r="BW15" i="25" s="1"/>
  <c r="AM14" i="25"/>
  <c r="CE14" i="25" s="1"/>
  <c r="AJ14" i="25"/>
  <c r="AJ153" i="25"/>
  <c r="AM153" i="25"/>
  <c r="BW153" i="25" s="1"/>
  <c r="AS46" i="25"/>
  <c r="AM178" i="25"/>
  <c r="BW178" i="25" s="1"/>
  <c r="AJ178" i="25"/>
  <c r="AM57" i="25"/>
  <c r="BV57" i="25" s="1"/>
  <c r="AJ57" i="25"/>
  <c r="AJ274" i="25"/>
  <c r="AM274" i="25"/>
  <c r="CE274" i="25" s="1"/>
  <c r="AS23" i="25"/>
  <c r="AM56" i="25"/>
  <c r="AJ56" i="25"/>
  <c r="AS58" i="25"/>
  <c r="AS90" i="25"/>
  <c r="AM81" i="25"/>
  <c r="CE81" i="25" s="1"/>
  <c r="AJ81" i="25"/>
  <c r="AS33" i="25"/>
  <c r="AM17" i="25"/>
  <c r="CE17" i="25" s="1"/>
  <c r="AJ17" i="25"/>
  <c r="AM66" i="25"/>
  <c r="AJ66" i="25"/>
  <c r="AM288" i="25"/>
  <c r="CE288" i="25" s="1"/>
  <c r="AJ288" i="25"/>
  <c r="AM252" i="25"/>
  <c r="AJ252" i="25"/>
  <c r="AJ246" i="25"/>
  <c r="AM246" i="25"/>
  <c r="CE246" i="25" s="1"/>
  <c r="AM78" i="25"/>
  <c r="CE78" i="25" s="1"/>
  <c r="AJ78" i="25"/>
  <c r="AM35" i="25"/>
  <c r="AJ35" i="25"/>
  <c r="AM53" i="25"/>
  <c r="CE53" i="25" s="1"/>
  <c r="AJ53" i="25"/>
  <c r="AM74" i="25"/>
  <c r="BW74" i="25" s="1"/>
  <c r="AJ74" i="25"/>
  <c r="AM39" i="25"/>
  <c r="BW39" i="25" s="1"/>
  <c r="AJ39" i="25"/>
  <c r="AM20" i="25"/>
  <c r="CE20" i="25" s="1"/>
  <c r="AJ20" i="25"/>
  <c r="AM262" i="25"/>
  <c r="CE262" i="25" s="1"/>
  <c r="AJ262" i="25"/>
  <c r="AM22" i="25"/>
  <c r="BW22" i="25" s="1"/>
  <c r="AJ22" i="25"/>
  <c r="AM253" i="25"/>
  <c r="AJ253" i="25"/>
  <c r="AM16" i="25"/>
  <c r="BV16" i="25" s="1"/>
  <c r="AJ16" i="25"/>
  <c r="AJ315" i="25"/>
  <c r="AM315" i="25"/>
  <c r="CE315" i="25" s="1"/>
  <c r="AM41" i="25"/>
  <c r="AJ41" i="25"/>
  <c r="AJ275" i="25"/>
  <c r="AM275" i="25"/>
  <c r="CE275" i="25" s="1"/>
  <c r="AM55" i="25"/>
  <c r="BW55" i="25" s="1"/>
  <c r="AJ55" i="25"/>
  <c r="AJ235" i="25"/>
  <c r="AM235" i="25"/>
  <c r="CE235" i="25" s="1"/>
  <c r="AM38" i="25"/>
  <c r="CE38" i="25" s="1"/>
  <c r="AJ38" i="25"/>
  <c r="AS73" i="25"/>
  <c r="AS25" i="25"/>
  <c r="AS98" i="25"/>
  <c r="AJ64" i="25"/>
  <c r="AM64" i="25"/>
  <c r="CE64" i="25" s="1"/>
  <c r="AJ297" i="25"/>
  <c r="AM70" i="25"/>
  <c r="CE70" i="25" s="1"/>
  <c r="AJ70" i="25"/>
  <c r="AS43" i="25"/>
  <c r="AM219" i="25"/>
  <c r="CE219" i="25" s="1"/>
  <c r="AJ219" i="25"/>
  <c r="AS45" i="25"/>
  <c r="AJ284" i="25"/>
  <c r="AM284" i="25"/>
  <c r="CE284" i="25" s="1"/>
  <c r="AJ51" i="25"/>
  <c r="AM51" i="25"/>
  <c r="CE51" i="25" s="1"/>
  <c r="AJ29" i="25"/>
  <c r="AM29" i="25"/>
  <c r="CE29" i="25" s="1"/>
  <c r="AJ7" i="25"/>
  <c r="AM7" i="25"/>
  <c r="BI7" i="25" s="1"/>
  <c r="AJ112" i="25"/>
  <c r="AM112" i="25"/>
  <c r="BW112" i="25" s="1"/>
  <c r="AM18" i="25"/>
  <c r="AJ18" i="25"/>
  <c r="AM34" i="25"/>
  <c r="BI34" i="25" s="1"/>
  <c r="AJ34" i="25"/>
  <c r="AJ95" i="25"/>
  <c r="AM95" i="25"/>
  <c r="BW95" i="25" s="1"/>
  <c r="AJ268" i="25"/>
  <c r="AM268" i="25"/>
  <c r="AJ89" i="25"/>
  <c r="AM89" i="25"/>
  <c r="AS16" i="25"/>
  <c r="AM75" i="25"/>
  <c r="BW75" i="25" s="1"/>
  <c r="AJ75" i="25"/>
  <c r="AM165" i="25"/>
  <c r="BW165" i="25" s="1"/>
  <c r="AM289" i="25"/>
  <c r="CE289" i="25" s="1"/>
  <c r="AJ289" i="25"/>
  <c r="AM293" i="25"/>
  <c r="CE293" i="25" s="1"/>
  <c r="AJ293" i="25"/>
  <c r="AM84" i="25"/>
  <c r="BW84" i="25" s="1"/>
  <c r="AJ84" i="25"/>
  <c r="AM49" i="25"/>
  <c r="CE49" i="25" s="1"/>
  <c r="AJ49" i="25"/>
  <c r="AJ231" i="25"/>
  <c r="AM231" i="25"/>
  <c r="AM160" i="25"/>
  <c r="BW160" i="25" s="1"/>
  <c r="AJ160" i="25"/>
  <c r="AJ28" i="25"/>
  <c r="AM28" i="25"/>
  <c r="BW28" i="25" s="1"/>
  <c r="AJ117" i="25"/>
  <c r="AS18" i="25"/>
  <c r="AJ72" i="25"/>
  <c r="AM72" i="25"/>
  <c r="BW72" i="25" s="1"/>
  <c r="AS34" i="25"/>
  <c r="AM71" i="25"/>
  <c r="AJ71" i="25"/>
  <c r="AM58" i="25"/>
  <c r="BW58" i="25" s="1"/>
  <c r="AJ58" i="25"/>
  <c r="AJ105" i="25"/>
  <c r="AM105" i="25"/>
  <c r="CE105" i="25" s="1"/>
  <c r="AM97" i="25"/>
  <c r="CE97" i="25" s="1"/>
  <c r="AJ97" i="25"/>
  <c r="AM92" i="25"/>
  <c r="CE92" i="25" s="1"/>
  <c r="AJ92" i="25"/>
  <c r="AM251" i="25"/>
  <c r="CE251" i="25" s="1"/>
  <c r="AJ251" i="25"/>
  <c r="AM32" i="25"/>
  <c r="BW32" i="25" s="1"/>
  <c r="AJ32" i="25"/>
  <c r="AJ69" i="25"/>
  <c r="AM69" i="25"/>
  <c r="CE69" i="25" s="1"/>
  <c r="AJ188" i="25"/>
  <c r="AJ90" i="25"/>
  <c r="AM90" i="25"/>
  <c r="BW90" i="25" s="1"/>
  <c r="AM9" i="25"/>
  <c r="BW9" i="25" s="1"/>
  <c r="AJ9" i="25"/>
  <c r="AJ236" i="25"/>
  <c r="AM236" i="25"/>
  <c r="CE236" i="25" s="1"/>
  <c r="AJ67" i="25"/>
  <c r="AM67" i="25"/>
  <c r="CE67" i="25" s="1"/>
  <c r="AJ273" i="25"/>
  <c r="AM273" i="25"/>
  <c r="AJ10" i="25"/>
  <c r="AM10" i="25"/>
  <c r="BI10" i="25" s="1"/>
  <c r="AJ45" i="25"/>
  <c r="AM45" i="25"/>
  <c r="CE45" i="25" s="1"/>
  <c r="AS66" i="25"/>
  <c r="AM305" i="25"/>
  <c r="CE305" i="25" s="1"/>
  <c r="AJ305" i="25"/>
  <c r="AJ241" i="25"/>
  <c r="AM241" i="25"/>
  <c r="CE241" i="25" s="1"/>
  <c r="AJ104" i="25"/>
  <c r="AM104" i="25"/>
  <c r="CE104" i="25" s="1"/>
  <c r="AJ61" i="25"/>
  <c r="AM61" i="25"/>
  <c r="CE61" i="25" s="1"/>
  <c r="AS89" i="25"/>
  <c r="AS80" i="25"/>
  <c r="AJ11" i="25"/>
  <c r="AM11" i="25"/>
  <c r="BW11" i="25" s="1"/>
  <c r="AJ115" i="25"/>
  <c r="AM115" i="25"/>
  <c r="BW115" i="25" s="1"/>
  <c r="AS19" i="25"/>
  <c r="AM280" i="25"/>
  <c r="CE280" i="25" s="1"/>
  <c r="AJ280" i="25"/>
  <c r="AJ220" i="25"/>
  <c r="AM220" i="25"/>
  <c r="AJ65" i="25"/>
  <c r="AM65" i="25"/>
  <c r="BW65" i="25" s="1"/>
  <c r="AJ287" i="25"/>
  <c r="AM287" i="25"/>
  <c r="CE287" i="25" s="1"/>
  <c r="AM223" i="25"/>
  <c r="AJ223" i="25"/>
  <c r="AJ299" i="25"/>
  <c r="AM299" i="25"/>
  <c r="AM43" i="25"/>
  <c r="BW43" i="25" s="1"/>
  <c r="AJ43" i="25"/>
  <c r="AM101" i="25"/>
  <c r="CE101" i="25" s="1"/>
  <c r="AJ101" i="25"/>
  <c r="AJ225" i="25"/>
  <c r="AM225" i="25"/>
  <c r="AJ100" i="25"/>
  <c r="AM100" i="25"/>
  <c r="CE100" i="25" s="1"/>
  <c r="AS72" i="25"/>
  <c r="AM25" i="25"/>
  <c r="BW25" i="25" s="1"/>
  <c r="AJ25" i="25"/>
  <c r="AJ62" i="25"/>
  <c r="AM62" i="25"/>
  <c r="AM37" i="25"/>
  <c r="CE37" i="25" s="1"/>
  <c r="AJ37" i="25"/>
  <c r="AM291" i="25"/>
  <c r="CE291" i="25" s="1"/>
  <c r="AJ291" i="25"/>
  <c r="AM263" i="25"/>
  <c r="CE263" i="25" s="1"/>
  <c r="AJ263" i="25"/>
  <c r="AJ119" i="25"/>
  <c r="AM119" i="25"/>
  <c r="BW119" i="25" s="1"/>
  <c r="AM24" i="25"/>
  <c r="BW24" i="25" s="1"/>
  <c r="AJ24" i="25"/>
  <c r="AJ161" i="25"/>
  <c r="AM161" i="25"/>
  <c r="BW161" i="25" s="1"/>
  <c r="AJ282" i="25"/>
  <c r="AM282" i="25"/>
  <c r="CE282" i="25" s="1"/>
  <c r="AM270" i="25"/>
  <c r="CE270" i="25" s="1"/>
  <c r="AJ270" i="25"/>
  <c r="AJ6" i="25"/>
  <c r="AM6" i="25"/>
  <c r="CE6" i="25" s="1"/>
  <c r="AJ310" i="25"/>
  <c r="AM310" i="25"/>
  <c r="CE310" i="25" s="1"/>
  <c r="AJ12" i="25"/>
  <c r="AM12" i="25"/>
  <c r="CE12" i="25" s="1"/>
  <c r="AS50" i="25"/>
  <c r="AS65" i="25"/>
  <c r="AS75" i="25"/>
  <c r="AS84" i="25"/>
  <c r="AM79" i="25"/>
  <c r="CE79" i="25" s="1"/>
  <c r="AJ79" i="25"/>
  <c r="AM142" i="25"/>
  <c r="BW142" i="25" s="1"/>
  <c r="AJ142" i="25"/>
  <c r="AM13" i="25"/>
  <c r="BW13" i="25" s="1"/>
  <c r="AJ13" i="25"/>
  <c r="AS39" i="25"/>
  <c r="AM36" i="25"/>
  <c r="CE36" i="25" s="1"/>
  <c r="AJ36" i="25"/>
  <c r="AJ276" i="25"/>
  <c r="AM276" i="25"/>
  <c r="CE276" i="25" s="1"/>
  <c r="AM76" i="25"/>
  <c r="CE76" i="25" s="1"/>
  <c r="AJ76" i="25"/>
  <c r="AJ269" i="25"/>
  <c r="AM269" i="25"/>
  <c r="CE269" i="25" s="1"/>
  <c r="AM52" i="25"/>
  <c r="AJ52" i="25"/>
  <c r="AM46" i="25"/>
  <c r="BW46" i="25" s="1"/>
  <c r="AJ46" i="25"/>
  <c r="AJ47" i="25"/>
  <c r="AM47" i="25"/>
  <c r="CE47" i="25" s="1"/>
  <c r="AM19" i="25"/>
  <c r="BI19" i="25" s="1"/>
  <c r="AJ19" i="25"/>
  <c r="AM23" i="25"/>
  <c r="BV23" i="25" s="1"/>
  <c r="AJ23" i="25"/>
  <c r="AJ283" i="25"/>
  <c r="AM283" i="25"/>
  <c r="CE283" i="25" s="1"/>
  <c r="AS95" i="25"/>
  <c r="AM169" i="25"/>
  <c r="BW169" i="25" s="1"/>
  <c r="AS99" i="25"/>
  <c r="AM60" i="25"/>
  <c r="BW60" i="25" s="1"/>
  <c r="AJ60" i="25"/>
  <c r="AJ222" i="25"/>
  <c r="AM222" i="25"/>
  <c r="AM96" i="25"/>
  <c r="CE96" i="25" s="1"/>
  <c r="AJ96" i="25"/>
  <c r="AM54" i="25"/>
  <c r="CE54" i="25" s="1"/>
  <c r="AJ54" i="25"/>
  <c r="AJ83" i="25"/>
  <c r="AM83" i="25"/>
  <c r="CE83" i="25" s="1"/>
  <c r="AJ309" i="25"/>
  <c r="AM309" i="25"/>
  <c r="CE309" i="25" s="1"/>
  <c r="AJ307" i="25"/>
  <c r="AM307" i="25"/>
  <c r="CE307" i="25" s="1"/>
  <c r="AJ258" i="25"/>
  <c r="AM258" i="25"/>
  <c r="CE258" i="25" s="1"/>
  <c r="AJ21" i="25"/>
  <c r="AM21" i="25"/>
  <c r="CE21" i="25" s="1"/>
  <c r="AJ40" i="25"/>
  <c r="AM40" i="25"/>
  <c r="AM285" i="25"/>
  <c r="CE285" i="25" s="1"/>
  <c r="AJ285" i="25"/>
  <c r="AS74" i="25"/>
  <c r="AJ167" i="25"/>
  <c r="AM167" i="25"/>
  <c r="BW167" i="25" s="1"/>
  <c r="AM86" i="25"/>
  <c r="CE86" i="25" s="1"/>
  <c r="AJ86" i="25"/>
  <c r="AJ318" i="25"/>
  <c r="AM318" i="25"/>
  <c r="CE318" i="25" s="1"/>
  <c r="AM8" i="25"/>
  <c r="BW8" i="25" s="1"/>
  <c r="AJ8" i="25"/>
  <c r="AJ48" i="25"/>
  <c r="AM48" i="25"/>
  <c r="CE48" i="25" s="1"/>
  <c r="AJ245" i="25"/>
  <c r="AM245" i="25"/>
  <c r="CE245" i="25" s="1"/>
  <c r="AM232" i="25"/>
  <c r="CE232" i="25" s="1"/>
  <c r="AJ232" i="25"/>
  <c r="AM88" i="25"/>
  <c r="BW88" i="25" s="1"/>
  <c r="AJ88" i="25"/>
  <c r="AM199" i="25"/>
  <c r="BW199" i="25" s="1"/>
  <c r="AJ199" i="25"/>
  <c r="AM30" i="25"/>
  <c r="BW30" i="25" s="1"/>
  <c r="AJ30" i="25"/>
  <c r="AJ250" i="25"/>
  <c r="AM250" i="25"/>
  <c r="AM68" i="25"/>
  <c r="AJ68" i="25"/>
  <c r="AM82" i="25"/>
  <c r="CE82" i="25" s="1"/>
  <c r="AJ82" i="25"/>
  <c r="AM73" i="25"/>
  <c r="CE73" i="25" s="1"/>
  <c r="AJ73" i="25"/>
  <c r="AJ240" i="25"/>
  <c r="AM240" i="25"/>
  <c r="CE240" i="25" s="1"/>
  <c r="AM300" i="25"/>
  <c r="CE300" i="25" s="1"/>
  <c r="AJ300" i="25"/>
  <c r="AJ301" i="25"/>
  <c r="AM301" i="25"/>
  <c r="CE301" i="25" s="1"/>
  <c r="AJ175" i="25"/>
  <c r="AM175" i="25"/>
  <c r="BW175" i="25" s="1"/>
  <c r="AM227" i="25"/>
  <c r="AJ227" i="25"/>
  <c r="AM239" i="25"/>
  <c r="AJ239" i="25"/>
  <c r="AS55" i="25"/>
  <c r="AS32" i="25"/>
  <c r="AJ264" i="25"/>
  <c r="AS7" i="25"/>
  <c r="AM77" i="25"/>
  <c r="AJ77" i="25"/>
  <c r="AM63" i="25"/>
  <c r="AJ63" i="25"/>
  <c r="AJ27" i="25"/>
  <c r="AM27" i="25"/>
  <c r="BW27" i="25" s="1"/>
  <c r="AJ80" i="25"/>
  <c r="AM80" i="25"/>
  <c r="BW80" i="25" s="1"/>
  <c r="AJ233" i="25"/>
  <c r="AM233" i="25"/>
  <c r="AM50" i="25"/>
  <c r="BW50" i="25" s="1"/>
  <c r="AJ50" i="25"/>
  <c r="AJ306" i="25"/>
  <c r="AM306" i="25"/>
  <c r="CE306" i="25" s="1"/>
  <c r="AM33" i="25"/>
  <c r="BW33" i="25" s="1"/>
  <c r="AJ33" i="25"/>
  <c r="AM302" i="25"/>
  <c r="CE302" i="25" s="1"/>
  <c r="AJ302" i="25"/>
  <c r="AM234" i="25"/>
  <c r="AJ234" i="25"/>
  <c r="AJ91" i="25"/>
  <c r="AM91" i="25"/>
  <c r="AJ314" i="25"/>
  <c r="AM314" i="25"/>
  <c r="CE314" i="25" s="1"/>
  <c r="AM193" i="25"/>
  <c r="BW193" i="25" s="1"/>
  <c r="AS85" i="25"/>
  <c r="AS77" i="25"/>
  <c r="AM206" i="25"/>
  <c r="BW206" i="25" s="1"/>
  <c r="AM294" i="25"/>
  <c r="CE294" i="25" s="1"/>
  <c r="AJ294" i="25"/>
  <c r="AM42" i="25"/>
  <c r="CE42" i="25" s="1"/>
  <c r="AJ42" i="25"/>
  <c r="AJ44" i="25"/>
  <c r="AM44" i="25"/>
  <c r="CE44" i="25" s="1"/>
  <c r="AM94" i="25"/>
  <c r="CE94" i="25" s="1"/>
  <c r="AJ94" i="25"/>
  <c r="AM317" i="25"/>
  <c r="CE317" i="25" s="1"/>
  <c r="AJ317" i="25"/>
  <c r="AJ111" i="25"/>
  <c r="AM111" i="25"/>
  <c r="BW111" i="25" s="1"/>
  <c r="AT10" i="24"/>
  <c r="AT36" i="24"/>
  <c r="AT78" i="24"/>
  <c r="AT95" i="24"/>
  <c r="AT104" i="24"/>
  <c r="AT27" i="24"/>
  <c r="AK293" i="24"/>
  <c r="AK316" i="24"/>
  <c r="AK246" i="24"/>
  <c r="AK305" i="24"/>
  <c r="AK180" i="24"/>
  <c r="AN180" i="24"/>
  <c r="AK197" i="24"/>
  <c r="AN197" i="24"/>
  <c r="BJ197" i="24" s="1"/>
  <c r="AN175" i="24"/>
  <c r="CD175" i="24" s="1"/>
  <c r="AK175" i="24"/>
  <c r="AK178" i="24"/>
  <c r="AN178" i="24"/>
  <c r="AK127" i="24"/>
  <c r="AN127" i="24"/>
  <c r="BU127" i="24" s="1"/>
  <c r="AK200" i="24"/>
  <c r="AN200" i="24"/>
  <c r="AK124" i="24"/>
  <c r="AN124" i="24"/>
  <c r="AK138" i="24"/>
  <c r="AN138" i="24"/>
  <c r="CD138" i="24" s="1"/>
  <c r="AK129" i="24"/>
  <c r="AN129" i="24"/>
  <c r="AN135" i="24"/>
  <c r="CD135" i="24" s="1"/>
  <c r="AK135" i="24"/>
  <c r="AK173" i="24"/>
  <c r="AN173" i="24"/>
  <c r="AK118" i="24"/>
  <c r="AN118" i="24"/>
  <c r="AN164" i="24"/>
  <c r="AK164" i="24"/>
  <c r="AK121" i="24"/>
  <c r="AN121" i="24"/>
  <c r="BU121" i="24" s="1"/>
  <c r="AK202" i="24"/>
  <c r="AN202" i="24"/>
  <c r="AN301" i="24"/>
  <c r="CD301" i="24" s="1"/>
  <c r="AN111" i="24"/>
  <c r="AX111" i="24" s="1"/>
  <c r="AK111" i="24"/>
  <c r="AK160" i="24"/>
  <c r="AN160" i="24"/>
  <c r="AN126" i="24"/>
  <c r="AK126" i="24"/>
  <c r="AN140" i="24"/>
  <c r="AK140" i="24"/>
  <c r="AN293" i="24"/>
  <c r="AK317" i="24"/>
  <c r="AK231" i="24"/>
  <c r="AN317" i="24"/>
  <c r="AN246" i="24"/>
  <c r="CD246" i="24" s="1"/>
  <c r="AN316" i="24"/>
  <c r="CD316" i="24" s="1"/>
  <c r="AN223" i="24"/>
  <c r="AK223" i="24"/>
  <c r="AK225" i="24"/>
  <c r="AN225" i="24"/>
  <c r="AN217" i="24"/>
  <c r="AK217" i="24"/>
  <c r="AN248" i="24"/>
  <c r="AK248" i="24"/>
  <c r="AK265" i="24"/>
  <c r="AN265" i="24"/>
  <c r="AK286" i="24"/>
  <c r="AN286" i="24"/>
  <c r="CD286" i="24" s="1"/>
  <c r="AK222" i="24"/>
  <c r="AN222" i="24"/>
  <c r="AK251" i="24"/>
  <c r="AN251" i="24"/>
  <c r="CD251" i="24" s="1"/>
  <c r="AK308" i="24"/>
  <c r="AN308" i="24"/>
  <c r="CD308" i="24" s="1"/>
  <c r="AK236" i="24"/>
  <c r="AN236" i="24"/>
  <c r="AN224" i="24"/>
  <c r="AK224" i="24"/>
  <c r="AN303" i="24"/>
  <c r="CD303" i="24" s="1"/>
  <c r="AK303" i="24"/>
  <c r="AK267" i="24"/>
  <c r="AN267" i="24"/>
  <c r="AN275" i="24"/>
  <c r="CD275" i="24" s="1"/>
  <c r="AK275" i="24"/>
  <c r="AK276" i="24"/>
  <c r="AN276" i="24"/>
  <c r="CD276" i="24" s="1"/>
  <c r="AN298" i="24"/>
  <c r="CD298" i="24" s="1"/>
  <c r="AK298" i="24"/>
  <c r="AN280" i="24"/>
  <c r="CD280" i="24" s="1"/>
  <c r="AK280" i="24"/>
  <c r="AN260" i="24"/>
  <c r="CD260" i="24" s="1"/>
  <c r="AK260" i="24"/>
  <c r="AK237" i="24"/>
  <c r="AN237" i="24"/>
  <c r="CD237" i="24" s="1"/>
  <c r="AN289" i="24"/>
  <c r="CD289" i="24" s="1"/>
  <c r="AK289" i="24"/>
  <c r="AK257" i="24"/>
  <c r="AN257" i="24"/>
  <c r="CD257" i="24" s="1"/>
  <c r="AK259" i="24"/>
  <c r="AN259" i="24"/>
  <c r="AK234" i="24"/>
  <c r="AN234" i="24"/>
  <c r="CD234" i="24" s="1"/>
  <c r="AN315" i="24"/>
  <c r="CD315" i="24" s="1"/>
  <c r="AK274" i="24"/>
  <c r="AN274" i="24"/>
  <c r="CD274" i="24" s="1"/>
  <c r="AN244" i="24"/>
  <c r="CD244" i="24" s="1"/>
  <c r="AK244" i="24"/>
  <c r="AN221" i="24"/>
  <c r="AK221" i="24"/>
  <c r="AN229" i="24"/>
  <c r="AK229" i="24"/>
  <c r="AK230" i="24"/>
  <c r="AN230" i="24"/>
  <c r="AK311" i="24"/>
  <c r="AN311" i="24"/>
  <c r="CD311" i="24" s="1"/>
  <c r="AN288" i="24"/>
  <c r="CD288" i="24" s="1"/>
  <c r="AK288" i="24"/>
  <c r="AN219" i="24"/>
  <c r="AK219" i="24"/>
  <c r="AK295" i="24"/>
  <c r="AN295" i="24"/>
  <c r="CD295" i="24" s="1"/>
  <c r="AK272" i="24"/>
  <c r="AN272" i="24"/>
  <c r="CD272" i="24" s="1"/>
  <c r="AK228" i="24"/>
  <c r="AN228" i="24"/>
  <c r="CD228" i="24" s="1"/>
  <c r="AN252" i="24"/>
  <c r="CD252" i="24" s="1"/>
  <c r="AK252" i="24"/>
  <c r="AN294" i="24"/>
  <c r="CD294" i="24" s="1"/>
  <c r="AK294" i="24"/>
  <c r="AK242" i="24"/>
  <c r="AN242" i="24"/>
  <c r="CD242" i="24" s="1"/>
  <c r="AK220" i="24"/>
  <c r="AN220" i="24"/>
  <c r="CD220" i="24" s="1"/>
  <c r="AK235" i="24"/>
  <c r="AN235" i="24"/>
  <c r="CD235" i="24" s="1"/>
  <c r="AK255" i="24"/>
  <c r="AN255" i="24"/>
  <c r="AN287" i="24"/>
  <c r="CD287" i="24" s="1"/>
  <c r="AK287" i="24"/>
  <c r="AK301" i="24"/>
  <c r="AK310" i="24"/>
  <c r="AN310" i="24"/>
  <c r="CD310" i="24" s="1"/>
  <c r="AK304" i="24"/>
  <c r="AN304" i="24"/>
  <c r="CD304" i="24" s="1"/>
  <c r="AN302" i="24"/>
  <c r="AK302" i="24"/>
  <c r="AN269" i="24"/>
  <c r="CD269" i="24" s="1"/>
  <c r="AK269" i="24"/>
  <c r="AK240" i="24"/>
  <c r="AN240" i="24"/>
  <c r="AK241" i="24"/>
  <c r="AN241" i="24"/>
  <c r="CD241" i="24" s="1"/>
  <c r="AN305" i="24"/>
  <c r="CD305" i="24" s="1"/>
  <c r="AK315" i="24"/>
  <c r="AN273" i="24"/>
  <c r="AK273" i="24"/>
  <c r="AN231" i="24"/>
  <c r="CD231" i="24" s="1"/>
  <c r="BQ106" i="19"/>
  <c r="AM265" i="25" l="1"/>
  <c r="AJ279" i="25"/>
  <c r="AJ163" i="25"/>
  <c r="AJ286" i="25"/>
  <c r="AJ182" i="25"/>
  <c r="AM121" i="25"/>
  <c r="BW121" i="25" s="1"/>
  <c r="AM281" i="25"/>
  <c r="CE281" i="25" s="1"/>
  <c r="AJ130" i="25"/>
  <c r="AM155" i="25"/>
  <c r="BW155" i="25" s="1"/>
  <c r="AJ243" i="25"/>
  <c r="AJ259" i="25"/>
  <c r="AJ303" i="25"/>
  <c r="AJ177" i="25"/>
  <c r="AJ137" i="25"/>
  <c r="AJ191" i="25"/>
  <c r="AM186" i="25"/>
  <c r="BW186" i="25" s="1"/>
  <c r="AJ192" i="25"/>
  <c r="AJ308" i="25"/>
  <c r="AM316" i="25"/>
  <c r="CE316" i="25" s="1"/>
  <c r="AJ190" i="25"/>
  <c r="AJ204" i="25"/>
  <c r="AJ261" i="25"/>
  <c r="AM141" i="25"/>
  <c r="BW141" i="25" s="1"/>
  <c r="AM129" i="25"/>
  <c r="BW129" i="25" s="1"/>
  <c r="AJ304" i="25"/>
  <c r="AM152" i="25"/>
  <c r="BW152" i="25" s="1"/>
  <c r="AM157" i="25"/>
  <c r="BW157" i="25" s="1"/>
  <c r="AJ203" i="25"/>
  <c r="AM171" i="25"/>
  <c r="BW171" i="25" s="1"/>
  <c r="AM149" i="25"/>
  <c r="BW149" i="25" s="1"/>
  <c r="AJ237" i="25"/>
  <c r="AM249" i="25"/>
  <c r="CE249" i="25" s="1"/>
  <c r="AJ183" i="25"/>
  <c r="AM224" i="25"/>
  <c r="AP224" i="25" s="1"/>
  <c r="AM195" i="25"/>
  <c r="BW195" i="25" s="1"/>
  <c r="AM290" i="25"/>
  <c r="CE290" i="25" s="1"/>
  <c r="AM248" i="25"/>
  <c r="CE248" i="25" s="1"/>
  <c r="AJ164" i="25"/>
  <c r="AM140" i="25"/>
  <c r="BW140" i="25" s="1"/>
  <c r="AJ205" i="25"/>
  <c r="AM202" i="25"/>
  <c r="BW202" i="25" s="1"/>
  <c r="AM185" i="25"/>
  <c r="BW185" i="25" s="1"/>
  <c r="AJ247" i="25"/>
  <c r="AM145" i="25"/>
  <c r="BW145" i="25" s="1"/>
  <c r="AM170" i="25"/>
  <c r="BW170" i="25" s="1"/>
  <c r="AM229" i="25"/>
  <c r="CE229" i="25" s="1"/>
  <c r="AJ118" i="25"/>
  <c r="AM228" i="25"/>
  <c r="AP228" i="25" s="1"/>
  <c r="AM312" i="25"/>
  <c r="CE312" i="25" s="1"/>
  <c r="AM278" i="25"/>
  <c r="CE278" i="25" s="1"/>
  <c r="AM238" i="25"/>
  <c r="CE238" i="25" s="1"/>
  <c r="AJ122" i="25"/>
  <c r="AJ180" i="25"/>
  <c r="AJ187" i="25"/>
  <c r="AM271" i="25"/>
  <c r="CE271" i="25" s="1"/>
  <c r="AJ256" i="25"/>
  <c r="AJ150" i="25"/>
  <c r="AJ120" i="25"/>
  <c r="AJ159" i="25"/>
  <c r="AM151" i="25"/>
  <c r="BW151" i="25" s="1"/>
  <c r="AJ296" i="25"/>
  <c r="AM179" i="25"/>
  <c r="BW179" i="25" s="1"/>
  <c r="AJ194" i="25"/>
  <c r="AJ124" i="25"/>
  <c r="AM208" i="25"/>
  <c r="BW208" i="25" s="1"/>
  <c r="AM196" i="25"/>
  <c r="BW196" i="25" s="1"/>
  <c r="AJ134" i="25"/>
  <c r="AM166" i="25"/>
  <c r="BW166" i="25" s="1"/>
  <c r="AJ266" i="25"/>
  <c r="AJ168" i="25"/>
  <c r="AM244" i="25"/>
  <c r="CE244" i="25" s="1"/>
  <c r="AM260" i="25"/>
  <c r="CE260" i="25" s="1"/>
  <c r="AM209" i="25"/>
  <c r="BW209" i="25" s="1"/>
  <c r="AM298" i="25"/>
  <c r="CE298" i="25" s="1"/>
  <c r="AJ257" i="25"/>
  <c r="AM176" i="25"/>
  <c r="BW176" i="25" s="1"/>
  <c r="AJ114" i="25"/>
  <c r="AJ254" i="25"/>
  <c r="AM158" i="25"/>
  <c r="BW158" i="25" s="1"/>
  <c r="AM143" i="25"/>
  <c r="BW143" i="25" s="1"/>
  <c r="AM127" i="25"/>
  <c r="BW127" i="25" s="1"/>
  <c r="AM313" i="25"/>
  <c r="CE313" i="25" s="1"/>
  <c r="AM131" i="25"/>
  <c r="BJ131" i="25" s="1"/>
  <c r="AM123" i="25"/>
  <c r="BW123" i="25" s="1"/>
  <c r="AJ200" i="25"/>
  <c r="AJ144" i="25"/>
  <c r="AM181" i="25"/>
  <c r="BW181" i="25" s="1"/>
  <c r="AJ146" i="25"/>
  <c r="AM198" i="25"/>
  <c r="BW198" i="25" s="1"/>
  <c r="AM272" i="25"/>
  <c r="CE272" i="25" s="1"/>
  <c r="AM197" i="25"/>
  <c r="BW197" i="25" s="1"/>
  <c r="AM242" i="25"/>
  <c r="CE242" i="25" s="1"/>
  <c r="AJ147" i="25"/>
  <c r="AM113" i="25"/>
  <c r="BW113" i="25" s="1"/>
  <c r="AJ162" i="25"/>
  <c r="AJ230" i="25"/>
  <c r="AJ154" i="25"/>
  <c r="AJ207" i="25"/>
  <c r="AM148" i="25"/>
  <c r="BW148" i="25" s="1"/>
  <c r="AM221" i="25"/>
  <c r="AR221" i="25" s="1"/>
  <c r="AK83" i="24"/>
  <c r="AJ201" i="25"/>
  <c r="AJ128" i="25"/>
  <c r="AJ311" i="25"/>
  <c r="AJ292" i="25"/>
  <c r="AM125" i="25"/>
  <c r="BW125" i="25" s="1"/>
  <c r="AM126" i="25"/>
  <c r="BW126" i="25" s="1"/>
  <c r="AK239" i="24"/>
  <c r="AJ132" i="25"/>
  <c r="AM172" i="25"/>
  <c r="BW172" i="25" s="1"/>
  <c r="AJ255" i="25"/>
  <c r="AM156" i="25"/>
  <c r="BW156" i="25" s="1"/>
  <c r="AK110" i="24"/>
  <c r="AM210" i="25"/>
  <c r="BW210" i="25" s="1"/>
  <c r="AJ139" i="25"/>
  <c r="AM133" i="25"/>
  <c r="BJ133" i="25" s="1"/>
  <c r="AM184" i="25"/>
  <c r="BW184" i="25" s="1"/>
  <c r="AN74" i="24"/>
  <c r="CD74" i="24" s="1"/>
  <c r="AK238" i="24"/>
  <c r="AN282" i="24"/>
  <c r="AQ282" i="24" s="1"/>
  <c r="AK128" i="24"/>
  <c r="BV104" i="24"/>
  <c r="AQ104" i="24"/>
  <c r="AG43" i="24"/>
  <c r="AK43" i="24" s="1"/>
  <c r="AF43" i="24"/>
  <c r="BU145" i="24"/>
  <c r="CD145" i="24"/>
  <c r="AX53" i="24"/>
  <c r="CD53" i="24"/>
  <c r="BW120" i="25"/>
  <c r="CE120" i="25"/>
  <c r="AX120" i="24"/>
  <c r="CD120" i="24"/>
  <c r="CE133" i="25"/>
  <c r="BW137" i="25"/>
  <c r="CE137" i="25"/>
  <c r="BW35" i="25"/>
  <c r="CE35" i="25"/>
  <c r="AK203" i="24"/>
  <c r="AK307" i="24"/>
  <c r="AX83" i="24"/>
  <c r="CD83" i="24"/>
  <c r="Y212" i="24"/>
  <c r="X212" i="24"/>
  <c r="AA212" i="24" s="1"/>
  <c r="AB212" i="24" s="1"/>
  <c r="AC212" i="24" s="1"/>
  <c r="AE212" i="24"/>
  <c r="AI212" i="24"/>
  <c r="BW124" i="25"/>
  <c r="CE124" i="25"/>
  <c r="BI18" i="25"/>
  <c r="CE18" i="25"/>
  <c r="BK18" i="24"/>
  <c r="CD18" i="24"/>
  <c r="AK208" i="24"/>
  <c r="CE131" i="25"/>
  <c r="BW162" i="25"/>
  <c r="CE162" i="25"/>
  <c r="BI77" i="25"/>
  <c r="CE77" i="25"/>
  <c r="BW71" i="25"/>
  <c r="CE71" i="25"/>
  <c r="AK181" i="24"/>
  <c r="BV66" i="25"/>
  <c r="CE66" i="25"/>
  <c r="BW91" i="25"/>
  <c r="CE91" i="25"/>
  <c r="BV85" i="25"/>
  <c r="CE85" i="25"/>
  <c r="BV85" i="24"/>
  <c r="CD85" i="24"/>
  <c r="BV143" i="24"/>
  <c r="CD143" i="24"/>
  <c r="BW41" i="25"/>
  <c r="CE41" i="25"/>
  <c r="BW62" i="25"/>
  <c r="CE62" i="25"/>
  <c r="BW56" i="25"/>
  <c r="CE56" i="25"/>
  <c r="BW68" i="25"/>
  <c r="CE68" i="25"/>
  <c r="BW31" i="25"/>
  <c r="CE31" i="25"/>
  <c r="BW52" i="25"/>
  <c r="CE52" i="25"/>
  <c r="BW40" i="25"/>
  <c r="CE40" i="25"/>
  <c r="BW63" i="25"/>
  <c r="CE63" i="25"/>
  <c r="BV89" i="25"/>
  <c r="CE89" i="25"/>
  <c r="BW135" i="25"/>
  <c r="CE135" i="25"/>
  <c r="BW100" i="25"/>
  <c r="BW79" i="25"/>
  <c r="BW34" i="25"/>
  <c r="BW64" i="25"/>
  <c r="BW104" i="25"/>
  <c r="BW20" i="25"/>
  <c r="BW51" i="25"/>
  <c r="BW7" i="25"/>
  <c r="BW48" i="25"/>
  <c r="BW70" i="25"/>
  <c r="BW83" i="25"/>
  <c r="BW105" i="25"/>
  <c r="BW87" i="25"/>
  <c r="BW53" i="25"/>
  <c r="BW94" i="25"/>
  <c r="BW96" i="25"/>
  <c r="BW54" i="25"/>
  <c r="BW26" i="25"/>
  <c r="BW67" i="25"/>
  <c r="BW10" i="25"/>
  <c r="BW14" i="25"/>
  <c r="BW17" i="25"/>
  <c r="BW57" i="25"/>
  <c r="BW101" i="25"/>
  <c r="BW21" i="25"/>
  <c r="BW92" i="25"/>
  <c r="BW49" i="25"/>
  <c r="BW45" i="25"/>
  <c r="BW93" i="25"/>
  <c r="BW19" i="25"/>
  <c r="BW85" i="25"/>
  <c r="BW103" i="25"/>
  <c r="BW102" i="25"/>
  <c r="BW38" i="25"/>
  <c r="BW77" i="25"/>
  <c r="BW61" i="25"/>
  <c r="BW47" i="25"/>
  <c r="BW29" i="25"/>
  <c r="BW89" i="25"/>
  <c r="BW37" i="25"/>
  <c r="BW78" i="25"/>
  <c r="BW42" i="25"/>
  <c r="BW76" i="25"/>
  <c r="BW6" i="25"/>
  <c r="BW18" i="25"/>
  <c r="BW99" i="25"/>
  <c r="BW86" i="25"/>
  <c r="BW44" i="25"/>
  <c r="BW97" i="25"/>
  <c r="BW12" i="25"/>
  <c r="BW81" i="25"/>
  <c r="BW173" i="25"/>
  <c r="BW73" i="25"/>
  <c r="BW36" i="25"/>
  <c r="BW16" i="25"/>
  <c r="BW23" i="25"/>
  <c r="BW69" i="25"/>
  <c r="BW59" i="25"/>
  <c r="BW82" i="25"/>
  <c r="BW66" i="25"/>
  <c r="BV151" i="24"/>
  <c r="CE206" i="25"/>
  <c r="BI206" i="25"/>
  <c r="BV206" i="25"/>
  <c r="BJ206" i="25"/>
  <c r="BK206" i="25"/>
  <c r="CE193" i="25"/>
  <c r="BJ193" i="25"/>
  <c r="BK193" i="25"/>
  <c r="BI193" i="25"/>
  <c r="BV193" i="25"/>
  <c r="CE164" i="25"/>
  <c r="BK164" i="25"/>
  <c r="BJ164" i="25"/>
  <c r="BV164" i="25"/>
  <c r="BI164" i="25"/>
  <c r="CE147" i="25"/>
  <c r="BI147" i="25"/>
  <c r="BJ147" i="25"/>
  <c r="BV147" i="25"/>
  <c r="BK147" i="25"/>
  <c r="CE134" i="25"/>
  <c r="BJ134" i="25"/>
  <c r="BV134" i="25"/>
  <c r="BK134" i="25"/>
  <c r="BI134" i="25"/>
  <c r="CE190" i="25"/>
  <c r="BI190" i="25"/>
  <c r="BV190" i="25"/>
  <c r="BJ190" i="25"/>
  <c r="BK190" i="25"/>
  <c r="CE199" i="25"/>
  <c r="BI199" i="25"/>
  <c r="BJ199" i="25"/>
  <c r="BV199" i="25"/>
  <c r="BK199" i="25"/>
  <c r="BI118" i="25"/>
  <c r="BV118" i="25"/>
  <c r="BJ118" i="25"/>
  <c r="BK118" i="25"/>
  <c r="CE201" i="25"/>
  <c r="BV201" i="25"/>
  <c r="BI201" i="25"/>
  <c r="BJ201" i="25"/>
  <c r="BK201" i="25"/>
  <c r="BJ137" i="25"/>
  <c r="BV137" i="25"/>
  <c r="BI137" i="25"/>
  <c r="BK137" i="25"/>
  <c r="CE140" i="25"/>
  <c r="CE179" i="25"/>
  <c r="CE195" i="25"/>
  <c r="CE142" i="25"/>
  <c r="BI142" i="25"/>
  <c r="BV142" i="25"/>
  <c r="BJ142" i="25"/>
  <c r="BK142" i="25"/>
  <c r="CE181" i="25"/>
  <c r="BI120" i="25"/>
  <c r="BK120" i="25"/>
  <c r="BJ120" i="25"/>
  <c r="BV120" i="25"/>
  <c r="CE176" i="25"/>
  <c r="CE188" i="25"/>
  <c r="BI188" i="25"/>
  <c r="BK188" i="25"/>
  <c r="BJ188" i="25"/>
  <c r="BV188" i="25"/>
  <c r="BI114" i="25"/>
  <c r="BV114" i="25"/>
  <c r="BK114" i="25"/>
  <c r="BJ114" i="25"/>
  <c r="CE129" i="25"/>
  <c r="CE200" i="25"/>
  <c r="BI200" i="25"/>
  <c r="BK200" i="25"/>
  <c r="BJ200" i="25"/>
  <c r="BV200" i="25"/>
  <c r="CE196" i="25"/>
  <c r="CE170" i="25"/>
  <c r="CE139" i="25"/>
  <c r="BV139" i="25"/>
  <c r="BI139" i="25"/>
  <c r="BJ139" i="25"/>
  <c r="BK139" i="25"/>
  <c r="CE180" i="25"/>
  <c r="BJ180" i="25"/>
  <c r="BK180" i="25"/>
  <c r="BV180" i="25"/>
  <c r="BI180" i="25"/>
  <c r="CE116" i="25"/>
  <c r="BK116" i="25"/>
  <c r="BI116" i="25"/>
  <c r="BV116" i="25"/>
  <c r="BJ116" i="25"/>
  <c r="CE156" i="25"/>
  <c r="CE204" i="25"/>
  <c r="BI204" i="25"/>
  <c r="BJ204" i="25"/>
  <c r="BV204" i="25"/>
  <c r="BK204" i="25"/>
  <c r="BJ124" i="25"/>
  <c r="BV124" i="25"/>
  <c r="BK124" i="25"/>
  <c r="BI124" i="25"/>
  <c r="CE146" i="25"/>
  <c r="BI146" i="25"/>
  <c r="BJ146" i="25"/>
  <c r="BK146" i="25"/>
  <c r="BV146" i="25"/>
  <c r="CE205" i="25"/>
  <c r="BI205" i="25"/>
  <c r="BJ205" i="25"/>
  <c r="BV205" i="25"/>
  <c r="BK205" i="25"/>
  <c r="CE203" i="25"/>
  <c r="BI203" i="25"/>
  <c r="BV203" i="25"/>
  <c r="BJ203" i="25"/>
  <c r="BK203" i="25"/>
  <c r="CE192" i="25"/>
  <c r="BI192" i="25"/>
  <c r="BJ192" i="25"/>
  <c r="BV192" i="25"/>
  <c r="BK192" i="25"/>
  <c r="CE169" i="25"/>
  <c r="BJ169" i="25"/>
  <c r="BK169" i="25"/>
  <c r="BI169" i="25"/>
  <c r="BV169" i="25"/>
  <c r="CE130" i="25"/>
  <c r="BI130" i="25"/>
  <c r="BJ130" i="25"/>
  <c r="BV130" i="25"/>
  <c r="BK130" i="25"/>
  <c r="CE185" i="25"/>
  <c r="CE198" i="25"/>
  <c r="CE168" i="25"/>
  <c r="BI168" i="25"/>
  <c r="BJ168" i="25"/>
  <c r="BK168" i="25"/>
  <c r="BV168" i="25"/>
  <c r="CE115" i="25"/>
  <c r="BI115" i="25"/>
  <c r="BJ115" i="25"/>
  <c r="BV115" i="25"/>
  <c r="BK115" i="25"/>
  <c r="BI117" i="25"/>
  <c r="BJ117" i="25"/>
  <c r="BK117" i="25"/>
  <c r="BV117" i="25"/>
  <c r="CE128" i="25"/>
  <c r="BK128" i="25"/>
  <c r="BI128" i="25"/>
  <c r="BV128" i="25"/>
  <c r="BJ128" i="25"/>
  <c r="CE150" i="25"/>
  <c r="BJ150" i="25"/>
  <c r="BK150" i="25"/>
  <c r="BV150" i="25"/>
  <c r="BI150" i="25"/>
  <c r="CE151" i="25"/>
  <c r="CE184" i="25"/>
  <c r="CE186" i="25"/>
  <c r="CE194" i="25"/>
  <c r="BK194" i="25"/>
  <c r="BV194" i="25"/>
  <c r="BI194" i="25"/>
  <c r="BJ194" i="25"/>
  <c r="CE210" i="25"/>
  <c r="CE157" i="25"/>
  <c r="BK157" i="25"/>
  <c r="BV157" i="25"/>
  <c r="CE174" i="25"/>
  <c r="BI174" i="25"/>
  <c r="BK174" i="25"/>
  <c r="BJ174" i="25"/>
  <c r="BV174" i="25"/>
  <c r="CE132" i="25"/>
  <c r="BI132" i="25"/>
  <c r="BJ132" i="25"/>
  <c r="BK132" i="25"/>
  <c r="BV132" i="25"/>
  <c r="CE111" i="25"/>
  <c r="BI111" i="25"/>
  <c r="BV111" i="25"/>
  <c r="BJ111" i="25"/>
  <c r="BK111" i="25"/>
  <c r="CE207" i="25"/>
  <c r="BI207" i="25"/>
  <c r="BK207" i="25"/>
  <c r="BV207" i="25"/>
  <c r="BJ207" i="25"/>
  <c r="CE125" i="25"/>
  <c r="CE197" i="25"/>
  <c r="CE183" i="25"/>
  <c r="BJ183" i="25"/>
  <c r="BK183" i="25"/>
  <c r="BI183" i="25"/>
  <c r="BV183" i="25"/>
  <c r="CE145" i="25"/>
  <c r="CE202" i="25"/>
  <c r="CE148" i="25"/>
  <c r="CE141" i="25"/>
  <c r="CE149" i="25"/>
  <c r="CE126" i="25"/>
  <c r="CE165" i="25"/>
  <c r="BJ165" i="25"/>
  <c r="BV165" i="25"/>
  <c r="BI165" i="25"/>
  <c r="BK165" i="25"/>
  <c r="CE152" i="25"/>
  <c r="CE158" i="25"/>
  <c r="CE121" i="25"/>
  <c r="BJ121" i="25"/>
  <c r="BK121" i="25"/>
  <c r="BI121" i="25"/>
  <c r="BV121" i="25"/>
  <c r="CE143" i="25"/>
  <c r="CE136" i="25"/>
  <c r="BJ136" i="25"/>
  <c r="BV136" i="25"/>
  <c r="BI136" i="25"/>
  <c r="BK136" i="25"/>
  <c r="CE138" i="25"/>
  <c r="BK138" i="25"/>
  <c r="BI138" i="25"/>
  <c r="BV138" i="25"/>
  <c r="BJ138" i="25"/>
  <c r="CE189" i="25"/>
  <c r="BI189" i="25"/>
  <c r="BJ189" i="25"/>
  <c r="BV189" i="25"/>
  <c r="BK189" i="25"/>
  <c r="CE123" i="25"/>
  <c r="CE175" i="25"/>
  <c r="BI175" i="25"/>
  <c r="BV175" i="25"/>
  <c r="BK175" i="25"/>
  <c r="BJ175" i="25"/>
  <c r="CE163" i="25"/>
  <c r="BK163" i="25"/>
  <c r="BI163" i="25"/>
  <c r="BV163" i="25"/>
  <c r="BJ163" i="25"/>
  <c r="CE172" i="25"/>
  <c r="CE209" i="25"/>
  <c r="CE167" i="25"/>
  <c r="BK167" i="25"/>
  <c r="BV167" i="25"/>
  <c r="BJ167" i="25"/>
  <c r="BI167" i="25"/>
  <c r="CE187" i="25"/>
  <c r="BK187" i="25"/>
  <c r="BJ187" i="25"/>
  <c r="BV187" i="25"/>
  <c r="BI187" i="25"/>
  <c r="CE154" i="25"/>
  <c r="BK154" i="25"/>
  <c r="BJ154" i="25"/>
  <c r="BV154" i="25"/>
  <c r="BI154" i="25"/>
  <c r="CE161" i="25"/>
  <c r="BK161" i="25"/>
  <c r="BJ161" i="25"/>
  <c r="BV161" i="25"/>
  <c r="BI161" i="25"/>
  <c r="CE119" i="25"/>
  <c r="BJ119" i="25"/>
  <c r="BI119" i="25"/>
  <c r="BV119" i="25"/>
  <c r="BK119" i="25"/>
  <c r="CE177" i="25"/>
  <c r="BJ177" i="25"/>
  <c r="BV177" i="25"/>
  <c r="BK177" i="25"/>
  <c r="BI177" i="25"/>
  <c r="CE144" i="25"/>
  <c r="BK144" i="25"/>
  <c r="BJ144" i="25"/>
  <c r="BI144" i="25"/>
  <c r="BV144" i="25"/>
  <c r="BK122" i="25"/>
  <c r="BJ122" i="25"/>
  <c r="BV122" i="25"/>
  <c r="BI122" i="25"/>
  <c r="CE160" i="25"/>
  <c r="BI160" i="25"/>
  <c r="BV160" i="25"/>
  <c r="BJ160" i="25"/>
  <c r="BK160" i="25"/>
  <c r="CE191" i="25"/>
  <c r="BI191" i="25"/>
  <c r="BV191" i="25"/>
  <c r="BJ191" i="25"/>
  <c r="BK191" i="25"/>
  <c r="CE171" i="25"/>
  <c r="BK112" i="25"/>
  <c r="BI112" i="25"/>
  <c r="BJ112" i="25"/>
  <c r="BV112" i="25"/>
  <c r="CE182" i="25"/>
  <c r="BJ182" i="25"/>
  <c r="BK182" i="25"/>
  <c r="BV182" i="25"/>
  <c r="BI182" i="25"/>
  <c r="CE155" i="25"/>
  <c r="CE178" i="25"/>
  <c r="BI178" i="25"/>
  <c r="BJ178" i="25"/>
  <c r="BV178" i="25"/>
  <c r="BK178" i="25"/>
  <c r="CE153" i="25"/>
  <c r="BK153" i="25"/>
  <c r="BJ153" i="25"/>
  <c r="BI153" i="25"/>
  <c r="BV153" i="25"/>
  <c r="BJ135" i="25"/>
  <c r="BK135" i="25"/>
  <c r="BV135" i="25"/>
  <c r="BI135" i="25"/>
  <c r="CE159" i="25"/>
  <c r="BJ159" i="25"/>
  <c r="BV159" i="25"/>
  <c r="BI159" i="25"/>
  <c r="BK159" i="25"/>
  <c r="BI173" i="25"/>
  <c r="BV173" i="25"/>
  <c r="BJ173" i="25"/>
  <c r="BK173" i="25"/>
  <c r="CE127" i="25"/>
  <c r="BK162" i="25"/>
  <c r="BV162" i="25"/>
  <c r="BJ162" i="25"/>
  <c r="BI162" i="25"/>
  <c r="AX154" i="24"/>
  <c r="BJ142" i="24"/>
  <c r="BJ139" i="24"/>
  <c r="BJ121" i="24"/>
  <c r="BJ179" i="24"/>
  <c r="AX143" i="24"/>
  <c r="BJ171" i="24"/>
  <c r="BJ158" i="24"/>
  <c r="BU120" i="24"/>
  <c r="BJ185" i="24"/>
  <c r="BV183" i="24"/>
  <c r="AX197" i="24"/>
  <c r="BU154" i="24"/>
  <c r="AX127" i="24"/>
  <c r="BV125" i="24"/>
  <c r="BJ145" i="24"/>
  <c r="AX139" i="24"/>
  <c r="AX179" i="24"/>
  <c r="BV145" i="24"/>
  <c r="BV142" i="24"/>
  <c r="BV139" i="24"/>
  <c r="CD164" i="24"/>
  <c r="BK164" i="24"/>
  <c r="BL164" i="24"/>
  <c r="BJ164" i="24"/>
  <c r="AX164" i="24"/>
  <c r="BU164" i="24"/>
  <c r="BV164" i="24"/>
  <c r="BK175" i="24"/>
  <c r="BL175" i="24"/>
  <c r="BU175" i="24"/>
  <c r="AX175" i="24"/>
  <c r="BV175" i="24"/>
  <c r="BJ175" i="24"/>
  <c r="CD201" i="24"/>
  <c r="BK201" i="24"/>
  <c r="BL201" i="24"/>
  <c r="AT116" i="24"/>
  <c r="BU116" i="24"/>
  <c r="BV116" i="24"/>
  <c r="BJ116" i="24"/>
  <c r="AX116" i="24"/>
  <c r="BK113" i="24"/>
  <c r="BL113" i="24"/>
  <c r="BU113" i="24"/>
  <c r="BV113" i="24"/>
  <c r="AX113" i="24"/>
  <c r="BJ113" i="24"/>
  <c r="AT136" i="24"/>
  <c r="CD144" i="24"/>
  <c r="BK144" i="24"/>
  <c r="BL144" i="24"/>
  <c r="BU144" i="24"/>
  <c r="BJ144" i="24"/>
  <c r="BV144" i="24"/>
  <c r="AT148" i="24"/>
  <c r="BU148" i="24"/>
  <c r="BV148" i="24"/>
  <c r="BJ148" i="24"/>
  <c r="AX148" i="24"/>
  <c r="AT169" i="24"/>
  <c r="AT181" i="24"/>
  <c r="AT208" i="24"/>
  <c r="CD190" i="24"/>
  <c r="BK190" i="24"/>
  <c r="BL190" i="24"/>
  <c r="BU190" i="24"/>
  <c r="BV190" i="24"/>
  <c r="AX190" i="24"/>
  <c r="BJ190" i="24"/>
  <c r="BK148" i="24"/>
  <c r="BL148" i="24"/>
  <c r="CD126" i="24"/>
  <c r="BK126" i="24"/>
  <c r="BL126" i="24"/>
  <c r="BV126" i="24"/>
  <c r="BJ126" i="24"/>
  <c r="BU126" i="24"/>
  <c r="AX126" i="24"/>
  <c r="CD111" i="24"/>
  <c r="BK111" i="24"/>
  <c r="BL111" i="24"/>
  <c r="BL118" i="24"/>
  <c r="BK118" i="24"/>
  <c r="BV118" i="24"/>
  <c r="AX118" i="24"/>
  <c r="BU118" i="24"/>
  <c r="BJ118" i="24"/>
  <c r="AQ200" i="24"/>
  <c r="BK200" i="24"/>
  <c r="BL200" i="24"/>
  <c r="AX200" i="24"/>
  <c r="BJ200" i="24"/>
  <c r="BV200" i="24"/>
  <c r="BU200" i="24"/>
  <c r="CD178" i="24"/>
  <c r="BK178" i="24"/>
  <c r="BL178" i="24"/>
  <c r="BU178" i="24"/>
  <c r="AX178" i="24"/>
  <c r="BJ178" i="24"/>
  <c r="BV178" i="24"/>
  <c r="CD197" i="24"/>
  <c r="BK197" i="24"/>
  <c r="BL197" i="24"/>
  <c r="BL116" i="24"/>
  <c r="BK116" i="24"/>
  <c r="AT123" i="24"/>
  <c r="AT122" i="24"/>
  <c r="CD177" i="24"/>
  <c r="BK177" i="24"/>
  <c r="BL177" i="24"/>
  <c r="BK137" i="24"/>
  <c r="BL137" i="24"/>
  <c r="BK143" i="24"/>
  <c r="BL143" i="24"/>
  <c r="BK120" i="24"/>
  <c r="BL120" i="24"/>
  <c r="BL153" i="24"/>
  <c r="BK153" i="24"/>
  <c r="CD171" i="24"/>
  <c r="BK171" i="24"/>
  <c r="BL171" i="24"/>
  <c r="AT172" i="24"/>
  <c r="BV121" i="24"/>
  <c r="BJ120" i="24"/>
  <c r="BU177" i="24"/>
  <c r="BJ137" i="24"/>
  <c r="BU197" i="24"/>
  <c r="BV127" i="24"/>
  <c r="CD160" i="24"/>
  <c r="BL160" i="24"/>
  <c r="BK160" i="24"/>
  <c r="BJ160" i="24"/>
  <c r="AX160" i="24"/>
  <c r="BV160" i="24"/>
  <c r="BU160" i="24"/>
  <c r="BK135" i="24"/>
  <c r="BL135" i="24"/>
  <c r="BU135" i="24"/>
  <c r="AX135" i="24"/>
  <c r="BV135" i="24"/>
  <c r="BJ135" i="24"/>
  <c r="CD154" i="24"/>
  <c r="BK154" i="24"/>
  <c r="BL154" i="24"/>
  <c r="AT115" i="24"/>
  <c r="CD125" i="24"/>
  <c r="BK125" i="24"/>
  <c r="BL125" i="24"/>
  <c r="CD187" i="24"/>
  <c r="BK187" i="24"/>
  <c r="BL187" i="24"/>
  <c r="CD183" i="24"/>
  <c r="BK183" i="24"/>
  <c r="BL183" i="24"/>
  <c r="CD179" i="24"/>
  <c r="BK179" i="24"/>
  <c r="BL179" i="24"/>
  <c r="CD151" i="24"/>
  <c r="BL151" i="24"/>
  <c r="BK151" i="24"/>
  <c r="CD185" i="24"/>
  <c r="BK185" i="24"/>
  <c r="BL185" i="24"/>
  <c r="BK158" i="24"/>
  <c r="BL158" i="24"/>
  <c r="AT157" i="24"/>
  <c r="AT201" i="24"/>
  <c r="BU201" i="24"/>
  <c r="AX201" i="24"/>
  <c r="BV201" i="24"/>
  <c r="BJ201" i="24"/>
  <c r="AT153" i="24"/>
  <c r="BU153" i="24"/>
  <c r="BV153" i="24"/>
  <c r="AX153" i="24"/>
  <c r="BJ153" i="24"/>
  <c r="AT195" i="24"/>
  <c r="BV171" i="24"/>
  <c r="AX121" i="24"/>
  <c r="AX158" i="24"/>
  <c r="BU158" i="24"/>
  <c r="BV120" i="24"/>
  <c r="BJ111" i="24"/>
  <c r="BU111" i="24"/>
  <c r="BU185" i="24"/>
  <c r="AX151" i="24"/>
  <c r="BU151" i="24"/>
  <c r="BJ177" i="24"/>
  <c r="BV177" i="24"/>
  <c r="BJ183" i="24"/>
  <c r="BU183" i="24"/>
  <c r="AX142" i="24"/>
  <c r="BV137" i="24"/>
  <c r="BU137" i="24"/>
  <c r="BV197" i="24"/>
  <c r="BV179" i="24"/>
  <c r="BV154" i="24"/>
  <c r="BU143" i="24"/>
  <c r="BU125" i="24"/>
  <c r="AX145" i="24"/>
  <c r="CD121" i="24"/>
  <c r="BK121" i="24"/>
  <c r="BL121" i="24"/>
  <c r="BK138" i="24"/>
  <c r="BL138" i="24"/>
  <c r="BV138" i="24"/>
  <c r="BU138" i="24"/>
  <c r="BJ138" i="24"/>
  <c r="AX138" i="24"/>
  <c r="CD140" i="24"/>
  <c r="BL140" i="24"/>
  <c r="BK140" i="24"/>
  <c r="BJ140" i="24"/>
  <c r="AX140" i="24"/>
  <c r="BU140" i="24"/>
  <c r="BV140" i="24"/>
  <c r="CD202" i="24"/>
  <c r="BK202" i="24"/>
  <c r="BL202" i="24"/>
  <c r="BU202" i="24"/>
  <c r="AX202" i="24"/>
  <c r="BV202" i="24"/>
  <c r="BJ202" i="24"/>
  <c r="CD173" i="24"/>
  <c r="BK173" i="24"/>
  <c r="BL173" i="24"/>
  <c r="AX173" i="24"/>
  <c r="BV173" i="24"/>
  <c r="BU173" i="24"/>
  <c r="BJ173" i="24"/>
  <c r="CD129" i="24"/>
  <c r="BK129" i="24"/>
  <c r="BL129" i="24"/>
  <c r="BJ129" i="24"/>
  <c r="BU129" i="24"/>
  <c r="AX129" i="24"/>
  <c r="BV129" i="24"/>
  <c r="CD124" i="24"/>
  <c r="BL124" i="24"/>
  <c r="BK124" i="24"/>
  <c r="BV124" i="24"/>
  <c r="BJ124" i="24"/>
  <c r="AX124" i="24"/>
  <c r="BU124" i="24"/>
  <c r="CD127" i="24"/>
  <c r="BK127" i="24"/>
  <c r="BL127" i="24"/>
  <c r="CD180" i="24"/>
  <c r="BL180" i="24"/>
  <c r="BK180" i="24"/>
  <c r="BV180" i="24"/>
  <c r="AX180" i="24"/>
  <c r="BJ180" i="24"/>
  <c r="BU180" i="24"/>
  <c r="BK145" i="24"/>
  <c r="BL145" i="24"/>
  <c r="CD142" i="24"/>
  <c r="BK142" i="24"/>
  <c r="BL142" i="24"/>
  <c r="AT112" i="24"/>
  <c r="CD139" i="24"/>
  <c r="BK139" i="24"/>
  <c r="BL139" i="24"/>
  <c r="AT155" i="24"/>
  <c r="AT210" i="24"/>
  <c r="AT187" i="24"/>
  <c r="BU187" i="24"/>
  <c r="BJ187" i="24"/>
  <c r="BV187" i="24"/>
  <c r="AX187" i="24"/>
  <c r="AT207" i="24"/>
  <c r="BU171" i="24"/>
  <c r="BV111" i="24"/>
  <c r="AX185" i="24"/>
  <c r="AX177" i="24"/>
  <c r="AX137" i="24"/>
  <c r="BJ127" i="24"/>
  <c r="BJ143" i="24"/>
  <c r="AX125" i="24"/>
  <c r="AN165" i="24"/>
  <c r="AQ165" i="24" s="1"/>
  <c r="BV56" i="24"/>
  <c r="AK152" i="24"/>
  <c r="AV15" i="24"/>
  <c r="AV33" i="24"/>
  <c r="AV41" i="24"/>
  <c r="AV64" i="24"/>
  <c r="AV46" i="24"/>
  <c r="BV46" i="24"/>
  <c r="AV63" i="24"/>
  <c r="BV63" i="24"/>
  <c r="BV89" i="24"/>
  <c r="AV92" i="24"/>
  <c r="BV92" i="24"/>
  <c r="AV79" i="24"/>
  <c r="BV79" i="24"/>
  <c r="AV34" i="24"/>
  <c r="AV11" i="24"/>
  <c r="AV99" i="24"/>
  <c r="AT8" i="24"/>
  <c r="AV28" i="24"/>
  <c r="BV28" i="24"/>
  <c r="AV31" i="24"/>
  <c r="BV31" i="24"/>
  <c r="AV18" i="24"/>
  <c r="BV18" i="24"/>
  <c r="AV96" i="24"/>
  <c r="BV96" i="24"/>
  <c r="AV55" i="24"/>
  <c r="BV100" i="24"/>
  <c r="AV49" i="24"/>
  <c r="AV43" i="24"/>
  <c r="AV35" i="24"/>
  <c r="AV29" i="24"/>
  <c r="BV29" i="24"/>
  <c r="AV21" i="24"/>
  <c r="BV21" i="24"/>
  <c r="AV51" i="24"/>
  <c r="AV72" i="24"/>
  <c r="BV72" i="24"/>
  <c r="BV83" i="24"/>
  <c r="AV19" i="24"/>
  <c r="BV19" i="24"/>
  <c r="AT13" i="24"/>
  <c r="AV40" i="24"/>
  <c r="BV40" i="24"/>
  <c r="AV59" i="24"/>
  <c r="BV59" i="24"/>
  <c r="AV54" i="24"/>
  <c r="BV54" i="24"/>
  <c r="AV68" i="24"/>
  <c r="BV68" i="24"/>
  <c r="AV82" i="24"/>
  <c r="BV82" i="24"/>
  <c r="AV97" i="24"/>
  <c r="BV32" i="24"/>
  <c r="BV53" i="24"/>
  <c r="AK172" i="24"/>
  <c r="AT79" i="24"/>
  <c r="AN152" i="24"/>
  <c r="AK70" i="24"/>
  <c r="AK254" i="24"/>
  <c r="AN279" i="24"/>
  <c r="CD279" i="24" s="1"/>
  <c r="AN306" i="24"/>
  <c r="AN182" i="24"/>
  <c r="AK282" i="24"/>
  <c r="AK314" i="24"/>
  <c r="AN70" i="24"/>
  <c r="CD70" i="24" s="1"/>
  <c r="AN78" i="24"/>
  <c r="AN193" i="24"/>
  <c r="CD104" i="24"/>
  <c r="AK278" i="24"/>
  <c r="BI32" i="25"/>
  <c r="CE32" i="25"/>
  <c r="AX36" i="24"/>
  <c r="CD36" i="24"/>
  <c r="AN238" i="24"/>
  <c r="AS238" i="24" s="1"/>
  <c r="AK247" i="24"/>
  <c r="AK190" i="24"/>
  <c r="CD78" i="24"/>
  <c r="AX42" i="24"/>
  <c r="CD42" i="24"/>
  <c r="AK115" i="24"/>
  <c r="AK137" i="24"/>
  <c r="AN239" i="24"/>
  <c r="AQ239" i="24" s="1"/>
  <c r="AK154" i="24"/>
  <c r="AN261" i="24"/>
  <c r="AQ261" i="24" s="1"/>
  <c r="AK264" i="24"/>
  <c r="AK281" i="24"/>
  <c r="AK207" i="24"/>
  <c r="AK261" i="24"/>
  <c r="AK195" i="24"/>
  <c r="AJ103" i="24"/>
  <c r="AK193" i="24"/>
  <c r="AN128" i="24"/>
  <c r="AN132" i="24"/>
  <c r="AK290" i="24"/>
  <c r="AN191" i="24"/>
  <c r="CD191" i="24" s="1"/>
  <c r="AK157" i="24"/>
  <c r="AK263" i="24"/>
  <c r="AK132" i="24"/>
  <c r="AN263" i="24"/>
  <c r="AS263" i="24" s="1"/>
  <c r="AK169" i="24"/>
  <c r="AN189" i="24"/>
  <c r="AN312" i="24"/>
  <c r="AK249" i="24"/>
  <c r="AK114" i="24"/>
  <c r="AK271" i="24"/>
  <c r="AK210" i="24"/>
  <c r="AN256" i="24"/>
  <c r="CD256" i="24" s="1"/>
  <c r="AN146" i="24"/>
  <c r="AK313" i="24"/>
  <c r="AN218" i="24"/>
  <c r="CD218" i="24" s="1"/>
  <c r="AK284" i="24"/>
  <c r="AJ81" i="24"/>
  <c r="AJ75" i="24"/>
  <c r="AJ93" i="24"/>
  <c r="AK243" i="24"/>
  <c r="AK196" i="24"/>
  <c r="AN147" i="24"/>
  <c r="AN313" i="24"/>
  <c r="AQ313" i="24" s="1"/>
  <c r="AN292" i="24"/>
  <c r="CD292" i="24" s="1"/>
  <c r="AK250" i="24"/>
  <c r="AN264" i="24"/>
  <c r="AS264" i="24" s="1"/>
  <c r="AN290" i="24"/>
  <c r="AK245" i="24"/>
  <c r="AK262" i="24"/>
  <c r="AK158" i="24"/>
  <c r="AK183" i="24"/>
  <c r="AK191" i="24"/>
  <c r="AK56" i="24"/>
  <c r="AJ98" i="24"/>
  <c r="AN73" i="24"/>
  <c r="BV73" i="24" s="1"/>
  <c r="AK270" i="24"/>
  <c r="AK253" i="24"/>
  <c r="AN170" i="24"/>
  <c r="AX63" i="24"/>
  <c r="AN55" i="24"/>
  <c r="BU55" i="24" s="1"/>
  <c r="AN159" i="24"/>
  <c r="AN25" i="24"/>
  <c r="CD25" i="24" s="1"/>
  <c r="AK189" i="24"/>
  <c r="AK162" i="24"/>
  <c r="AN296" i="24"/>
  <c r="AK142" i="24"/>
  <c r="AK174" i="24"/>
  <c r="AN33" i="24"/>
  <c r="AX33" i="24" s="1"/>
  <c r="AN167" i="24"/>
  <c r="CD167" i="24" s="1"/>
  <c r="AN168" i="24"/>
  <c r="AN122" i="24"/>
  <c r="AN166" i="24"/>
  <c r="AN243" i="24"/>
  <c r="AQ243" i="24" s="1"/>
  <c r="AK97" i="24"/>
  <c r="AN266" i="24"/>
  <c r="CD266" i="24" s="1"/>
  <c r="AK185" i="24"/>
  <c r="AT97" i="24"/>
  <c r="AN270" i="24"/>
  <c r="AN227" i="24"/>
  <c r="AQ227" i="24" s="1"/>
  <c r="AK147" i="24"/>
  <c r="AK155" i="24"/>
  <c r="AK92" i="24"/>
  <c r="AT92" i="24"/>
  <c r="AK171" i="24"/>
  <c r="AN130" i="24"/>
  <c r="AJ67" i="24"/>
  <c r="AJ84" i="24"/>
  <c r="AJ76" i="24"/>
  <c r="AK166" i="24"/>
  <c r="AX68" i="24"/>
  <c r="AT68" i="24"/>
  <c r="AK258" i="24"/>
  <c r="AK268" i="24"/>
  <c r="AJ66" i="24"/>
  <c r="AJ44" i="24"/>
  <c r="AT82" i="24"/>
  <c r="AN114" i="24"/>
  <c r="AK291" i="24"/>
  <c r="AN150" i="24"/>
  <c r="AK283" i="24"/>
  <c r="AK300" i="24"/>
  <c r="AN198" i="24"/>
  <c r="AK153" i="24"/>
  <c r="AK120" i="24"/>
  <c r="AN176" i="24"/>
  <c r="AK143" i="24"/>
  <c r="AN309" i="24"/>
  <c r="AQ309" i="24" s="1"/>
  <c r="AN206" i="24"/>
  <c r="AN117" i="24"/>
  <c r="AT59" i="24"/>
  <c r="AK139" i="24"/>
  <c r="AK168" i="24"/>
  <c r="AN156" i="24"/>
  <c r="AN204" i="24"/>
  <c r="AK151" i="24"/>
  <c r="AN232" i="24"/>
  <c r="AS232" i="24" s="1"/>
  <c r="BJ46" i="24"/>
  <c r="AN233" i="24"/>
  <c r="AQ233" i="24" s="1"/>
  <c r="AN195" i="24"/>
  <c r="BJ195" i="24" s="1"/>
  <c r="AK144" i="24"/>
  <c r="AT46" i="24"/>
  <c r="AT63" i="24"/>
  <c r="AK25" i="24"/>
  <c r="AK51" i="24"/>
  <c r="AK299" i="24"/>
  <c r="AT51" i="24"/>
  <c r="AK277" i="24"/>
  <c r="AN297" i="24"/>
  <c r="AS297" i="24" s="1"/>
  <c r="AN307" i="24"/>
  <c r="AK89" i="24"/>
  <c r="AK226" i="24"/>
  <c r="AV88" i="24"/>
  <c r="AT88" i="24"/>
  <c r="AN10" i="24"/>
  <c r="AN285" i="24"/>
  <c r="AQ285" i="24" s="1"/>
  <c r="AJ77" i="24"/>
  <c r="AN174" i="24"/>
  <c r="AT40" i="24"/>
  <c r="AN226" i="24"/>
  <c r="AQ226" i="24" s="1"/>
  <c r="AN133" i="24"/>
  <c r="CD133" i="24" s="1"/>
  <c r="AT72" i="24"/>
  <c r="AJ71" i="24"/>
  <c r="AT54" i="24"/>
  <c r="AV89" i="24"/>
  <c r="AT89" i="24"/>
  <c r="AJ80" i="24"/>
  <c r="AJ90" i="24"/>
  <c r="AJ39" i="24"/>
  <c r="AK112" i="24"/>
  <c r="AK113" i="24"/>
  <c r="AJ57" i="24"/>
  <c r="AJ62" i="24"/>
  <c r="AK64" i="24"/>
  <c r="AT64" i="24"/>
  <c r="AN162" i="24"/>
  <c r="CD162" i="24" s="1"/>
  <c r="AN209" i="24"/>
  <c r="AK179" i="24"/>
  <c r="AV61" i="24"/>
  <c r="AT61" i="24"/>
  <c r="AJ38" i="24"/>
  <c r="AT43" i="24"/>
  <c r="AJ45" i="24"/>
  <c r="AK136" i="24"/>
  <c r="AN188" i="24"/>
  <c r="AJ48" i="24"/>
  <c r="AJ52" i="24"/>
  <c r="AN119" i="24"/>
  <c r="AK145" i="24"/>
  <c r="AK167" i="24"/>
  <c r="BJ40" i="24"/>
  <c r="AK41" i="24"/>
  <c r="AN141" i="24"/>
  <c r="AN184" i="24"/>
  <c r="CD184" i="24" s="1"/>
  <c r="AN95" i="24"/>
  <c r="CD95" i="24" s="1"/>
  <c r="AK46" i="24"/>
  <c r="AT41" i="24"/>
  <c r="AN112" i="24"/>
  <c r="AN196" i="24"/>
  <c r="AN208" i="24"/>
  <c r="BV208" i="24" s="1"/>
  <c r="AN101" i="24"/>
  <c r="CD101" i="24" s="1"/>
  <c r="AK54" i="24"/>
  <c r="AN60" i="24"/>
  <c r="BV60" i="24" s="1"/>
  <c r="AN181" i="24"/>
  <c r="BU181" i="24" s="1"/>
  <c r="AN157" i="24"/>
  <c r="BV157" i="24" s="1"/>
  <c r="AK36" i="24"/>
  <c r="AN23" i="24"/>
  <c r="AN205" i="24"/>
  <c r="AN199" i="24"/>
  <c r="AK96" i="24"/>
  <c r="AN97" i="24"/>
  <c r="CD97" i="24" s="1"/>
  <c r="AN51" i="24"/>
  <c r="BV51" i="24" s="1"/>
  <c r="AN105" i="24"/>
  <c r="AK85" i="24"/>
  <c r="AK100" i="24"/>
  <c r="AK148" i="24"/>
  <c r="AN192" i="24"/>
  <c r="AN186" i="24"/>
  <c r="AT21" i="24"/>
  <c r="AN203" i="24"/>
  <c r="AK177" i="24"/>
  <c r="AV13" i="24"/>
  <c r="AN41" i="24"/>
  <c r="AN210" i="24"/>
  <c r="AX210" i="24" s="1"/>
  <c r="AK187" i="24"/>
  <c r="AK122" i="24"/>
  <c r="AT31" i="24"/>
  <c r="AN14" i="24"/>
  <c r="AN172" i="24"/>
  <c r="BJ172" i="24" s="1"/>
  <c r="AN131" i="24"/>
  <c r="AK159" i="24"/>
  <c r="AT18" i="24"/>
  <c r="AK82" i="24"/>
  <c r="AX31" i="24"/>
  <c r="AK18" i="24"/>
  <c r="AN115" i="24"/>
  <c r="BV115" i="24" s="1"/>
  <c r="AK40" i="24"/>
  <c r="AK42" i="24"/>
  <c r="AK79" i="24"/>
  <c r="AN149" i="24"/>
  <c r="AK23" i="24"/>
  <c r="AK125" i="24"/>
  <c r="AN161" i="24"/>
  <c r="CD161" i="24" s="1"/>
  <c r="AN155" i="24"/>
  <c r="BJ155" i="24" s="1"/>
  <c r="AN207" i="24"/>
  <c r="BV207" i="24" s="1"/>
  <c r="AN163" i="24"/>
  <c r="AN136" i="24"/>
  <c r="CD136" i="24" s="1"/>
  <c r="AK21" i="24"/>
  <c r="AK72" i="24"/>
  <c r="BJ21" i="24"/>
  <c r="AT33" i="24"/>
  <c r="AN27" i="24"/>
  <c r="AX92" i="24"/>
  <c r="CD92" i="24"/>
  <c r="AN64" i="24"/>
  <c r="BJ64" i="24" s="1"/>
  <c r="AT19" i="24"/>
  <c r="AK29" i="24"/>
  <c r="AK55" i="24"/>
  <c r="AN86" i="24"/>
  <c r="CD86" i="24" s="1"/>
  <c r="BJ19" i="24"/>
  <c r="AN87" i="24"/>
  <c r="CD87" i="24" s="1"/>
  <c r="AK28" i="24"/>
  <c r="AG65" i="24"/>
  <c r="AN65" i="24" s="1"/>
  <c r="AN169" i="24"/>
  <c r="AX169" i="24" s="1"/>
  <c r="AN50" i="24"/>
  <c r="CD50" i="24" s="1"/>
  <c r="AK33" i="24"/>
  <c r="AG71" i="24"/>
  <c r="AK123" i="24"/>
  <c r="AT15" i="24"/>
  <c r="AN134" i="24"/>
  <c r="BI90" i="25"/>
  <c r="CE90" i="25"/>
  <c r="AT29" i="24"/>
  <c r="AG13" i="24"/>
  <c r="AK13" i="24" s="1"/>
  <c r="AK116" i="24"/>
  <c r="AN194" i="24"/>
  <c r="AV8" i="24"/>
  <c r="BJ28" i="24"/>
  <c r="AK201" i="24"/>
  <c r="AN123" i="24"/>
  <c r="BV123" i="24" s="1"/>
  <c r="AK31" i="24"/>
  <c r="AK53" i="24"/>
  <c r="AT28" i="24"/>
  <c r="AN91" i="24"/>
  <c r="CD91" i="24" s="1"/>
  <c r="AK63" i="24"/>
  <c r="AK68" i="24"/>
  <c r="AK59" i="24"/>
  <c r="AK19" i="24"/>
  <c r="AK32" i="24"/>
  <c r="AT49" i="24"/>
  <c r="AG49" i="24"/>
  <c r="AK49" i="24" s="1"/>
  <c r="AV37" i="24"/>
  <c r="AT37" i="24"/>
  <c r="BU104" i="24"/>
  <c r="AX104" i="24"/>
  <c r="BK104" i="24"/>
  <c r="AN69" i="24"/>
  <c r="CD69" i="24" s="1"/>
  <c r="AK104" i="24"/>
  <c r="AG102" i="24"/>
  <c r="AJ22" i="24"/>
  <c r="AT34" i="24"/>
  <c r="AG48" i="24"/>
  <c r="BJ104" i="24"/>
  <c r="AV65" i="24"/>
  <c r="AT65" i="24"/>
  <c r="AS104" i="24"/>
  <c r="AU104" i="24" s="1"/>
  <c r="AG22" i="24"/>
  <c r="AN22" i="24" s="1"/>
  <c r="AV102" i="24"/>
  <c r="AT102" i="24"/>
  <c r="BL104" i="24"/>
  <c r="AG81" i="24"/>
  <c r="AN81" i="24" s="1"/>
  <c r="CD81" i="24" s="1"/>
  <c r="AG15" i="24"/>
  <c r="AK15" i="24" s="1"/>
  <c r="AG34" i="24"/>
  <c r="AN34" i="24" s="1"/>
  <c r="AX34" i="24" s="1"/>
  <c r="AG93" i="24"/>
  <c r="AJ12" i="24"/>
  <c r="AG37" i="24"/>
  <c r="AJ20" i="24"/>
  <c r="AG8" i="24"/>
  <c r="AA94" i="24"/>
  <c r="AB94" i="24" s="1"/>
  <c r="AC94" i="24" s="1"/>
  <c r="AJ94" i="24" s="1"/>
  <c r="AG94" i="24"/>
  <c r="AV6" i="24"/>
  <c r="AT6" i="24"/>
  <c r="AT35" i="24"/>
  <c r="AT99" i="24"/>
  <c r="AJ7" i="24"/>
  <c r="AT11" i="24"/>
  <c r="AV58" i="24"/>
  <c r="AT58" i="24"/>
  <c r="AG11" i="24"/>
  <c r="AG57" i="24"/>
  <c r="AG88" i="24"/>
  <c r="AK88" i="24" s="1"/>
  <c r="AG16" i="24"/>
  <c r="AG67" i="24"/>
  <c r="AG39" i="24"/>
  <c r="AG99" i="24"/>
  <c r="AG47" i="24"/>
  <c r="AJ9" i="24"/>
  <c r="AG12" i="24"/>
  <c r="AG58" i="24"/>
  <c r="AG76" i="24"/>
  <c r="AG24" i="24"/>
  <c r="AG30" i="24"/>
  <c r="AG61" i="24"/>
  <c r="AG17" i="24"/>
  <c r="AG77" i="24"/>
  <c r="AG84" i="24"/>
  <c r="AG80" i="24"/>
  <c r="AG75" i="24"/>
  <c r="AG20" i="24"/>
  <c r="AA26" i="24"/>
  <c r="AB26" i="24" s="1"/>
  <c r="AC26" i="24" s="1"/>
  <c r="AJ26" i="24" s="1"/>
  <c r="AG26" i="24"/>
  <c r="AG45" i="24"/>
  <c r="AG52" i="24"/>
  <c r="AG9" i="24"/>
  <c r="AG35" i="24"/>
  <c r="AN35" i="24" s="1"/>
  <c r="AJ16" i="24"/>
  <c r="AJ17" i="24"/>
  <c r="AG66" i="24"/>
  <c r="AJ24" i="24"/>
  <c r="AG38" i="24"/>
  <c r="AJ30" i="24"/>
  <c r="AG103" i="24"/>
  <c r="AV47" i="24"/>
  <c r="AT47" i="24"/>
  <c r="AG90" i="24"/>
  <c r="AG62" i="24"/>
  <c r="AG98" i="24"/>
  <c r="AG44" i="24"/>
  <c r="AG6" i="24"/>
  <c r="AG7" i="24"/>
  <c r="AX54" i="24"/>
  <c r="AX72" i="24"/>
  <c r="BU85" i="24"/>
  <c r="AX85" i="24"/>
  <c r="AX82" i="24"/>
  <c r="AX59" i="24"/>
  <c r="AX96" i="24"/>
  <c r="AX28" i="24"/>
  <c r="AX89" i="24"/>
  <c r="AX79" i="24"/>
  <c r="AX18" i="24"/>
  <c r="AX40" i="24"/>
  <c r="AX19" i="24"/>
  <c r="AX21" i="24"/>
  <c r="AX29" i="24"/>
  <c r="AX46" i="24"/>
  <c r="AU5" i="24"/>
  <c r="BV72" i="25"/>
  <c r="CE72" i="25"/>
  <c r="AN110" i="24"/>
  <c r="BV98" i="25"/>
  <c r="CE98" i="25"/>
  <c r="BV58" i="25"/>
  <c r="CE58" i="25"/>
  <c r="BV74" i="25"/>
  <c r="CE74" i="25"/>
  <c r="AW5" i="24"/>
  <c r="AY5" i="24" s="1"/>
  <c r="AZ5" i="24" s="1"/>
  <c r="BI39" i="25"/>
  <c r="CE39" i="25"/>
  <c r="AM110" i="25"/>
  <c r="BW110" i="25" s="1"/>
  <c r="BI84" i="25"/>
  <c r="CE84" i="25"/>
  <c r="BI33" i="25"/>
  <c r="CE33" i="25"/>
  <c r="BV55" i="25"/>
  <c r="CE55" i="25"/>
  <c r="BV75" i="25"/>
  <c r="CE75" i="25"/>
  <c r="BI60" i="25"/>
  <c r="CE60" i="25"/>
  <c r="AS5" i="25"/>
  <c r="BI43" i="25"/>
  <c r="CE43" i="25"/>
  <c r="BU53" i="24"/>
  <c r="BJ36" i="24"/>
  <c r="BI50" i="25"/>
  <c r="CE50" i="25"/>
  <c r="BV25" i="25"/>
  <c r="CE25" i="25"/>
  <c r="BV65" i="25"/>
  <c r="CE65" i="25"/>
  <c r="AJ5" i="25"/>
  <c r="AM5" i="25"/>
  <c r="BW5" i="25" s="1"/>
  <c r="BI46" i="25"/>
  <c r="CE46" i="25"/>
  <c r="L20" i="1"/>
  <c r="BV95" i="25"/>
  <c r="CE95" i="25"/>
  <c r="AP218" i="25"/>
  <c r="AR218" i="25"/>
  <c r="BV80" i="25"/>
  <c r="CE80" i="25"/>
  <c r="BV7" i="25"/>
  <c r="BV18" i="25"/>
  <c r="BI66" i="25"/>
  <c r="BI75" i="25"/>
  <c r="BI72" i="25"/>
  <c r="BV90" i="25"/>
  <c r="BI89" i="25"/>
  <c r="BV33" i="25"/>
  <c r="BI16" i="25"/>
  <c r="BV50" i="25"/>
  <c r="BI58" i="25"/>
  <c r="BV32" i="25"/>
  <c r="BI95" i="25"/>
  <c r="BV39" i="25"/>
  <c r="BV46" i="25"/>
  <c r="BV43" i="25"/>
  <c r="AR206" i="25"/>
  <c r="AP206" i="25"/>
  <c r="AR193" i="25"/>
  <c r="AP193" i="25"/>
  <c r="AR164" i="25"/>
  <c r="AP164" i="25"/>
  <c r="AR233" i="25"/>
  <c r="AP233" i="25"/>
  <c r="AR27" i="25"/>
  <c r="BJ27" i="25"/>
  <c r="BK27" i="25"/>
  <c r="AP27" i="25"/>
  <c r="BV27" i="25"/>
  <c r="BI27" i="25"/>
  <c r="AR73" i="25"/>
  <c r="AT73" i="25" s="1"/>
  <c r="BJ73" i="25"/>
  <c r="BK73" i="25"/>
  <c r="AP73" i="25"/>
  <c r="AR232" i="25"/>
  <c r="AP232" i="25"/>
  <c r="AR118" i="25"/>
  <c r="AP118" i="25"/>
  <c r="AR8" i="25"/>
  <c r="BJ8" i="25"/>
  <c r="BK8" i="25"/>
  <c r="AP8" i="25"/>
  <c r="BV8" i="25"/>
  <c r="BI8" i="25"/>
  <c r="AR40" i="25"/>
  <c r="BJ40" i="25"/>
  <c r="BK40" i="25"/>
  <c r="AP40" i="25"/>
  <c r="BI40" i="25"/>
  <c r="BV40" i="25"/>
  <c r="AR309" i="25"/>
  <c r="AP309" i="25"/>
  <c r="AR137" i="25"/>
  <c r="AP137" i="25"/>
  <c r="AR269" i="25"/>
  <c r="AP269" i="25"/>
  <c r="AR79" i="25"/>
  <c r="BJ79" i="25"/>
  <c r="BK79" i="25"/>
  <c r="AP79" i="25"/>
  <c r="BI79" i="25"/>
  <c r="BV79" i="25"/>
  <c r="AR287" i="25"/>
  <c r="AP287" i="25"/>
  <c r="AR120" i="25"/>
  <c r="AP120" i="25"/>
  <c r="AR273" i="25"/>
  <c r="AP273" i="25"/>
  <c r="AR231" i="25"/>
  <c r="AP231" i="25"/>
  <c r="AR165" i="25"/>
  <c r="AP165" i="25"/>
  <c r="AR70" i="25"/>
  <c r="BJ70" i="25"/>
  <c r="BK70" i="25"/>
  <c r="AP70" i="25"/>
  <c r="BI70" i="25"/>
  <c r="BV70" i="25"/>
  <c r="AR230" i="25"/>
  <c r="AP230" i="25"/>
  <c r="AR246" i="25"/>
  <c r="AP246" i="25"/>
  <c r="AR81" i="25"/>
  <c r="BJ81" i="25"/>
  <c r="BK81" i="25"/>
  <c r="AP81" i="25"/>
  <c r="BV81" i="25"/>
  <c r="BI81" i="25"/>
  <c r="AR259" i="25"/>
  <c r="AP259" i="25"/>
  <c r="AR311" i="25"/>
  <c r="AP311" i="25"/>
  <c r="AR102" i="25"/>
  <c r="BJ102" i="25"/>
  <c r="BK102" i="25"/>
  <c r="AP102" i="25"/>
  <c r="BV102" i="25"/>
  <c r="BI102" i="25"/>
  <c r="AR85" i="25"/>
  <c r="AT85" i="25" s="1"/>
  <c r="BJ85" i="25"/>
  <c r="BK85" i="25"/>
  <c r="AP85" i="25"/>
  <c r="AR98" i="25"/>
  <c r="AT98" i="25" s="1"/>
  <c r="BJ98" i="25"/>
  <c r="BK98" i="25"/>
  <c r="AP98" i="25"/>
  <c r="AR204" i="25"/>
  <c r="AP204" i="25"/>
  <c r="AR294" i="25"/>
  <c r="AP294" i="25"/>
  <c r="AR124" i="25"/>
  <c r="AP124" i="25"/>
  <c r="AR240" i="25"/>
  <c r="AP240" i="25"/>
  <c r="AR192" i="25"/>
  <c r="AP192" i="25"/>
  <c r="AR54" i="25"/>
  <c r="BJ54" i="25"/>
  <c r="BK54" i="25"/>
  <c r="AP54" i="25"/>
  <c r="BV54" i="25"/>
  <c r="BI54" i="25"/>
  <c r="AR60" i="25"/>
  <c r="AT60" i="25" s="1"/>
  <c r="BJ60" i="25"/>
  <c r="BK60" i="25"/>
  <c r="AP60" i="25"/>
  <c r="AR169" i="25"/>
  <c r="AP169" i="25"/>
  <c r="AR310" i="25"/>
  <c r="AP310" i="25"/>
  <c r="AR161" i="25"/>
  <c r="AP161" i="25"/>
  <c r="AR177" i="25"/>
  <c r="AP177" i="25"/>
  <c r="AR280" i="25"/>
  <c r="AP280" i="25"/>
  <c r="AR115" i="25"/>
  <c r="AP115" i="25"/>
  <c r="AR61" i="25"/>
  <c r="BJ61" i="25"/>
  <c r="BK61" i="25"/>
  <c r="AP61" i="25"/>
  <c r="BV61" i="25"/>
  <c r="BI61" i="25"/>
  <c r="AR290" i="25"/>
  <c r="AR71" i="25"/>
  <c r="BJ71" i="25"/>
  <c r="BK71" i="25"/>
  <c r="AP71" i="25"/>
  <c r="BI71" i="25"/>
  <c r="BV71" i="25"/>
  <c r="AR128" i="25"/>
  <c r="AP128" i="25"/>
  <c r="AR84" i="25"/>
  <c r="AT84" i="25" s="1"/>
  <c r="BJ84" i="25"/>
  <c r="BK84" i="25"/>
  <c r="AP84" i="25"/>
  <c r="AR29" i="25"/>
  <c r="BJ29" i="25"/>
  <c r="BK29" i="25"/>
  <c r="AP29" i="25"/>
  <c r="BI29" i="25"/>
  <c r="BV29" i="25"/>
  <c r="AR219" i="25"/>
  <c r="AP219" i="25"/>
  <c r="BI98" i="25"/>
  <c r="AR38" i="25"/>
  <c r="BJ38" i="25"/>
  <c r="BK38" i="25"/>
  <c r="AP38" i="25"/>
  <c r="BV38" i="25"/>
  <c r="BI38" i="25"/>
  <c r="AR55" i="25"/>
  <c r="AT55" i="25" s="1"/>
  <c r="BJ55" i="25"/>
  <c r="BK55" i="25"/>
  <c r="AP55" i="25"/>
  <c r="AR41" i="25"/>
  <c r="BJ41" i="25"/>
  <c r="BK41" i="25"/>
  <c r="AP41" i="25"/>
  <c r="BV41" i="25"/>
  <c r="BI41" i="25"/>
  <c r="AR194" i="25"/>
  <c r="AP194" i="25"/>
  <c r="AR22" i="25"/>
  <c r="BJ22" i="25"/>
  <c r="BK22" i="25"/>
  <c r="AP22" i="25"/>
  <c r="BI22" i="25"/>
  <c r="BV22" i="25"/>
  <c r="AR262" i="25"/>
  <c r="AP262" i="25"/>
  <c r="AR74" i="25"/>
  <c r="AT74" i="25" s="1"/>
  <c r="BJ74" i="25"/>
  <c r="BK74" i="25"/>
  <c r="AP74" i="25"/>
  <c r="AR288" i="25"/>
  <c r="AP288" i="25"/>
  <c r="AR266" i="25"/>
  <c r="AP266" i="25"/>
  <c r="AR153" i="25"/>
  <c r="AP153" i="25"/>
  <c r="AR135" i="25"/>
  <c r="AP135" i="25"/>
  <c r="AR99" i="25"/>
  <c r="AT99" i="25" s="1"/>
  <c r="BJ99" i="25"/>
  <c r="BK99" i="25"/>
  <c r="AP99" i="25"/>
  <c r="AR132" i="25"/>
  <c r="AP132" i="25"/>
  <c r="AR111" i="25"/>
  <c r="AP111" i="25"/>
  <c r="AR44" i="25"/>
  <c r="BJ44" i="25"/>
  <c r="BK44" i="25"/>
  <c r="AP44" i="25"/>
  <c r="BV44" i="25"/>
  <c r="BI44" i="25"/>
  <c r="AR314" i="25"/>
  <c r="AP314" i="25"/>
  <c r="AR80" i="25"/>
  <c r="AT80" i="25" s="1"/>
  <c r="BJ80" i="25"/>
  <c r="BK80" i="25"/>
  <c r="AP80" i="25"/>
  <c r="BI55" i="25"/>
  <c r="AR147" i="25"/>
  <c r="AP147" i="25"/>
  <c r="AR239" i="25"/>
  <c r="AP239" i="25"/>
  <c r="AR227" i="25"/>
  <c r="AP227" i="25"/>
  <c r="AR257" i="25"/>
  <c r="AP257" i="25"/>
  <c r="AR300" i="25"/>
  <c r="AP300" i="25"/>
  <c r="AR82" i="25"/>
  <c r="BJ82" i="25"/>
  <c r="BK82" i="25"/>
  <c r="AP82" i="25"/>
  <c r="BV82" i="25"/>
  <c r="BI82" i="25"/>
  <c r="AR30" i="25"/>
  <c r="BJ30" i="25"/>
  <c r="BK30" i="25"/>
  <c r="AP30" i="25"/>
  <c r="BV30" i="25"/>
  <c r="BI30" i="25"/>
  <c r="AR88" i="25"/>
  <c r="BJ88" i="25"/>
  <c r="BK88" i="25"/>
  <c r="AP88" i="25"/>
  <c r="BI88" i="25"/>
  <c r="BV88" i="25"/>
  <c r="AR201" i="25"/>
  <c r="AP201" i="25"/>
  <c r="AR308" i="25"/>
  <c r="AP308" i="25"/>
  <c r="AR21" i="25"/>
  <c r="BJ21" i="25"/>
  <c r="BK21" i="25"/>
  <c r="AP21" i="25"/>
  <c r="BI21" i="25"/>
  <c r="BV21" i="25"/>
  <c r="AR286" i="25"/>
  <c r="AP286" i="25"/>
  <c r="AR307" i="25"/>
  <c r="AP307" i="25"/>
  <c r="AR238" i="25"/>
  <c r="AR83" i="25"/>
  <c r="BJ83" i="25"/>
  <c r="BK83" i="25"/>
  <c r="AP83" i="25"/>
  <c r="BI83" i="25"/>
  <c r="BV83" i="25"/>
  <c r="AR222" i="25"/>
  <c r="AP222" i="25"/>
  <c r="BI99" i="25"/>
  <c r="AR47" i="25"/>
  <c r="BJ47" i="25"/>
  <c r="BK47" i="25"/>
  <c r="AP47" i="25"/>
  <c r="BV47" i="25"/>
  <c r="BI47" i="25"/>
  <c r="AR142" i="25"/>
  <c r="AP142" i="25"/>
  <c r="AR270" i="25"/>
  <c r="AP270" i="25"/>
  <c r="AR263" i="25"/>
  <c r="AP263" i="25"/>
  <c r="AR37" i="25"/>
  <c r="BJ37" i="25"/>
  <c r="BK37" i="25"/>
  <c r="AP37" i="25"/>
  <c r="BV37" i="25"/>
  <c r="BI37" i="25"/>
  <c r="AR25" i="25"/>
  <c r="AT25" i="25" s="1"/>
  <c r="BJ25" i="25"/>
  <c r="BK25" i="25"/>
  <c r="AP25" i="25"/>
  <c r="AR100" i="25"/>
  <c r="BJ100" i="25"/>
  <c r="BK100" i="25"/>
  <c r="AP100" i="25"/>
  <c r="BI100" i="25"/>
  <c r="BV100" i="25"/>
  <c r="AR225" i="25"/>
  <c r="AP225" i="25"/>
  <c r="AR299" i="25"/>
  <c r="AP299" i="25"/>
  <c r="AR220" i="25"/>
  <c r="AP220" i="25"/>
  <c r="AR304" i="25"/>
  <c r="AP304" i="25"/>
  <c r="AR305" i="25"/>
  <c r="AP305" i="25"/>
  <c r="AP281" i="25"/>
  <c r="AR10" i="25"/>
  <c r="AT10" i="25" s="1"/>
  <c r="BJ10" i="25"/>
  <c r="BK10" i="25"/>
  <c r="AP10" i="25"/>
  <c r="AR67" i="25"/>
  <c r="BJ67" i="25"/>
  <c r="BK67" i="25"/>
  <c r="AP67" i="25"/>
  <c r="BV67" i="25"/>
  <c r="BI67" i="25"/>
  <c r="AR90" i="25"/>
  <c r="AT90" i="25" s="1"/>
  <c r="BJ90" i="25"/>
  <c r="BK90" i="25"/>
  <c r="AP90" i="25"/>
  <c r="AR69" i="25"/>
  <c r="BJ69" i="25"/>
  <c r="BK69" i="25"/>
  <c r="AP69" i="25"/>
  <c r="BV69" i="25"/>
  <c r="BI69" i="25"/>
  <c r="AR114" i="25"/>
  <c r="AP114" i="25"/>
  <c r="AR105" i="25"/>
  <c r="BJ105" i="25"/>
  <c r="BK105" i="25"/>
  <c r="AP105" i="25"/>
  <c r="BI105" i="25"/>
  <c r="BV105" i="25"/>
  <c r="AR28" i="25"/>
  <c r="BJ28" i="25"/>
  <c r="BK28" i="25"/>
  <c r="AP28" i="25"/>
  <c r="BV28" i="25"/>
  <c r="BI28" i="25"/>
  <c r="AR200" i="25"/>
  <c r="AP200" i="25"/>
  <c r="AR18" i="25"/>
  <c r="AT18" i="25" s="1"/>
  <c r="BJ18" i="25"/>
  <c r="BK18" i="25"/>
  <c r="AP18" i="25"/>
  <c r="AR292" i="25"/>
  <c r="AP292" i="25"/>
  <c r="AR297" i="25"/>
  <c r="AP297" i="25"/>
  <c r="AR247" i="25"/>
  <c r="AP247" i="25"/>
  <c r="BI25" i="25"/>
  <c r="AR235" i="25"/>
  <c r="AP235" i="25"/>
  <c r="AR275" i="25"/>
  <c r="AP275" i="25"/>
  <c r="AR315" i="25"/>
  <c r="AP315" i="25"/>
  <c r="AR121" i="25"/>
  <c r="AP121" i="25"/>
  <c r="AR139" i="25"/>
  <c r="AP139" i="25"/>
  <c r="AR180" i="25"/>
  <c r="AP180" i="25"/>
  <c r="AR56" i="25"/>
  <c r="BJ56" i="25"/>
  <c r="BK56" i="25"/>
  <c r="AP56" i="25"/>
  <c r="BI56" i="25"/>
  <c r="BV56" i="25"/>
  <c r="AR274" i="25"/>
  <c r="AP274" i="25"/>
  <c r="AR14" i="25"/>
  <c r="BJ14" i="25"/>
  <c r="BK14" i="25"/>
  <c r="AP14" i="25"/>
  <c r="BI14" i="25"/>
  <c r="BV14" i="25"/>
  <c r="AR93" i="25"/>
  <c r="BJ93" i="25"/>
  <c r="BK93" i="25"/>
  <c r="AP93" i="25"/>
  <c r="BI93" i="25"/>
  <c r="BV93" i="25"/>
  <c r="AR256" i="25"/>
  <c r="AP256" i="25"/>
  <c r="AR136" i="25"/>
  <c r="AP136" i="25"/>
  <c r="AR138" i="25"/>
  <c r="AP138" i="25"/>
  <c r="AR116" i="25"/>
  <c r="AP116" i="25"/>
  <c r="AR226" i="25"/>
  <c r="AP226" i="25"/>
  <c r="AR189" i="25"/>
  <c r="AP189" i="25"/>
  <c r="AR267" i="25"/>
  <c r="AP267" i="25"/>
  <c r="AR91" i="25"/>
  <c r="BJ91" i="25"/>
  <c r="BK91" i="25"/>
  <c r="AP91" i="25"/>
  <c r="BV91" i="25"/>
  <c r="BI91" i="25"/>
  <c r="AR306" i="25"/>
  <c r="AP306" i="25"/>
  <c r="AR134" i="25"/>
  <c r="AP134" i="25"/>
  <c r="AR190" i="25"/>
  <c r="AP190" i="25"/>
  <c r="AR68" i="25"/>
  <c r="BJ68" i="25"/>
  <c r="BK68" i="25"/>
  <c r="AP68" i="25"/>
  <c r="BV68" i="25"/>
  <c r="BI68" i="25"/>
  <c r="AR199" i="25"/>
  <c r="AP199" i="25"/>
  <c r="AR207" i="25"/>
  <c r="AP207" i="25"/>
  <c r="AR86" i="25"/>
  <c r="BJ86" i="25"/>
  <c r="BK86" i="25"/>
  <c r="AP86" i="25"/>
  <c r="BV86" i="25"/>
  <c r="BI86" i="25"/>
  <c r="AR258" i="25"/>
  <c r="AP258" i="25"/>
  <c r="AR283" i="25"/>
  <c r="AP283" i="25"/>
  <c r="AR183" i="25"/>
  <c r="AP183" i="25"/>
  <c r="AR276" i="25"/>
  <c r="AP276" i="25"/>
  <c r="AR13" i="25"/>
  <c r="BJ13" i="25"/>
  <c r="BK13" i="25"/>
  <c r="AP13" i="25"/>
  <c r="BV13" i="25"/>
  <c r="BI13" i="25"/>
  <c r="AR255" i="25"/>
  <c r="AP255" i="25"/>
  <c r="AR24" i="25"/>
  <c r="BJ24" i="25"/>
  <c r="BK24" i="25"/>
  <c r="AP24" i="25"/>
  <c r="BV24" i="25"/>
  <c r="BI24" i="25"/>
  <c r="AR291" i="25"/>
  <c r="AP291" i="25"/>
  <c r="AR65" i="25"/>
  <c r="AT65" i="25" s="1"/>
  <c r="BJ65" i="25"/>
  <c r="BK65" i="25"/>
  <c r="AP65" i="25"/>
  <c r="AR45" i="25"/>
  <c r="AT45" i="25" s="1"/>
  <c r="BJ45" i="25"/>
  <c r="BK45" i="25"/>
  <c r="AP45" i="25"/>
  <c r="AR236" i="25"/>
  <c r="AP236" i="25"/>
  <c r="AR188" i="25"/>
  <c r="AP188" i="25"/>
  <c r="AR316" i="25"/>
  <c r="AP316" i="25"/>
  <c r="AR34" i="25"/>
  <c r="AT34" i="25" s="1"/>
  <c r="BJ34" i="25"/>
  <c r="BK34" i="25"/>
  <c r="AP34" i="25"/>
  <c r="AR87" i="25"/>
  <c r="BJ87" i="25"/>
  <c r="BK87" i="25"/>
  <c r="AP87" i="25"/>
  <c r="BI87" i="25"/>
  <c r="BV87" i="25"/>
  <c r="AR31" i="25"/>
  <c r="BJ31" i="25"/>
  <c r="BK31" i="25"/>
  <c r="AP31" i="25"/>
  <c r="BV31" i="25"/>
  <c r="BI31" i="25"/>
  <c r="AR261" i="25"/>
  <c r="AP261" i="25"/>
  <c r="AR94" i="25"/>
  <c r="BJ94" i="25"/>
  <c r="BK94" i="25"/>
  <c r="AP94" i="25"/>
  <c r="BI94" i="25"/>
  <c r="BV94" i="25"/>
  <c r="AR42" i="25"/>
  <c r="BJ42" i="25"/>
  <c r="BK42" i="25"/>
  <c r="AP42" i="25"/>
  <c r="BI42" i="25"/>
  <c r="BV42" i="25"/>
  <c r="AR296" i="25"/>
  <c r="AP296" i="25"/>
  <c r="AR234" i="25"/>
  <c r="AP234" i="25"/>
  <c r="AR77" i="25"/>
  <c r="AT77" i="25" s="1"/>
  <c r="BJ77" i="25"/>
  <c r="BK77" i="25"/>
  <c r="AP77" i="25"/>
  <c r="AR301" i="25"/>
  <c r="AP301" i="25"/>
  <c r="AR245" i="25"/>
  <c r="AP245" i="25"/>
  <c r="AR318" i="25"/>
  <c r="AP318" i="25"/>
  <c r="AR167" i="25"/>
  <c r="AP167" i="25"/>
  <c r="AR285" i="25"/>
  <c r="AP285" i="25"/>
  <c r="AR203" i="25"/>
  <c r="AP203" i="25"/>
  <c r="AR96" i="25"/>
  <c r="BJ96" i="25"/>
  <c r="BK96" i="25"/>
  <c r="AP96" i="25"/>
  <c r="BI96" i="25"/>
  <c r="BV96" i="25"/>
  <c r="AR154" i="25"/>
  <c r="AP154" i="25"/>
  <c r="AR19" i="25"/>
  <c r="AT19" i="25" s="1"/>
  <c r="BJ19" i="25"/>
  <c r="BK19" i="25"/>
  <c r="AP19" i="25"/>
  <c r="AR52" i="25"/>
  <c r="BJ52" i="25"/>
  <c r="BK52" i="25"/>
  <c r="AP52" i="25"/>
  <c r="BV52" i="25"/>
  <c r="BI52" i="25"/>
  <c r="BI65" i="25"/>
  <c r="AR119" i="25"/>
  <c r="AP119" i="25"/>
  <c r="AR101" i="25"/>
  <c r="BJ101" i="25"/>
  <c r="BK101" i="25"/>
  <c r="AP101" i="25"/>
  <c r="BV101" i="25"/>
  <c r="BI101" i="25"/>
  <c r="AR144" i="25"/>
  <c r="AP144" i="25"/>
  <c r="AR265" i="25"/>
  <c r="AP265" i="25"/>
  <c r="AR241" i="25"/>
  <c r="AP241" i="25"/>
  <c r="AR251" i="25"/>
  <c r="AP251" i="25"/>
  <c r="AR97" i="25"/>
  <c r="BJ97" i="25"/>
  <c r="BK97" i="25"/>
  <c r="AP97" i="25"/>
  <c r="BV97" i="25"/>
  <c r="BI97" i="25"/>
  <c r="AR243" i="25"/>
  <c r="AP243" i="25"/>
  <c r="AR289" i="25"/>
  <c r="AP289" i="25"/>
  <c r="AR89" i="25"/>
  <c r="AT89" i="25" s="1"/>
  <c r="BJ89" i="25"/>
  <c r="BK89" i="25"/>
  <c r="AP89" i="25"/>
  <c r="BV45" i="25"/>
  <c r="BV73" i="25"/>
  <c r="AR182" i="25"/>
  <c r="AP182" i="25"/>
  <c r="AR35" i="25"/>
  <c r="BJ35" i="25"/>
  <c r="BK35" i="25"/>
  <c r="AP35" i="25"/>
  <c r="BV35" i="25"/>
  <c r="BI35" i="25"/>
  <c r="AR57" i="25"/>
  <c r="AT57" i="25" s="1"/>
  <c r="BJ57" i="25"/>
  <c r="BK57" i="25"/>
  <c r="AP57" i="25"/>
  <c r="BI57" i="25"/>
  <c r="AR159" i="25"/>
  <c r="AP159" i="25"/>
  <c r="BV60" i="25"/>
  <c r="AR59" i="25"/>
  <c r="BJ59" i="25"/>
  <c r="BK59" i="25"/>
  <c r="AP59" i="25"/>
  <c r="BV59" i="25"/>
  <c r="BI59" i="25"/>
  <c r="AR162" i="25"/>
  <c r="AP162" i="25"/>
  <c r="AR277" i="25"/>
  <c r="AP277" i="25"/>
  <c r="AR317" i="25"/>
  <c r="AP317" i="25"/>
  <c r="BV77" i="25"/>
  <c r="BI85" i="25"/>
  <c r="AR302" i="25"/>
  <c r="AP302" i="25"/>
  <c r="AR33" i="25"/>
  <c r="AT33" i="25" s="1"/>
  <c r="BJ33" i="25"/>
  <c r="BK33" i="25"/>
  <c r="AP33" i="25"/>
  <c r="AR50" i="25"/>
  <c r="AT50" i="25" s="1"/>
  <c r="BJ50" i="25"/>
  <c r="BK50" i="25"/>
  <c r="AP50" i="25"/>
  <c r="AR303" i="25"/>
  <c r="AP303" i="25"/>
  <c r="AR63" i="25"/>
  <c r="BJ63" i="25"/>
  <c r="BK63" i="25"/>
  <c r="AP63" i="25"/>
  <c r="BI63" i="25"/>
  <c r="BV63" i="25"/>
  <c r="AR146" i="25"/>
  <c r="AP146" i="25"/>
  <c r="AR264" i="25"/>
  <c r="AP264" i="25"/>
  <c r="AR205" i="25"/>
  <c r="AP205" i="25"/>
  <c r="AR175" i="25"/>
  <c r="AP175" i="25"/>
  <c r="AR163" i="25"/>
  <c r="AP163" i="25"/>
  <c r="AR250" i="25"/>
  <c r="AP250" i="25"/>
  <c r="AR48" i="25"/>
  <c r="BJ48" i="25"/>
  <c r="BK48" i="25"/>
  <c r="AP48" i="25"/>
  <c r="BI48" i="25"/>
  <c r="BV48" i="25"/>
  <c r="AR237" i="25"/>
  <c r="AP237" i="25"/>
  <c r="BI74" i="25"/>
  <c r="BV99" i="25"/>
  <c r="AR187" i="25"/>
  <c r="AP187" i="25"/>
  <c r="AR23" i="25"/>
  <c r="AT23" i="25" s="1"/>
  <c r="BJ23" i="25"/>
  <c r="BK23" i="25"/>
  <c r="AP23" i="25"/>
  <c r="AR46" i="25"/>
  <c r="AT46" i="25" s="1"/>
  <c r="BJ46" i="25"/>
  <c r="BK46" i="25"/>
  <c r="AP46" i="25"/>
  <c r="AR130" i="25"/>
  <c r="AP130" i="25"/>
  <c r="AR76" i="25"/>
  <c r="BJ76" i="25"/>
  <c r="BK76" i="25"/>
  <c r="AP76" i="25"/>
  <c r="BV76" i="25"/>
  <c r="BI76" i="25"/>
  <c r="AR36" i="25"/>
  <c r="BJ36" i="25"/>
  <c r="BK36" i="25"/>
  <c r="AP36" i="25"/>
  <c r="BI36" i="25"/>
  <c r="BV36" i="25"/>
  <c r="BV84" i="25"/>
  <c r="AR12" i="25"/>
  <c r="BJ12" i="25"/>
  <c r="BK12" i="25"/>
  <c r="AP12" i="25"/>
  <c r="BV12" i="25"/>
  <c r="BI12" i="25"/>
  <c r="BJ6" i="25"/>
  <c r="AR6" i="25"/>
  <c r="BK6" i="25"/>
  <c r="AP6" i="25"/>
  <c r="BI6" i="25"/>
  <c r="BV6" i="25"/>
  <c r="AR282" i="25"/>
  <c r="AP282" i="25"/>
  <c r="AR62" i="25"/>
  <c r="BJ62" i="25"/>
  <c r="BK62" i="25"/>
  <c r="AP62" i="25"/>
  <c r="BV62" i="25"/>
  <c r="BI62" i="25"/>
  <c r="AR43" i="25"/>
  <c r="AT43" i="25" s="1"/>
  <c r="BJ43" i="25"/>
  <c r="BK43" i="25"/>
  <c r="AP43" i="25"/>
  <c r="AR223" i="25"/>
  <c r="AP223" i="25"/>
  <c r="AR122" i="25"/>
  <c r="AP122" i="25"/>
  <c r="AR168" i="25"/>
  <c r="AP168" i="25"/>
  <c r="BV19" i="25"/>
  <c r="AR11" i="25"/>
  <c r="BJ11" i="25"/>
  <c r="BK11" i="25"/>
  <c r="AP11" i="25"/>
  <c r="BV11" i="25"/>
  <c r="BI11" i="25"/>
  <c r="BI80" i="25"/>
  <c r="AR104" i="25"/>
  <c r="BJ104" i="25"/>
  <c r="BK104" i="25"/>
  <c r="AP104" i="25"/>
  <c r="BV104" i="25"/>
  <c r="BI104" i="25"/>
  <c r="BJ9" i="25"/>
  <c r="AR9" i="25"/>
  <c r="BK9" i="25"/>
  <c r="AP9" i="25"/>
  <c r="BI9" i="25"/>
  <c r="BV9" i="25"/>
  <c r="AR32" i="25"/>
  <c r="AT32" i="25" s="1"/>
  <c r="BJ32" i="25"/>
  <c r="BK32" i="25"/>
  <c r="AP32" i="25"/>
  <c r="AR92" i="25"/>
  <c r="BJ92" i="25"/>
  <c r="BK92" i="25"/>
  <c r="AP92" i="25"/>
  <c r="BI92" i="25"/>
  <c r="BV92" i="25"/>
  <c r="AR279" i="25"/>
  <c r="AP279" i="25"/>
  <c r="AR58" i="25"/>
  <c r="AT58" i="25" s="1"/>
  <c r="BJ58" i="25"/>
  <c r="BK58" i="25"/>
  <c r="AP58" i="25"/>
  <c r="BV34" i="25"/>
  <c r="AR72" i="25"/>
  <c r="AT72" i="25" s="1"/>
  <c r="BJ72" i="25"/>
  <c r="BK72" i="25"/>
  <c r="AP72" i="25"/>
  <c r="AR117" i="25"/>
  <c r="AP117" i="25"/>
  <c r="AR160" i="25"/>
  <c r="AP160" i="25"/>
  <c r="AR49" i="25"/>
  <c r="BJ49" i="25"/>
  <c r="BK49" i="25"/>
  <c r="AP49" i="25"/>
  <c r="BI49" i="25"/>
  <c r="BV49" i="25"/>
  <c r="AR293" i="25"/>
  <c r="AP293" i="25"/>
  <c r="AR191" i="25"/>
  <c r="AP191" i="25"/>
  <c r="AR150" i="25"/>
  <c r="AP150" i="25"/>
  <c r="AR75" i="25"/>
  <c r="AT75" i="25" s="1"/>
  <c r="BJ75" i="25"/>
  <c r="BK75" i="25"/>
  <c r="AP75" i="25"/>
  <c r="AR268" i="25"/>
  <c r="AP268" i="25"/>
  <c r="AR95" i="25"/>
  <c r="AT95" i="25" s="1"/>
  <c r="BJ95" i="25"/>
  <c r="BK95" i="25"/>
  <c r="AP95" i="25"/>
  <c r="AR112" i="25"/>
  <c r="AP112" i="25"/>
  <c r="AR7" i="25"/>
  <c r="AT7" i="25" s="1"/>
  <c r="BJ7" i="25"/>
  <c r="BK7" i="25"/>
  <c r="AP7" i="25"/>
  <c r="AR51" i="25"/>
  <c r="BJ51" i="25"/>
  <c r="BK51" i="25"/>
  <c r="AP51" i="25"/>
  <c r="BV51" i="25"/>
  <c r="BI51" i="25"/>
  <c r="AR284" i="25"/>
  <c r="AP284" i="25"/>
  <c r="AP186" i="25"/>
  <c r="BI45" i="25"/>
  <c r="AR64" i="25"/>
  <c r="BJ64" i="25"/>
  <c r="BK64" i="25"/>
  <c r="AP64" i="25"/>
  <c r="BV64" i="25"/>
  <c r="BI64" i="25"/>
  <c r="BI73" i="25"/>
  <c r="AR254" i="25"/>
  <c r="AP254" i="25"/>
  <c r="AR16" i="25"/>
  <c r="AT16" i="25" s="1"/>
  <c r="BJ16" i="25"/>
  <c r="BK16" i="25"/>
  <c r="AP16" i="25"/>
  <c r="AR253" i="25"/>
  <c r="AP253" i="25"/>
  <c r="AR20" i="25"/>
  <c r="BJ20" i="25"/>
  <c r="BK20" i="25"/>
  <c r="AP20" i="25"/>
  <c r="BV20" i="25"/>
  <c r="BI20" i="25"/>
  <c r="AR39" i="25"/>
  <c r="AT39" i="25" s="1"/>
  <c r="BJ39" i="25"/>
  <c r="BK39" i="25"/>
  <c r="AP39" i="25"/>
  <c r="AR53" i="25"/>
  <c r="BJ53" i="25"/>
  <c r="BK53" i="25"/>
  <c r="AP53" i="25"/>
  <c r="BV53" i="25"/>
  <c r="BI53" i="25"/>
  <c r="AR78" i="25"/>
  <c r="BJ78" i="25"/>
  <c r="BK78" i="25"/>
  <c r="AP78" i="25"/>
  <c r="BI78" i="25"/>
  <c r="BV78" i="25"/>
  <c r="AR252" i="25"/>
  <c r="AP252" i="25"/>
  <c r="AR66" i="25"/>
  <c r="AT66" i="25" s="1"/>
  <c r="BJ66" i="25"/>
  <c r="BK66" i="25"/>
  <c r="AP66" i="25"/>
  <c r="AR17" i="25"/>
  <c r="BJ17" i="25"/>
  <c r="BK17" i="25"/>
  <c r="AP17" i="25"/>
  <c r="BV17" i="25"/>
  <c r="BI17" i="25"/>
  <c r="BI23" i="25"/>
  <c r="AR178" i="25"/>
  <c r="AP178" i="25"/>
  <c r="AR15" i="25"/>
  <c r="BJ15" i="25"/>
  <c r="BK15" i="25"/>
  <c r="AP15" i="25"/>
  <c r="BI15" i="25"/>
  <c r="BV15" i="25"/>
  <c r="AR157" i="25"/>
  <c r="AP157" i="25"/>
  <c r="AR103" i="25"/>
  <c r="BJ103" i="25"/>
  <c r="BK103" i="25"/>
  <c r="AP103" i="25"/>
  <c r="BV103" i="25"/>
  <c r="BI103" i="25"/>
  <c r="AR173" i="25"/>
  <c r="AP173" i="25"/>
  <c r="AR26" i="25"/>
  <c r="BJ26" i="25"/>
  <c r="BK26" i="25"/>
  <c r="AP26" i="25"/>
  <c r="BI26" i="25"/>
  <c r="BV26" i="25"/>
  <c r="AR295" i="25"/>
  <c r="AP295" i="25"/>
  <c r="BV10" i="25"/>
  <c r="AR174" i="25"/>
  <c r="AP174" i="25"/>
  <c r="BU19" i="24"/>
  <c r="BU36" i="24"/>
  <c r="BU40" i="24"/>
  <c r="BU18" i="24"/>
  <c r="BJ82" i="24"/>
  <c r="BU82" i="24"/>
  <c r="BJ68" i="24"/>
  <c r="BU68" i="24"/>
  <c r="BJ83" i="24"/>
  <c r="BU83" i="24"/>
  <c r="BJ89" i="24"/>
  <c r="BU89" i="24"/>
  <c r="BJ79" i="24"/>
  <c r="BU79" i="24"/>
  <c r="BJ32" i="24"/>
  <c r="BU32" i="24"/>
  <c r="BJ56" i="24"/>
  <c r="BU56" i="24"/>
  <c r="BJ63" i="24"/>
  <c r="BU63" i="24"/>
  <c r="BJ29" i="24"/>
  <c r="BU29" i="24"/>
  <c r="BU46" i="24"/>
  <c r="BJ59" i="24"/>
  <c r="BU59" i="24"/>
  <c r="BJ96" i="24"/>
  <c r="BU96" i="24"/>
  <c r="BJ31" i="24"/>
  <c r="BU31" i="24"/>
  <c r="BJ100" i="24"/>
  <c r="BU100" i="24"/>
  <c r="BJ54" i="24"/>
  <c r="BU54" i="24"/>
  <c r="BJ92" i="24"/>
  <c r="BU92" i="24"/>
  <c r="BJ72" i="24"/>
  <c r="BU72" i="24"/>
  <c r="BJ42" i="24"/>
  <c r="BU42" i="24"/>
  <c r="BU21" i="24"/>
  <c r="BU28" i="24"/>
  <c r="BJ85" i="24"/>
  <c r="AS40" i="24"/>
  <c r="BK32" i="24"/>
  <c r="AS32" i="24"/>
  <c r="AW32" i="24" s="1"/>
  <c r="AY32" i="24" s="1"/>
  <c r="AZ32" i="24" s="1"/>
  <c r="BL32" i="24"/>
  <c r="AQ40" i="24"/>
  <c r="BK40" i="24"/>
  <c r="BL40" i="24"/>
  <c r="AQ32" i="24"/>
  <c r="AS201" i="24"/>
  <c r="AQ201" i="24"/>
  <c r="AS202" i="24"/>
  <c r="AQ202" i="24"/>
  <c r="AS200" i="24"/>
  <c r="CD200" i="24"/>
  <c r="AS197" i="24"/>
  <c r="AQ197" i="24"/>
  <c r="AS185" i="24"/>
  <c r="AQ185" i="24"/>
  <c r="AS183" i="24"/>
  <c r="AQ183" i="24"/>
  <c r="AS187" i="24"/>
  <c r="AQ187" i="24"/>
  <c r="AS190" i="24"/>
  <c r="AQ190" i="24"/>
  <c r="BJ18" i="24"/>
  <c r="BK53" i="24"/>
  <c r="BJ53" i="24"/>
  <c r="BL56" i="24"/>
  <c r="BK56" i="24"/>
  <c r="BL63" i="24"/>
  <c r="BK63" i="24"/>
  <c r="BL29" i="24"/>
  <c r="BK29" i="24"/>
  <c r="BL100" i="24"/>
  <c r="BK100" i="24"/>
  <c r="BL36" i="24"/>
  <c r="BK36" i="24"/>
  <c r="BL54" i="24"/>
  <c r="BK54" i="24"/>
  <c r="BL92" i="24"/>
  <c r="BK92" i="24"/>
  <c r="BL72" i="24"/>
  <c r="BK72" i="24"/>
  <c r="BL85" i="24"/>
  <c r="BK85" i="24"/>
  <c r="BL42" i="24"/>
  <c r="BK42" i="24"/>
  <c r="BL82" i="24"/>
  <c r="BK82" i="24"/>
  <c r="BL68" i="24"/>
  <c r="BK68" i="24"/>
  <c r="BL59" i="24"/>
  <c r="BK59" i="24"/>
  <c r="BL96" i="24"/>
  <c r="BK96" i="24"/>
  <c r="BL83" i="24"/>
  <c r="BK83" i="24"/>
  <c r="BL28" i="24"/>
  <c r="BK28" i="24"/>
  <c r="BL89" i="24"/>
  <c r="BK89" i="24"/>
  <c r="BL21" i="24"/>
  <c r="BK21" i="24"/>
  <c r="BL46" i="24"/>
  <c r="BK46" i="24"/>
  <c r="BL79" i="24"/>
  <c r="BK79" i="24"/>
  <c r="BL19" i="24"/>
  <c r="BK19" i="24"/>
  <c r="BL31" i="24"/>
  <c r="BK31" i="24"/>
  <c r="AQ18" i="24"/>
  <c r="BL18" i="24"/>
  <c r="AS53" i="24"/>
  <c r="AW53" i="24" s="1"/>
  <c r="AY53" i="24" s="1"/>
  <c r="BL53" i="24"/>
  <c r="AS18" i="24"/>
  <c r="AQ53" i="24"/>
  <c r="AQ100" i="24"/>
  <c r="AS100" i="24"/>
  <c r="AQ36" i="24"/>
  <c r="AS36" i="24"/>
  <c r="AQ258" i="24"/>
  <c r="AS258" i="24"/>
  <c r="AQ305" i="24"/>
  <c r="AS305" i="24"/>
  <c r="AQ250" i="24"/>
  <c r="AS250" i="24"/>
  <c r="AQ311" i="24"/>
  <c r="AS311" i="24"/>
  <c r="AQ289" i="24"/>
  <c r="AS289" i="24"/>
  <c r="AQ249" i="24"/>
  <c r="AS249" i="24"/>
  <c r="AQ248" i="24"/>
  <c r="AS248" i="24"/>
  <c r="AQ246" i="24"/>
  <c r="AS246" i="24"/>
  <c r="AQ126" i="24"/>
  <c r="AS126" i="24"/>
  <c r="AQ164" i="24"/>
  <c r="AS164" i="24"/>
  <c r="AQ142" i="24"/>
  <c r="AS142" i="24"/>
  <c r="AQ135" i="24"/>
  <c r="AS135" i="24"/>
  <c r="AQ137" i="24"/>
  <c r="AS137" i="24"/>
  <c r="AQ179" i="24"/>
  <c r="AS179" i="24"/>
  <c r="AQ85" i="24"/>
  <c r="AS85" i="24"/>
  <c r="AQ42" i="24"/>
  <c r="AS42" i="24"/>
  <c r="AQ231" i="24"/>
  <c r="AS231" i="24"/>
  <c r="AQ281" i="24"/>
  <c r="AS281" i="24"/>
  <c r="AQ241" i="24"/>
  <c r="AS241" i="24"/>
  <c r="AQ277" i="24"/>
  <c r="AS277" i="24"/>
  <c r="AQ220" i="24"/>
  <c r="AS220" i="24"/>
  <c r="AQ272" i="24"/>
  <c r="AS272" i="24"/>
  <c r="AQ283" i="24"/>
  <c r="AS283" i="24"/>
  <c r="AQ221" i="24"/>
  <c r="AS221" i="24"/>
  <c r="AQ244" i="24"/>
  <c r="AS244" i="24"/>
  <c r="AQ276" i="24"/>
  <c r="AS276" i="24"/>
  <c r="AQ271" i="24"/>
  <c r="AS271" i="24"/>
  <c r="AQ236" i="24"/>
  <c r="AS236" i="24"/>
  <c r="AQ222" i="24"/>
  <c r="AS222" i="24"/>
  <c r="AQ59" i="24"/>
  <c r="AS59" i="24"/>
  <c r="AQ96" i="24"/>
  <c r="AS96" i="24"/>
  <c r="AQ173" i="24"/>
  <c r="AS173" i="24"/>
  <c r="AQ120" i="24"/>
  <c r="AS120" i="24"/>
  <c r="AQ138" i="24"/>
  <c r="AS138" i="24"/>
  <c r="AQ127" i="24"/>
  <c r="AS127" i="24"/>
  <c r="AQ178" i="24"/>
  <c r="AS178" i="24"/>
  <c r="AQ28" i="24"/>
  <c r="AS28" i="24"/>
  <c r="AQ89" i="24"/>
  <c r="AS89" i="24"/>
  <c r="AQ21" i="24"/>
  <c r="AS21" i="24"/>
  <c r="AQ269" i="24"/>
  <c r="AS269" i="24"/>
  <c r="AQ255" i="24"/>
  <c r="AS255" i="24"/>
  <c r="AQ300" i="24"/>
  <c r="AS300" i="24"/>
  <c r="AQ294" i="24"/>
  <c r="AS294" i="24"/>
  <c r="AQ252" i="24"/>
  <c r="AS252" i="24"/>
  <c r="AQ295" i="24"/>
  <c r="AS295" i="24"/>
  <c r="AQ230" i="24"/>
  <c r="AS230" i="24"/>
  <c r="AQ253" i="24"/>
  <c r="AS253" i="24"/>
  <c r="AQ274" i="24"/>
  <c r="AS274" i="24"/>
  <c r="AQ245" i="24"/>
  <c r="AS245" i="24"/>
  <c r="AQ254" i="24"/>
  <c r="AS254" i="24"/>
  <c r="AQ260" i="24"/>
  <c r="AS260" i="24"/>
  <c r="AQ280" i="24"/>
  <c r="AS280" i="24"/>
  <c r="AQ275" i="24"/>
  <c r="AS275" i="24"/>
  <c r="AQ268" i="24"/>
  <c r="AS268" i="24"/>
  <c r="AQ247" i="24"/>
  <c r="AS247" i="24"/>
  <c r="AQ224" i="24"/>
  <c r="AS224" i="24"/>
  <c r="AQ217" i="24"/>
  <c r="AS217" i="24"/>
  <c r="AQ223" i="24"/>
  <c r="AS223" i="24"/>
  <c r="AQ46" i="24"/>
  <c r="AS46" i="24"/>
  <c r="AQ139" i="24"/>
  <c r="AS139" i="24"/>
  <c r="AQ148" i="24"/>
  <c r="AS148" i="24"/>
  <c r="AQ301" i="24"/>
  <c r="AS301" i="24"/>
  <c r="AQ79" i="24"/>
  <c r="AS79" i="24"/>
  <c r="AQ171" i="24"/>
  <c r="AS171" i="24"/>
  <c r="AQ145" i="24"/>
  <c r="AS145" i="24"/>
  <c r="AQ19" i="24"/>
  <c r="AS19" i="24"/>
  <c r="AQ31" i="24"/>
  <c r="AS31" i="24"/>
  <c r="AQ284" i="24"/>
  <c r="AS284" i="24"/>
  <c r="AQ302" i="24"/>
  <c r="AS302" i="24"/>
  <c r="AQ315" i="24"/>
  <c r="AS315" i="24"/>
  <c r="AQ262" i="24"/>
  <c r="AS262" i="24"/>
  <c r="AQ298" i="24"/>
  <c r="AS298" i="24"/>
  <c r="AQ303" i="24"/>
  <c r="AS303" i="24"/>
  <c r="AQ54" i="24"/>
  <c r="AS54" i="24"/>
  <c r="AQ92" i="24"/>
  <c r="AS92" i="24"/>
  <c r="AQ140" i="24"/>
  <c r="AS140" i="24"/>
  <c r="AQ125" i="24"/>
  <c r="AS125" i="24"/>
  <c r="AQ111" i="24"/>
  <c r="AS111" i="24"/>
  <c r="AQ72" i="24"/>
  <c r="AS72" i="24"/>
  <c r="AQ143" i="24"/>
  <c r="AS143" i="24"/>
  <c r="AQ175" i="24"/>
  <c r="AS175" i="24"/>
  <c r="AQ154" i="24"/>
  <c r="AS154" i="24"/>
  <c r="AQ291" i="24"/>
  <c r="AS291" i="24"/>
  <c r="AQ304" i="24"/>
  <c r="AS304" i="24"/>
  <c r="AQ287" i="24"/>
  <c r="AS287" i="24"/>
  <c r="AQ219" i="24"/>
  <c r="AS219" i="24"/>
  <c r="AQ229" i="24"/>
  <c r="AS229" i="24"/>
  <c r="AQ259" i="24"/>
  <c r="AS259" i="24"/>
  <c r="AQ286" i="24"/>
  <c r="AS286" i="24"/>
  <c r="AQ317" i="24"/>
  <c r="AS317" i="24"/>
  <c r="AQ82" i="24"/>
  <c r="AS82" i="24"/>
  <c r="AQ68" i="24"/>
  <c r="AS68" i="24"/>
  <c r="AQ160" i="24"/>
  <c r="AS160" i="24"/>
  <c r="AQ121" i="24"/>
  <c r="AS121" i="24"/>
  <c r="AQ118" i="24"/>
  <c r="AS118" i="24"/>
  <c r="AQ113" i="24"/>
  <c r="AS113" i="24"/>
  <c r="AQ124" i="24"/>
  <c r="AS124" i="24"/>
  <c r="AQ144" i="24"/>
  <c r="AS144" i="24"/>
  <c r="AQ83" i="24"/>
  <c r="AS83" i="24"/>
  <c r="AQ56" i="24"/>
  <c r="AS56" i="24"/>
  <c r="AQ273" i="24"/>
  <c r="AS273" i="24"/>
  <c r="AQ278" i="24"/>
  <c r="AS278" i="24"/>
  <c r="AQ240" i="24"/>
  <c r="AS240" i="24"/>
  <c r="AQ310" i="24"/>
  <c r="AS310" i="24"/>
  <c r="AQ235" i="24"/>
  <c r="AS235" i="24"/>
  <c r="AQ242" i="24"/>
  <c r="AS242" i="24"/>
  <c r="AQ228" i="24"/>
  <c r="AS228" i="24"/>
  <c r="AQ299" i="24"/>
  <c r="AS299" i="24"/>
  <c r="AQ288" i="24"/>
  <c r="AS288" i="24"/>
  <c r="AQ234" i="24"/>
  <c r="AS234" i="24"/>
  <c r="AQ257" i="24"/>
  <c r="AS257" i="24"/>
  <c r="AQ237" i="24"/>
  <c r="AS237" i="24"/>
  <c r="AQ267" i="24"/>
  <c r="AS267" i="24"/>
  <c r="AQ314" i="24"/>
  <c r="AS314" i="24"/>
  <c r="AQ308" i="24"/>
  <c r="AS308" i="24"/>
  <c r="AQ251" i="24"/>
  <c r="AS251" i="24"/>
  <c r="AQ265" i="24"/>
  <c r="AS265" i="24"/>
  <c r="AQ225" i="24"/>
  <c r="AS225" i="24"/>
  <c r="AQ316" i="24"/>
  <c r="AS316" i="24"/>
  <c r="AQ63" i="24"/>
  <c r="AS63" i="24"/>
  <c r="AQ293" i="24"/>
  <c r="AS293" i="24"/>
  <c r="AQ158" i="24"/>
  <c r="AS158" i="24"/>
  <c r="AQ153" i="24"/>
  <c r="AS153" i="24"/>
  <c r="AQ129" i="24"/>
  <c r="AS129" i="24"/>
  <c r="AQ116" i="24"/>
  <c r="AS116" i="24"/>
  <c r="AQ177" i="24"/>
  <c r="AS177" i="24"/>
  <c r="AQ151" i="24"/>
  <c r="AS151" i="24"/>
  <c r="AQ180" i="24"/>
  <c r="AS180" i="24"/>
  <c r="AQ29" i="24"/>
  <c r="AS29" i="24"/>
  <c r="BK155" i="25" l="1"/>
  <c r="AR155" i="25"/>
  <c r="AP155" i="25"/>
  <c r="BJ155" i="25"/>
  <c r="BI155" i="25"/>
  <c r="BV155" i="25"/>
  <c r="AR281" i="25"/>
  <c r="AR249" i="25"/>
  <c r="AT249" i="25" s="1"/>
  <c r="BA249" i="25" s="1"/>
  <c r="AP249" i="25"/>
  <c r="BI129" i="25"/>
  <c r="AR228" i="25"/>
  <c r="AP290" i="25"/>
  <c r="AP248" i="25"/>
  <c r="AR248" i="25"/>
  <c r="AT248" i="25" s="1"/>
  <c r="BA248" i="25" s="1"/>
  <c r="AP171" i="25"/>
  <c r="AR171" i="25"/>
  <c r="AT171" i="25" s="1"/>
  <c r="BA171" i="25" s="1"/>
  <c r="BJ171" i="25"/>
  <c r="BI157" i="25"/>
  <c r="AR141" i="25"/>
  <c r="AT141" i="25" s="1"/>
  <c r="BA141" i="25" s="1"/>
  <c r="AR186" i="25"/>
  <c r="BJ186" i="25"/>
  <c r="BV129" i="25"/>
  <c r="BI186" i="25"/>
  <c r="BJ129" i="25"/>
  <c r="AP129" i="25"/>
  <c r="AR129" i="25"/>
  <c r="AT129" i="25" s="1"/>
  <c r="BA129" i="25" s="1"/>
  <c r="BV186" i="25"/>
  <c r="BK129" i="25"/>
  <c r="BK186" i="25"/>
  <c r="BJ157" i="25"/>
  <c r="BV141" i="25"/>
  <c r="BJ141" i="25"/>
  <c r="BI141" i="25"/>
  <c r="BK141" i="25"/>
  <c r="AP141" i="25"/>
  <c r="BK152" i="25"/>
  <c r="AP210" i="25"/>
  <c r="CE208" i="25"/>
  <c r="BJ152" i="25"/>
  <c r="BV152" i="25"/>
  <c r="BI152" i="25"/>
  <c r="AP152" i="25"/>
  <c r="AR152" i="25"/>
  <c r="AT152" i="25" s="1"/>
  <c r="BA152" i="25" s="1"/>
  <c r="AP149" i="25"/>
  <c r="AR149" i="25"/>
  <c r="AU149" i="25" s="1"/>
  <c r="BV149" i="25"/>
  <c r="AP140" i="25"/>
  <c r="AR140" i="25"/>
  <c r="AU140" i="25" s="1"/>
  <c r="AR312" i="25"/>
  <c r="AR278" i="25"/>
  <c r="AT278" i="25" s="1"/>
  <c r="BA278" i="25" s="1"/>
  <c r="AP196" i="25"/>
  <c r="AR224" i="25"/>
  <c r="AP278" i="25"/>
  <c r="BK171" i="25"/>
  <c r="BI171" i="25"/>
  <c r="BV171" i="25"/>
  <c r="BI149" i="25"/>
  <c r="BK149" i="25"/>
  <c r="BI185" i="25"/>
  <c r="BJ149" i="25"/>
  <c r="BV140" i="25"/>
  <c r="BV185" i="25"/>
  <c r="BK185" i="25"/>
  <c r="AP185" i="25"/>
  <c r="AR185" i="25"/>
  <c r="AU185" i="25" s="1"/>
  <c r="AP195" i="25"/>
  <c r="BJ185" i="25"/>
  <c r="BV195" i="25"/>
  <c r="AR195" i="25"/>
  <c r="AT195" i="25" s="1"/>
  <c r="BA195" i="25" s="1"/>
  <c r="AP197" i="25"/>
  <c r="AP172" i="25"/>
  <c r="BJ195" i="25"/>
  <c r="BK195" i="25"/>
  <c r="AP312" i="25"/>
  <c r="BJ202" i="25"/>
  <c r="BI195" i="25"/>
  <c r="AP202" i="25"/>
  <c r="AR202" i="25"/>
  <c r="AT202" i="25" s="1"/>
  <c r="BA202" i="25" s="1"/>
  <c r="AP198" i="25"/>
  <c r="AP208" i="25"/>
  <c r="AP209" i="25"/>
  <c r="BV202" i="25"/>
  <c r="AP170" i="25"/>
  <c r="BI140" i="25"/>
  <c r="AR170" i="25"/>
  <c r="AT170" i="25" s="1"/>
  <c r="BA170" i="25" s="1"/>
  <c r="BI170" i="25"/>
  <c r="BK140" i="25"/>
  <c r="BJ140" i="25"/>
  <c r="AP166" i="25"/>
  <c r="AP221" i="25"/>
  <c r="BV151" i="25"/>
  <c r="AP145" i="25"/>
  <c r="BV145" i="25"/>
  <c r="AP176" i="25"/>
  <c r="AR145" i="25"/>
  <c r="AT145" i="25" s="1"/>
  <c r="BA145" i="25" s="1"/>
  <c r="BJ145" i="25"/>
  <c r="BI145" i="25"/>
  <c r="BI123" i="25"/>
  <c r="BK145" i="25"/>
  <c r="BI202" i="25"/>
  <c r="AP113" i="25"/>
  <c r="AP229" i="25"/>
  <c r="AR229" i="25"/>
  <c r="AT229" i="25" s="1"/>
  <c r="BA229" i="25" s="1"/>
  <c r="AS74" i="24"/>
  <c r="AW74" i="24" s="1"/>
  <c r="AY74" i="24" s="1"/>
  <c r="BK74" i="24"/>
  <c r="AP179" i="25"/>
  <c r="AQ74" i="24"/>
  <c r="AR179" i="25"/>
  <c r="AU179" i="25" s="1"/>
  <c r="BK202" i="25"/>
  <c r="BJ158" i="25"/>
  <c r="AR158" i="25"/>
  <c r="AT158" i="25" s="1"/>
  <c r="BA158" i="25" s="1"/>
  <c r="AP260" i="25"/>
  <c r="AR260" i="25"/>
  <c r="AU260" i="25" s="1"/>
  <c r="AP238" i="25"/>
  <c r="BK170" i="25"/>
  <c r="BV170" i="25"/>
  <c r="BJ170" i="25"/>
  <c r="AR123" i="25"/>
  <c r="AU123" i="25" s="1"/>
  <c r="BJ151" i="25"/>
  <c r="AP151" i="25"/>
  <c r="AP242" i="25"/>
  <c r="AR166" i="25"/>
  <c r="AU166" i="25" s="1"/>
  <c r="AR176" i="25"/>
  <c r="AT176" i="25" s="1"/>
  <c r="BA176" i="25" s="1"/>
  <c r="BV123" i="25"/>
  <c r="AR151" i="25"/>
  <c r="AT151" i="25" s="1"/>
  <c r="BA151" i="25" s="1"/>
  <c r="AR242" i="25"/>
  <c r="AU242" i="25" s="1"/>
  <c r="AP123" i="25"/>
  <c r="BK151" i="25"/>
  <c r="BV166" i="25"/>
  <c r="AP244" i="25"/>
  <c r="BI158" i="25"/>
  <c r="AR244" i="25"/>
  <c r="AU244" i="25" s="1"/>
  <c r="BV158" i="25"/>
  <c r="AP271" i="25"/>
  <c r="BK158" i="25"/>
  <c r="AR271" i="25"/>
  <c r="AT271" i="25" s="1"/>
  <c r="BA271" i="25" s="1"/>
  <c r="AP181" i="25"/>
  <c r="AR181" i="25"/>
  <c r="AU181" i="25" s="1"/>
  <c r="AP158" i="25"/>
  <c r="BI179" i="25"/>
  <c r="BK179" i="25"/>
  <c r="BV179" i="25"/>
  <c r="AR209" i="25"/>
  <c r="AU209" i="25" s="1"/>
  <c r="BV208" i="25"/>
  <c r="BK127" i="25"/>
  <c r="BI209" i="25"/>
  <c r="BK208" i="25"/>
  <c r="AP127" i="25"/>
  <c r="AR198" i="25"/>
  <c r="AT198" i="25" s="1"/>
  <c r="BA198" i="25" s="1"/>
  <c r="BJ127" i="25"/>
  <c r="BK209" i="25"/>
  <c r="BI208" i="25"/>
  <c r="AR127" i="25"/>
  <c r="AT127" i="25" s="1"/>
  <c r="BA127" i="25" s="1"/>
  <c r="AR208" i="25"/>
  <c r="AT208" i="25" s="1"/>
  <c r="BA208" i="25" s="1"/>
  <c r="BV127" i="25"/>
  <c r="BJ209" i="25"/>
  <c r="BI127" i="25"/>
  <c r="BV209" i="25"/>
  <c r="AP298" i="25"/>
  <c r="BK123" i="25"/>
  <c r="AR298" i="25"/>
  <c r="AT298" i="25" s="1"/>
  <c r="BA298" i="25" s="1"/>
  <c r="BI151" i="25"/>
  <c r="BV196" i="25"/>
  <c r="BJ179" i="25"/>
  <c r="BJ196" i="25"/>
  <c r="AR196" i="25"/>
  <c r="AU196" i="25" s="1"/>
  <c r="BI196" i="25"/>
  <c r="BK176" i="25"/>
  <c r="BK196" i="25"/>
  <c r="BK143" i="25"/>
  <c r="BJ208" i="25"/>
  <c r="CE166" i="25"/>
  <c r="AR143" i="25"/>
  <c r="AU143" i="25" s="1"/>
  <c r="BV143" i="25"/>
  <c r="BJ143" i="25"/>
  <c r="BI143" i="25"/>
  <c r="AP143" i="25"/>
  <c r="BK197" i="25"/>
  <c r="BJ166" i="25"/>
  <c r="BV176" i="25"/>
  <c r="BI166" i="25"/>
  <c r="BI176" i="25"/>
  <c r="BK166" i="25"/>
  <c r="BJ176" i="25"/>
  <c r="AR172" i="25"/>
  <c r="AT172" i="25" s="1"/>
  <c r="BA172" i="25" s="1"/>
  <c r="AR113" i="25"/>
  <c r="AU113" i="25" s="1"/>
  <c r="BU74" i="24"/>
  <c r="BJ74" i="24"/>
  <c r="BK172" i="25"/>
  <c r="BJ172" i="25"/>
  <c r="BL74" i="24"/>
  <c r="BI172" i="25"/>
  <c r="BK113" i="25"/>
  <c r="BI113" i="25"/>
  <c r="AP313" i="25"/>
  <c r="AP272" i="25"/>
  <c r="BV113" i="25"/>
  <c r="AR272" i="25"/>
  <c r="AU272" i="25" s="1"/>
  <c r="BW131" i="25"/>
  <c r="BV131" i="25"/>
  <c r="BI131" i="25"/>
  <c r="AP131" i="25"/>
  <c r="BK131" i="25"/>
  <c r="AR313" i="25"/>
  <c r="AU313" i="25" s="1"/>
  <c r="AR131" i="25"/>
  <c r="AT131" i="25" s="1"/>
  <c r="BA131" i="25" s="1"/>
  <c r="BK198" i="25"/>
  <c r="BK181" i="25"/>
  <c r="BV181" i="25"/>
  <c r="BJ181" i="25"/>
  <c r="BJ123" i="25"/>
  <c r="BV198" i="25"/>
  <c r="BJ198" i="25"/>
  <c r="BI198" i="25"/>
  <c r="BI181" i="25"/>
  <c r="AR197" i="25"/>
  <c r="AT197" i="25" s="1"/>
  <c r="BA197" i="25" s="1"/>
  <c r="BJ197" i="25"/>
  <c r="BI197" i="25"/>
  <c r="BV197" i="25"/>
  <c r="BJ113" i="25"/>
  <c r="BJ148" i="25"/>
  <c r="BV148" i="25"/>
  <c r="AP126" i="25"/>
  <c r="BI148" i="25"/>
  <c r="AR126" i="25"/>
  <c r="AT126" i="25" s="1"/>
  <c r="BA126" i="25" s="1"/>
  <c r="BV126" i="25"/>
  <c r="BK148" i="25"/>
  <c r="BI126" i="25"/>
  <c r="AP148" i="25"/>
  <c r="AR148" i="25"/>
  <c r="AU148" i="25" s="1"/>
  <c r="BV210" i="25"/>
  <c r="AP125" i="25"/>
  <c r="BI125" i="25"/>
  <c r="AR210" i="25"/>
  <c r="AT210" i="25" s="1"/>
  <c r="BA210" i="25" s="1"/>
  <c r="AR125" i="25"/>
  <c r="AT125" i="25" s="1"/>
  <c r="BA125" i="25" s="1"/>
  <c r="BV125" i="25"/>
  <c r="BJ125" i="25"/>
  <c r="BV172" i="25"/>
  <c r="BK126" i="25"/>
  <c r="BJ126" i="25"/>
  <c r="BK125" i="25"/>
  <c r="AP184" i="25"/>
  <c r="AP156" i="25"/>
  <c r="AR156" i="25"/>
  <c r="AU156" i="25" s="1"/>
  <c r="AS282" i="24"/>
  <c r="AW282" i="24" s="1"/>
  <c r="BV156" i="25"/>
  <c r="AR133" i="25"/>
  <c r="AT133" i="25" s="1"/>
  <c r="BA133" i="25" s="1"/>
  <c r="AP133" i="25"/>
  <c r="AR184" i="25"/>
  <c r="AT184" i="25" s="1"/>
  <c r="BA184" i="25" s="1"/>
  <c r="BV133" i="25"/>
  <c r="BI133" i="25"/>
  <c r="BI184" i="25"/>
  <c r="BJ184" i="25"/>
  <c r="BV184" i="25"/>
  <c r="BK184" i="25"/>
  <c r="BJ156" i="25"/>
  <c r="BI156" i="25"/>
  <c r="BK156" i="25"/>
  <c r="BV74" i="24"/>
  <c r="AX74" i="24"/>
  <c r="BK210" i="25"/>
  <c r="BJ210" i="25"/>
  <c r="BI210" i="25"/>
  <c r="BK133" i="25"/>
  <c r="BW133" i="25"/>
  <c r="BC5" i="24"/>
  <c r="BD5" i="24"/>
  <c r="BA19" i="25"/>
  <c r="BB19" i="25"/>
  <c r="BA60" i="25"/>
  <c r="BB60" i="25"/>
  <c r="BA85" i="25"/>
  <c r="BB85" i="25"/>
  <c r="BA66" i="25"/>
  <c r="BB66" i="25"/>
  <c r="BA7" i="25"/>
  <c r="BB7" i="25"/>
  <c r="BA75" i="25"/>
  <c r="BB75" i="25"/>
  <c r="BA57" i="25"/>
  <c r="BB57" i="25"/>
  <c r="BA25" i="25"/>
  <c r="BB25" i="25"/>
  <c r="BA55" i="25"/>
  <c r="BB55" i="25"/>
  <c r="BA77" i="25"/>
  <c r="BB77" i="25"/>
  <c r="BA45" i="25"/>
  <c r="BB45" i="25"/>
  <c r="BA39" i="25"/>
  <c r="BB39" i="25"/>
  <c r="BA46" i="25"/>
  <c r="BB46" i="25"/>
  <c r="BA33" i="25"/>
  <c r="BB33" i="25"/>
  <c r="BA89" i="25"/>
  <c r="BB89" i="25"/>
  <c r="BA43" i="25"/>
  <c r="BB43" i="25"/>
  <c r="BA34" i="25"/>
  <c r="BB34" i="25"/>
  <c r="BA84" i="25"/>
  <c r="BB84" i="25"/>
  <c r="BA98" i="25"/>
  <c r="BB98" i="25"/>
  <c r="BC104" i="24"/>
  <c r="BD104" i="24"/>
  <c r="BA58" i="25"/>
  <c r="BB58" i="25"/>
  <c r="BA72" i="25"/>
  <c r="BB72" i="25"/>
  <c r="BA18" i="25"/>
  <c r="BB18" i="25"/>
  <c r="BA90" i="25"/>
  <c r="BB90" i="25"/>
  <c r="BA80" i="25"/>
  <c r="BB80" i="25"/>
  <c r="BA99" i="25"/>
  <c r="BB99" i="25"/>
  <c r="BA74" i="25"/>
  <c r="BB74" i="25"/>
  <c r="BA32" i="25"/>
  <c r="BB32" i="25"/>
  <c r="BA65" i="25"/>
  <c r="BB65" i="25"/>
  <c r="BA73" i="25"/>
  <c r="BB73" i="25"/>
  <c r="BA16" i="25"/>
  <c r="BB16" i="25"/>
  <c r="BA95" i="25"/>
  <c r="BB95" i="25"/>
  <c r="BA23" i="25"/>
  <c r="BB23" i="25"/>
  <c r="BA50" i="25"/>
  <c r="BB50" i="25"/>
  <c r="BA10" i="25"/>
  <c r="BB10" i="25"/>
  <c r="AZ53" i="24"/>
  <c r="CD105" i="24"/>
  <c r="AQ105" i="24"/>
  <c r="BJ35" i="24"/>
  <c r="CD35" i="24"/>
  <c r="BK65" i="24"/>
  <c r="CD65" i="24"/>
  <c r="AN43" i="24"/>
  <c r="AX43" i="24" s="1"/>
  <c r="AJ212" i="24"/>
  <c r="AT212" i="24" s="1"/>
  <c r="E20" i="1" s="1"/>
  <c r="AQ306" i="24"/>
  <c r="CD306" i="24"/>
  <c r="AS270" i="24"/>
  <c r="AU270" i="24" s="1"/>
  <c r="CD270" i="24"/>
  <c r="CD208" i="24"/>
  <c r="AG212" i="24"/>
  <c r="AF212" i="24"/>
  <c r="AQ296" i="24"/>
  <c r="CD296" i="24"/>
  <c r="AQ312" i="24"/>
  <c r="CD312" i="24"/>
  <c r="BJ41" i="24"/>
  <c r="CD41" i="24"/>
  <c r="BU122" i="24"/>
  <c r="CD122" i="24"/>
  <c r="BK110" i="25"/>
  <c r="BJ110" i="25"/>
  <c r="BV110" i="25"/>
  <c r="BI110" i="25"/>
  <c r="AX172" i="24"/>
  <c r="AX123" i="24"/>
  <c r="BU115" i="24"/>
  <c r="AX181" i="24"/>
  <c r="BU155" i="24"/>
  <c r="AX195" i="24"/>
  <c r="BU157" i="24"/>
  <c r="AX208" i="24"/>
  <c r="BV210" i="24"/>
  <c r="BV195" i="24"/>
  <c r="AX157" i="24"/>
  <c r="AX115" i="24"/>
  <c r="BV122" i="24"/>
  <c r="BU123" i="24"/>
  <c r="BJ181" i="24"/>
  <c r="BU210" i="24"/>
  <c r="BJ208" i="24"/>
  <c r="AQ136" i="24"/>
  <c r="BK136" i="24"/>
  <c r="BL136" i="24"/>
  <c r="CD196" i="24"/>
  <c r="BL196" i="24"/>
  <c r="BK196" i="24"/>
  <c r="BJ196" i="24"/>
  <c r="BV196" i="24"/>
  <c r="BU196" i="24"/>
  <c r="AX196" i="24"/>
  <c r="CD204" i="24"/>
  <c r="BL204" i="24"/>
  <c r="BK204" i="24"/>
  <c r="BJ204" i="24"/>
  <c r="BU204" i="24"/>
  <c r="BV204" i="24"/>
  <c r="AX204" i="24"/>
  <c r="CD198" i="24"/>
  <c r="BK198" i="24"/>
  <c r="BL198" i="24"/>
  <c r="BV198" i="24"/>
  <c r="BU198" i="24"/>
  <c r="BJ198" i="24"/>
  <c r="AX198" i="24"/>
  <c r="CD170" i="24"/>
  <c r="BK170" i="24"/>
  <c r="BL170" i="24"/>
  <c r="BV170" i="24"/>
  <c r="BU170" i="24"/>
  <c r="BJ170" i="24"/>
  <c r="AX170" i="24"/>
  <c r="CD189" i="24"/>
  <c r="BK189" i="24"/>
  <c r="BL189" i="24"/>
  <c r="AX189" i="24"/>
  <c r="BV189" i="24"/>
  <c r="BU189" i="24"/>
  <c r="BJ189" i="24"/>
  <c r="CD132" i="24"/>
  <c r="BL132" i="24"/>
  <c r="BK132" i="24"/>
  <c r="BU132" i="24"/>
  <c r="BV132" i="24"/>
  <c r="BJ132" i="24"/>
  <c r="AX132" i="24"/>
  <c r="BU136" i="24"/>
  <c r="BJ136" i="24"/>
  <c r="CD163" i="24"/>
  <c r="BL163" i="24"/>
  <c r="BK163" i="24"/>
  <c r="BU163" i="24"/>
  <c r="BV163" i="24"/>
  <c r="AX163" i="24"/>
  <c r="BJ163" i="24"/>
  <c r="CD131" i="24"/>
  <c r="BK131" i="24"/>
  <c r="BL131" i="24"/>
  <c r="BU131" i="24"/>
  <c r="BV131" i="24"/>
  <c r="AX131" i="24"/>
  <c r="BJ131" i="24"/>
  <c r="CD186" i="24"/>
  <c r="BK186" i="24"/>
  <c r="BL186" i="24"/>
  <c r="BV186" i="24"/>
  <c r="BU186" i="24"/>
  <c r="BJ186" i="24"/>
  <c r="AX186" i="24"/>
  <c r="CD112" i="24"/>
  <c r="BK112" i="24"/>
  <c r="BL112" i="24"/>
  <c r="AQ184" i="24"/>
  <c r="BK184" i="24"/>
  <c r="BL184" i="24"/>
  <c r="BV184" i="24"/>
  <c r="BU184" i="24"/>
  <c r="BJ184" i="24"/>
  <c r="AX184" i="24"/>
  <c r="CD174" i="24"/>
  <c r="BK174" i="24"/>
  <c r="BL174" i="24"/>
  <c r="BU174" i="24"/>
  <c r="AX174" i="24"/>
  <c r="BV174" i="24"/>
  <c r="BJ174" i="24"/>
  <c r="CD156" i="24"/>
  <c r="BK156" i="24"/>
  <c r="BL156" i="24"/>
  <c r="BU156" i="24"/>
  <c r="BV156" i="24"/>
  <c r="BJ156" i="24"/>
  <c r="AX156" i="24"/>
  <c r="CD117" i="24"/>
  <c r="BK117" i="24"/>
  <c r="BL117" i="24"/>
  <c r="AX117" i="24"/>
  <c r="BU117" i="24"/>
  <c r="BJ117" i="24"/>
  <c r="BV117" i="24"/>
  <c r="CD176" i="24"/>
  <c r="BK176" i="24"/>
  <c r="BL176" i="24"/>
  <c r="BJ176" i="24"/>
  <c r="BU176" i="24"/>
  <c r="BV176" i="24"/>
  <c r="AX176" i="24"/>
  <c r="AQ114" i="24"/>
  <c r="BK114" i="24"/>
  <c r="BL114" i="24"/>
  <c r="BV114" i="24"/>
  <c r="AX114" i="24"/>
  <c r="BJ114" i="24"/>
  <c r="BU114" i="24"/>
  <c r="CD130" i="24"/>
  <c r="BK130" i="24"/>
  <c r="BL130" i="24"/>
  <c r="AX130" i="24"/>
  <c r="BV130" i="24"/>
  <c r="BJ130" i="24"/>
  <c r="BU130" i="24"/>
  <c r="AS167" i="24"/>
  <c r="AU167" i="24" s="1"/>
  <c r="BK167" i="24"/>
  <c r="BL167" i="24"/>
  <c r="BV167" i="24"/>
  <c r="BJ167" i="24"/>
  <c r="BU167" i="24"/>
  <c r="AX167" i="24"/>
  <c r="CD159" i="24"/>
  <c r="BL159" i="24"/>
  <c r="BK159" i="24"/>
  <c r="BU159" i="24"/>
  <c r="BV159" i="24"/>
  <c r="BJ159" i="24"/>
  <c r="AX159" i="24"/>
  <c r="BK146" i="24"/>
  <c r="BL146" i="24"/>
  <c r="BV146" i="24"/>
  <c r="AX146" i="24"/>
  <c r="BJ146" i="24"/>
  <c r="BU146" i="24"/>
  <c r="CD128" i="24"/>
  <c r="BK128" i="24"/>
  <c r="BL128" i="24"/>
  <c r="BV128" i="24"/>
  <c r="BU128" i="24"/>
  <c r="BJ128" i="24"/>
  <c r="AX128" i="24"/>
  <c r="CD152" i="24"/>
  <c r="BL152" i="24"/>
  <c r="BK152" i="24"/>
  <c r="BV152" i="24"/>
  <c r="BJ152" i="24"/>
  <c r="BU152" i="24"/>
  <c r="AX152" i="24"/>
  <c r="CD165" i="24"/>
  <c r="BL165" i="24"/>
  <c r="BK165" i="24"/>
  <c r="BU165" i="24"/>
  <c r="AX165" i="24"/>
  <c r="BV165" i="24"/>
  <c r="BJ165" i="24"/>
  <c r="BV136" i="24"/>
  <c r="AS165" i="24"/>
  <c r="AU165" i="24" s="1"/>
  <c r="BK110" i="24"/>
  <c r="BL110" i="24"/>
  <c r="BU110" i="24"/>
  <c r="AX110" i="24"/>
  <c r="BV110" i="24"/>
  <c r="BJ110" i="24"/>
  <c r="CD123" i="24"/>
  <c r="BK123" i="24"/>
  <c r="BL123" i="24"/>
  <c r="CD194" i="24"/>
  <c r="BK194" i="24"/>
  <c r="BL194" i="24"/>
  <c r="BU194" i="24"/>
  <c r="BV194" i="24"/>
  <c r="BJ194" i="24"/>
  <c r="AX194" i="24"/>
  <c r="BK169" i="24"/>
  <c r="BL169" i="24"/>
  <c r="CD207" i="24"/>
  <c r="BK207" i="24"/>
  <c r="BL207" i="24"/>
  <c r="CD172" i="24"/>
  <c r="BL172" i="24"/>
  <c r="BK172" i="24"/>
  <c r="CD192" i="24"/>
  <c r="BK192" i="24"/>
  <c r="BL192" i="24"/>
  <c r="BV192" i="24"/>
  <c r="AX192" i="24"/>
  <c r="BJ192" i="24"/>
  <c r="BU192" i="24"/>
  <c r="CD199" i="24"/>
  <c r="BK199" i="24"/>
  <c r="BL199" i="24"/>
  <c r="BU199" i="24"/>
  <c r="BJ199" i="24"/>
  <c r="BV199" i="24"/>
  <c r="AX199" i="24"/>
  <c r="CD157" i="24"/>
  <c r="BL157" i="24"/>
  <c r="BK157" i="24"/>
  <c r="CD141" i="24"/>
  <c r="BK141" i="24"/>
  <c r="BL141" i="24"/>
  <c r="AX141" i="24"/>
  <c r="BU141" i="24"/>
  <c r="BV141" i="24"/>
  <c r="BJ141" i="24"/>
  <c r="CD188" i="24"/>
  <c r="BL188" i="24"/>
  <c r="BK188" i="24"/>
  <c r="BJ188" i="24"/>
  <c r="BU188" i="24"/>
  <c r="BV188" i="24"/>
  <c r="AX188" i="24"/>
  <c r="CD209" i="24"/>
  <c r="BK209" i="24"/>
  <c r="BL209" i="24"/>
  <c r="BJ209" i="24"/>
  <c r="BU209" i="24"/>
  <c r="BV209" i="24"/>
  <c r="AX209" i="24"/>
  <c r="AS133" i="24"/>
  <c r="AU133" i="24" s="1"/>
  <c r="BK133" i="24"/>
  <c r="BL133" i="24"/>
  <c r="AX133" i="24"/>
  <c r="BU133" i="24"/>
  <c r="BJ133" i="24"/>
  <c r="BV133" i="24"/>
  <c r="CD206" i="24"/>
  <c r="BK206" i="24"/>
  <c r="BL206" i="24"/>
  <c r="BV206" i="24"/>
  <c r="BU206" i="24"/>
  <c r="AX206" i="24"/>
  <c r="BJ206" i="24"/>
  <c r="AS166" i="24"/>
  <c r="AU166" i="24" s="1"/>
  <c r="BK166" i="24"/>
  <c r="BL166" i="24"/>
  <c r="BU166" i="24"/>
  <c r="BJ166" i="24"/>
  <c r="BV166" i="24"/>
  <c r="AX166" i="24"/>
  <c r="AQ191" i="24"/>
  <c r="BK191" i="24"/>
  <c r="BL191" i="24"/>
  <c r="BU191" i="24"/>
  <c r="BV191" i="24"/>
  <c r="BJ191" i="24"/>
  <c r="AX191" i="24"/>
  <c r="AX207" i="24"/>
  <c r="BV112" i="24"/>
  <c r="BJ112" i="24"/>
  <c r="BV172" i="24"/>
  <c r="BJ169" i="24"/>
  <c r="BU169" i="24"/>
  <c r="CD134" i="24"/>
  <c r="BL134" i="24"/>
  <c r="BK134" i="24"/>
  <c r="BU134" i="24"/>
  <c r="BJ134" i="24"/>
  <c r="AX134" i="24"/>
  <c r="BV134" i="24"/>
  <c r="AQ161" i="24"/>
  <c r="BL161" i="24"/>
  <c r="BK161" i="24"/>
  <c r="AX161" i="24"/>
  <c r="BU161" i="24"/>
  <c r="BJ161" i="24"/>
  <c r="BV161" i="24"/>
  <c r="BK168" i="24"/>
  <c r="BL168" i="24"/>
  <c r="BJ168" i="24"/>
  <c r="BU168" i="24"/>
  <c r="BV168" i="24"/>
  <c r="AX168" i="24"/>
  <c r="CD147" i="24"/>
  <c r="BL147" i="24"/>
  <c r="BK147" i="24"/>
  <c r="BU147" i="24"/>
  <c r="BV147" i="24"/>
  <c r="AX147" i="24"/>
  <c r="BJ147" i="24"/>
  <c r="CD182" i="24"/>
  <c r="BK182" i="24"/>
  <c r="BL182" i="24"/>
  <c r="BU182" i="24"/>
  <c r="BV182" i="24"/>
  <c r="AX182" i="24"/>
  <c r="BJ182" i="24"/>
  <c r="BL155" i="24"/>
  <c r="BK155" i="24"/>
  <c r="CD149" i="24"/>
  <c r="BL149" i="24"/>
  <c r="BK149" i="24"/>
  <c r="BU149" i="24"/>
  <c r="AX149" i="24"/>
  <c r="BV149" i="24"/>
  <c r="BJ149" i="24"/>
  <c r="AS115" i="24"/>
  <c r="AU115" i="24" s="1"/>
  <c r="BK115" i="24"/>
  <c r="BL115" i="24"/>
  <c r="CD210" i="24"/>
  <c r="BK210" i="24"/>
  <c r="BL210" i="24"/>
  <c r="BK203" i="24"/>
  <c r="BL203" i="24"/>
  <c r="BV203" i="24"/>
  <c r="BJ203" i="24"/>
  <c r="BU203" i="24"/>
  <c r="AX203" i="24"/>
  <c r="CD205" i="24"/>
  <c r="BK205" i="24"/>
  <c r="BL205" i="24"/>
  <c r="AX205" i="24"/>
  <c r="BU205" i="24"/>
  <c r="BV205" i="24"/>
  <c r="BJ205" i="24"/>
  <c r="BK181" i="24"/>
  <c r="BL181" i="24"/>
  <c r="AQ208" i="24"/>
  <c r="BK208" i="24"/>
  <c r="BL208" i="24"/>
  <c r="CD119" i="24"/>
  <c r="BK119" i="24"/>
  <c r="BL119" i="24"/>
  <c r="BU119" i="24"/>
  <c r="AX119" i="24"/>
  <c r="BV119" i="24"/>
  <c r="BJ119" i="24"/>
  <c r="AQ162" i="24"/>
  <c r="BK162" i="24"/>
  <c r="BL162" i="24"/>
  <c r="BV162" i="24"/>
  <c r="BJ162" i="24"/>
  <c r="AX162" i="24"/>
  <c r="BU162" i="24"/>
  <c r="CD195" i="24"/>
  <c r="BK195" i="24"/>
  <c r="BL195" i="24"/>
  <c r="CD150" i="24"/>
  <c r="BK150" i="24"/>
  <c r="BL150" i="24"/>
  <c r="BU150" i="24"/>
  <c r="BJ150" i="24"/>
  <c r="BV150" i="24"/>
  <c r="AX150" i="24"/>
  <c r="AS122" i="24"/>
  <c r="AW122" i="24" s="1"/>
  <c r="BK122" i="24"/>
  <c r="BL122" i="24"/>
  <c r="CD193" i="24"/>
  <c r="BK193" i="24"/>
  <c r="BL193" i="24"/>
  <c r="AX193" i="24"/>
  <c r="BV193" i="24"/>
  <c r="BJ193" i="24"/>
  <c r="BU193" i="24"/>
  <c r="BJ207" i="24"/>
  <c r="BU207" i="24"/>
  <c r="BJ210" i="24"/>
  <c r="AX155" i="24"/>
  <c r="BV155" i="24"/>
  <c r="AX112" i="24"/>
  <c r="BU112" i="24"/>
  <c r="BU195" i="24"/>
  <c r="BJ157" i="24"/>
  <c r="BJ115" i="24"/>
  <c r="BU172" i="24"/>
  <c r="AX122" i="24"/>
  <c r="BJ122" i="24"/>
  <c r="BJ123" i="24"/>
  <c r="BU208" i="24"/>
  <c r="BV181" i="24"/>
  <c r="BV169" i="24"/>
  <c r="AX136" i="24"/>
  <c r="AQ152" i="24"/>
  <c r="BV55" i="24"/>
  <c r="AV7" i="24"/>
  <c r="AX50" i="24"/>
  <c r="BV50" i="24"/>
  <c r="AX87" i="24"/>
  <c r="BV87" i="24"/>
  <c r="AV48" i="24"/>
  <c r="AV81" i="24"/>
  <c r="BV81" i="24"/>
  <c r="BJ70" i="24"/>
  <c r="BV70" i="24"/>
  <c r="AS152" i="24"/>
  <c r="AW152" i="24" s="1"/>
  <c r="AV20" i="24"/>
  <c r="AX91" i="24"/>
  <c r="BV91" i="24"/>
  <c r="BJ27" i="24"/>
  <c r="BV27" i="24"/>
  <c r="AX105" i="24"/>
  <c r="BV105" i="24"/>
  <c r="BU101" i="24"/>
  <c r="BV101" i="24"/>
  <c r="AV38" i="24"/>
  <c r="AV62" i="24"/>
  <c r="AV39" i="24"/>
  <c r="AV77" i="24"/>
  <c r="AV76" i="24"/>
  <c r="BV97" i="24"/>
  <c r="BV64" i="24"/>
  <c r="BV33" i="24"/>
  <c r="AX86" i="24"/>
  <c r="BV86" i="24"/>
  <c r="BU14" i="24"/>
  <c r="BV14" i="24"/>
  <c r="AV57" i="24"/>
  <c r="AV90" i="24"/>
  <c r="AV44" i="24"/>
  <c r="AV84" i="24"/>
  <c r="AV93" i="24"/>
  <c r="AT103" i="24"/>
  <c r="BV34" i="24"/>
  <c r="AV22" i="24"/>
  <c r="BV22" i="24"/>
  <c r="AX69" i="24"/>
  <c r="BV69" i="24"/>
  <c r="AX23" i="24"/>
  <c r="BV23" i="24"/>
  <c r="AX95" i="24"/>
  <c r="BV95" i="24"/>
  <c r="AT52" i="24"/>
  <c r="AV45" i="24"/>
  <c r="AV80" i="24"/>
  <c r="AV71" i="24"/>
  <c r="BJ10" i="24"/>
  <c r="BV10" i="24"/>
  <c r="AT66" i="24"/>
  <c r="AT67" i="24"/>
  <c r="AX25" i="24"/>
  <c r="BV25" i="24"/>
  <c r="AV98" i="24"/>
  <c r="AV75" i="24"/>
  <c r="AX78" i="24"/>
  <c r="BV78" i="24"/>
  <c r="BV35" i="24"/>
  <c r="BV41" i="24"/>
  <c r="BV65" i="24"/>
  <c r="AU58" i="25"/>
  <c r="BF58" i="25" s="1"/>
  <c r="BU58" i="25" s="1"/>
  <c r="AQ193" i="24"/>
  <c r="AS279" i="24"/>
  <c r="AW279" i="24" s="1"/>
  <c r="BJ78" i="24"/>
  <c r="AQ279" i="24"/>
  <c r="AQ182" i="24"/>
  <c r="AV103" i="24"/>
  <c r="BK78" i="24"/>
  <c r="BU78" i="24"/>
  <c r="AS182" i="24"/>
  <c r="AU182" i="24" s="1"/>
  <c r="AS78" i="24"/>
  <c r="AW78" i="24" s="1"/>
  <c r="AY78" i="24" s="1"/>
  <c r="AS306" i="24"/>
  <c r="AU306" i="24" s="1"/>
  <c r="AQ70" i="24"/>
  <c r="BK70" i="24"/>
  <c r="BL70" i="24"/>
  <c r="BU70" i="24"/>
  <c r="AX70" i="24"/>
  <c r="AS70" i="24"/>
  <c r="AW70" i="24" s="1"/>
  <c r="AY70" i="24" s="1"/>
  <c r="AS193" i="24"/>
  <c r="AU193" i="24" s="1"/>
  <c r="AQ78" i="24"/>
  <c r="BL78" i="24"/>
  <c r="AQ238" i="24"/>
  <c r="AS203" i="24"/>
  <c r="AU203" i="24" s="1"/>
  <c r="CD203" i="24"/>
  <c r="AQ155" i="24"/>
  <c r="CD155" i="24"/>
  <c r="BJ51" i="24"/>
  <c r="CD51" i="24"/>
  <c r="AQ128" i="24"/>
  <c r="AX73" i="24"/>
  <c r="CD73" i="24"/>
  <c r="AQ168" i="24"/>
  <c r="CD168" i="24"/>
  <c r="AQ146" i="24"/>
  <c r="CD146" i="24"/>
  <c r="AS261" i="24"/>
  <c r="AU261" i="24" s="1"/>
  <c r="CD261" i="24"/>
  <c r="AS290" i="24"/>
  <c r="AU290" i="24" s="1"/>
  <c r="CD290" i="24"/>
  <c r="AX60" i="24"/>
  <c r="CD60" i="24"/>
  <c r="AS239" i="24"/>
  <c r="AU239" i="24" s="1"/>
  <c r="AS128" i="24"/>
  <c r="AW128" i="24" s="1"/>
  <c r="AS132" i="24"/>
  <c r="AW132" i="24" s="1"/>
  <c r="AQ132" i="24"/>
  <c r="AS191" i="24"/>
  <c r="AU191" i="24" s="1"/>
  <c r="BU25" i="24"/>
  <c r="AT75" i="24"/>
  <c r="AQ25" i="24"/>
  <c r="AS73" i="24"/>
  <c r="AU73" i="24" s="1"/>
  <c r="AQ266" i="24"/>
  <c r="AS312" i="24"/>
  <c r="AU312" i="24" s="1"/>
  <c r="AS218" i="24"/>
  <c r="AW218" i="24" s="1"/>
  <c r="AT76" i="24"/>
  <c r="AS256" i="24"/>
  <c r="AW256" i="24" s="1"/>
  <c r="AQ166" i="24"/>
  <c r="AQ263" i="24"/>
  <c r="BJ55" i="24"/>
  <c r="AS159" i="24"/>
  <c r="AU159" i="24" s="1"/>
  <c r="BU73" i="24"/>
  <c r="AQ117" i="24"/>
  <c r="AS313" i="24"/>
  <c r="AU313" i="24" s="1"/>
  <c r="AS176" i="24"/>
  <c r="AU176" i="24" s="1"/>
  <c r="AS114" i="24"/>
  <c r="AU114" i="24" s="1"/>
  <c r="AS146" i="24"/>
  <c r="AW146" i="24" s="1"/>
  <c r="BL55" i="24"/>
  <c r="AQ207" i="24"/>
  <c r="AQ133" i="24"/>
  <c r="AS189" i="24"/>
  <c r="AU189" i="24" s="1"/>
  <c r="AX81" i="24"/>
  <c r="AT81" i="24"/>
  <c r="AQ55" i="24"/>
  <c r="AQ292" i="24"/>
  <c r="AQ290" i="24"/>
  <c r="BK73" i="24"/>
  <c r="BL25" i="24"/>
  <c r="AQ189" i="24"/>
  <c r="BJ33" i="24"/>
  <c r="AQ256" i="24"/>
  <c r="BK33" i="24"/>
  <c r="AX55" i="24"/>
  <c r="AX22" i="24"/>
  <c r="AS33" i="24"/>
  <c r="AU33" i="24" s="1"/>
  <c r="AS292" i="24"/>
  <c r="AU292" i="24" s="1"/>
  <c r="BL33" i="24"/>
  <c r="AS55" i="24"/>
  <c r="AW55" i="24" s="1"/>
  <c r="AY55" i="24" s="1"/>
  <c r="AQ33" i="24"/>
  <c r="BK55" i="24"/>
  <c r="BU33" i="24"/>
  <c r="AS181" i="24"/>
  <c r="AU181" i="24" s="1"/>
  <c r="CD181" i="24"/>
  <c r="AQ130" i="24"/>
  <c r="AQ122" i="24"/>
  <c r="AS296" i="24"/>
  <c r="AU296" i="24" s="1"/>
  <c r="AQ73" i="24"/>
  <c r="AS243" i="24"/>
  <c r="AU243" i="24" s="1"/>
  <c r="BJ73" i="24"/>
  <c r="AQ307" i="24"/>
  <c r="CD307" i="24"/>
  <c r="AQ218" i="24"/>
  <c r="AQ167" i="24"/>
  <c r="AS147" i="24"/>
  <c r="AW147" i="24" s="1"/>
  <c r="BL73" i="24"/>
  <c r="AV67" i="24"/>
  <c r="AT93" i="24"/>
  <c r="AQ147" i="24"/>
  <c r="AV66" i="24"/>
  <c r="AS168" i="24"/>
  <c r="AU168" i="24" s="1"/>
  <c r="AS170" i="24"/>
  <c r="AW170" i="24" s="1"/>
  <c r="AQ264" i="24"/>
  <c r="AQ270" i="24"/>
  <c r="AQ159" i="24"/>
  <c r="AQ176" i="24"/>
  <c r="AT98" i="24"/>
  <c r="BJ25" i="24"/>
  <c r="AS25" i="24"/>
  <c r="AW25" i="24" s="1"/>
  <c r="AY25" i="24" s="1"/>
  <c r="AQ170" i="24"/>
  <c r="AS130" i="24"/>
  <c r="AU130" i="24" s="1"/>
  <c r="BK25" i="24"/>
  <c r="AT84" i="24"/>
  <c r="AT90" i="24"/>
  <c r="AT44" i="24"/>
  <c r="AS266" i="24"/>
  <c r="AU266" i="24" s="1"/>
  <c r="AS227" i="24"/>
  <c r="AW227" i="24" s="1"/>
  <c r="AQ297" i="24"/>
  <c r="AQ232" i="24"/>
  <c r="AS188" i="24"/>
  <c r="AU188" i="24" s="1"/>
  <c r="AT38" i="24"/>
  <c r="AT39" i="24"/>
  <c r="AQ206" i="24"/>
  <c r="AQ181" i="24"/>
  <c r="AS206" i="24"/>
  <c r="AU206" i="24" s="1"/>
  <c r="AQ209" i="24"/>
  <c r="AT62" i="24"/>
  <c r="AT77" i="24"/>
  <c r="BL23" i="24"/>
  <c r="AS150" i="24"/>
  <c r="AW150" i="24" s="1"/>
  <c r="AQ150" i="24"/>
  <c r="AS309" i="24"/>
  <c r="AW309" i="24" s="1"/>
  <c r="AQ10" i="24"/>
  <c r="AQ198" i="24"/>
  <c r="AS233" i="24"/>
  <c r="AU233" i="24" s="1"/>
  <c r="BL10" i="24"/>
  <c r="AS204" i="24"/>
  <c r="AW204" i="24" s="1"/>
  <c r="AS198" i="24"/>
  <c r="AW198" i="24" s="1"/>
  <c r="AS156" i="24"/>
  <c r="AU156" i="24" s="1"/>
  <c r="AS117" i="24"/>
  <c r="AW117" i="24" s="1"/>
  <c r="AS226" i="24"/>
  <c r="AU226" i="24" s="1"/>
  <c r="AS195" i="24"/>
  <c r="AU195" i="24" s="1"/>
  <c r="AS285" i="24"/>
  <c r="AU285" i="24" s="1"/>
  <c r="AS162" i="24"/>
  <c r="AW162" i="24" s="1"/>
  <c r="AQ186" i="24"/>
  <c r="AQ156" i="24"/>
  <c r="AQ195" i="24"/>
  <c r="AQ196" i="24"/>
  <c r="AQ204" i="24"/>
  <c r="AS174" i="24"/>
  <c r="AW174" i="24" s="1"/>
  <c r="AS307" i="24"/>
  <c r="AU307" i="24" s="1"/>
  <c r="AT48" i="24"/>
  <c r="AQ169" i="24"/>
  <c r="CD169" i="24"/>
  <c r="AT71" i="24"/>
  <c r="AS10" i="24"/>
  <c r="AW10" i="24" s="1"/>
  <c r="AY10" i="24" s="1"/>
  <c r="AQ97" i="24"/>
  <c r="BK10" i="24"/>
  <c r="BJ23" i="24"/>
  <c r="AQ188" i="24"/>
  <c r="BU10" i="24"/>
  <c r="AX10" i="24"/>
  <c r="AQ141" i="24"/>
  <c r="AQ192" i="24"/>
  <c r="AS209" i="24"/>
  <c r="AU209" i="24" s="1"/>
  <c r="AU40" i="24"/>
  <c r="AT80" i="24"/>
  <c r="AK71" i="24"/>
  <c r="AQ205" i="24"/>
  <c r="AQ149" i="24"/>
  <c r="AQ210" i="24"/>
  <c r="BL51" i="24"/>
  <c r="AQ174" i="24"/>
  <c r="AV52" i="24"/>
  <c r="AQ101" i="24"/>
  <c r="AS119" i="24"/>
  <c r="AU119" i="24" s="1"/>
  <c r="AT57" i="24"/>
  <c r="AQ112" i="24"/>
  <c r="AQ172" i="24"/>
  <c r="AQ95" i="24"/>
  <c r="AQ199" i="24"/>
  <c r="AT45" i="24"/>
  <c r="BL95" i="24"/>
  <c r="BU51" i="24"/>
  <c r="AQ51" i="24"/>
  <c r="BK14" i="24"/>
  <c r="AS184" i="24"/>
  <c r="AW184" i="24" s="1"/>
  <c r="AQ203" i="24"/>
  <c r="AS136" i="24"/>
  <c r="AU136" i="24" s="1"/>
  <c r="AS51" i="24"/>
  <c r="AU51" i="24" s="1"/>
  <c r="BK51" i="24"/>
  <c r="AS205" i="24"/>
  <c r="AW205" i="24" s="1"/>
  <c r="AQ119" i="24"/>
  <c r="BL50" i="24"/>
  <c r="AS208" i="24"/>
  <c r="AU208" i="24" s="1"/>
  <c r="AX51" i="24"/>
  <c r="BU95" i="24"/>
  <c r="BJ95" i="24"/>
  <c r="AS112" i="24"/>
  <c r="AU112" i="24" s="1"/>
  <c r="AS141" i="24"/>
  <c r="AU141" i="24" s="1"/>
  <c r="AS95" i="24"/>
  <c r="AW95" i="24" s="1"/>
  <c r="AY95" i="24" s="1"/>
  <c r="BK95" i="24"/>
  <c r="BK60" i="24"/>
  <c r="BJ60" i="24"/>
  <c r="AS60" i="24"/>
  <c r="AW60" i="24" s="1"/>
  <c r="AY60" i="24" s="1"/>
  <c r="AQ60" i="24"/>
  <c r="AQ23" i="24"/>
  <c r="AS196" i="24"/>
  <c r="AW196" i="24" s="1"/>
  <c r="BU60" i="24"/>
  <c r="AS23" i="24"/>
  <c r="AU23" i="24" s="1"/>
  <c r="BL60" i="24"/>
  <c r="BK23" i="24"/>
  <c r="BU23" i="24"/>
  <c r="BJ101" i="24"/>
  <c r="AX101" i="24"/>
  <c r="BL101" i="24"/>
  <c r="AS157" i="24"/>
  <c r="AW157" i="24" s="1"/>
  <c r="AS101" i="24"/>
  <c r="AW101" i="24" s="1"/>
  <c r="AY101" i="24" s="1"/>
  <c r="AQ157" i="24"/>
  <c r="AS131" i="24"/>
  <c r="AW131" i="24" s="1"/>
  <c r="BK101" i="24"/>
  <c r="AS186" i="24"/>
  <c r="AW186" i="24" s="1"/>
  <c r="AS199" i="24"/>
  <c r="AU199" i="24" s="1"/>
  <c r="AS192" i="24"/>
  <c r="AU192" i="24" s="1"/>
  <c r="BU105" i="24"/>
  <c r="AS110" i="24"/>
  <c r="AU110" i="24" s="1"/>
  <c r="CD110" i="24"/>
  <c r="AS105" i="24"/>
  <c r="AW105" i="24" s="1"/>
  <c r="AY105" i="24" s="1"/>
  <c r="BL27" i="24"/>
  <c r="AX41" i="24"/>
  <c r="AS163" i="24"/>
  <c r="AW163" i="24" s="1"/>
  <c r="AS41" i="24"/>
  <c r="AW41" i="24" s="1"/>
  <c r="AY41" i="24" s="1"/>
  <c r="AX97" i="24"/>
  <c r="BK97" i="24"/>
  <c r="AW104" i="24"/>
  <c r="AY104" i="24" s="1"/>
  <c r="AZ104" i="24" s="1"/>
  <c r="AQ163" i="24"/>
  <c r="AS123" i="24"/>
  <c r="AU123" i="24" s="1"/>
  <c r="BK41" i="24"/>
  <c r="BL105" i="24"/>
  <c r="BU97" i="24"/>
  <c r="AQ27" i="24"/>
  <c r="BL41" i="24"/>
  <c r="BK105" i="24"/>
  <c r="BU41" i="24"/>
  <c r="BJ105" i="24"/>
  <c r="BJ97" i="24"/>
  <c r="AQ41" i="24"/>
  <c r="AS97" i="24"/>
  <c r="AU97" i="24" s="1"/>
  <c r="BL97" i="24"/>
  <c r="AS149" i="24"/>
  <c r="AU149" i="24" s="1"/>
  <c r="AQ115" i="24"/>
  <c r="BL87" i="24"/>
  <c r="AS210" i="24"/>
  <c r="AU210" i="24" s="1"/>
  <c r="BJ14" i="24"/>
  <c r="AX14" i="24"/>
  <c r="BL14" i="24"/>
  <c r="BU87" i="24"/>
  <c r="BJ50" i="24"/>
  <c r="AQ50" i="24"/>
  <c r="AS161" i="24"/>
  <c r="AU161" i="24" s="1"/>
  <c r="AS14" i="24"/>
  <c r="AW14" i="24" s="1"/>
  <c r="AY14" i="24" s="1"/>
  <c r="AQ87" i="24"/>
  <c r="AQ14" i="24"/>
  <c r="AS172" i="24"/>
  <c r="AU172" i="24" s="1"/>
  <c r="AS155" i="24"/>
  <c r="AU155" i="24" s="1"/>
  <c r="AQ131" i="24"/>
  <c r="BJ86" i="24"/>
  <c r="AK34" i="24"/>
  <c r="AQ65" i="24"/>
  <c r="BU65" i="24"/>
  <c r="AS207" i="24"/>
  <c r="AW207" i="24" s="1"/>
  <c r="BK64" i="24"/>
  <c r="BL65" i="24"/>
  <c r="BJ65" i="24"/>
  <c r="AQ86" i="24"/>
  <c r="AS64" i="24"/>
  <c r="AU64" i="24" s="1"/>
  <c r="BL86" i="24"/>
  <c r="AK65" i="24"/>
  <c r="AS134" i="24"/>
  <c r="AU134" i="24" s="1"/>
  <c r="BK27" i="24"/>
  <c r="AS194" i="24"/>
  <c r="AU194" i="24" s="1"/>
  <c r="AX27" i="24"/>
  <c r="AN88" i="24"/>
  <c r="CD88" i="24" s="1"/>
  <c r="AS27" i="24"/>
  <c r="AU27" i="24" s="1"/>
  <c r="AS91" i="24"/>
  <c r="AW91" i="24" s="1"/>
  <c r="AY91" i="24" s="1"/>
  <c r="AS169" i="24"/>
  <c r="AU169" i="24" s="1"/>
  <c r="BK91" i="24"/>
  <c r="BJ91" i="24"/>
  <c r="BU27" i="24"/>
  <c r="AS50" i="24"/>
  <c r="AW50" i="24" s="1"/>
  <c r="AY50" i="24" s="1"/>
  <c r="AS86" i="24"/>
  <c r="AU86" i="24" s="1"/>
  <c r="AQ64" i="24"/>
  <c r="BK87" i="24"/>
  <c r="BK86" i="24"/>
  <c r="AS65" i="24"/>
  <c r="AU65" i="24" s="1"/>
  <c r="BJ87" i="24"/>
  <c r="BU86" i="24"/>
  <c r="AX65" i="24"/>
  <c r="AX64" i="24"/>
  <c r="AN71" i="24"/>
  <c r="AS87" i="24"/>
  <c r="AW87" i="24" s="1"/>
  <c r="AY87" i="24" s="1"/>
  <c r="BL64" i="24"/>
  <c r="BK50" i="24"/>
  <c r="BU64" i="24"/>
  <c r="BU50" i="24"/>
  <c r="AQ91" i="24"/>
  <c r="AQ134" i="24"/>
  <c r="AQ123" i="24"/>
  <c r="BL91" i="24"/>
  <c r="BU91" i="24"/>
  <c r="AQ194" i="24"/>
  <c r="AN13" i="24"/>
  <c r="BK13" i="24" s="1"/>
  <c r="AS81" i="24"/>
  <c r="AS22" i="24"/>
  <c r="BL69" i="24"/>
  <c r="AT20" i="24"/>
  <c r="AN49" i="24"/>
  <c r="BV49" i="24" s="1"/>
  <c r="AR110" i="25"/>
  <c r="AT110" i="25" s="1"/>
  <c r="BA110" i="25" s="1"/>
  <c r="CE110" i="25"/>
  <c r="AQ81" i="24"/>
  <c r="AS69" i="24"/>
  <c r="AW69" i="24" s="1"/>
  <c r="AY69" i="24" s="1"/>
  <c r="BJ22" i="24"/>
  <c r="AT7" i="24"/>
  <c r="AN15" i="24"/>
  <c r="BK22" i="24"/>
  <c r="AS34" i="24"/>
  <c r="AW34" i="24" s="1"/>
  <c r="AY34" i="24" s="1"/>
  <c r="AZ34" i="24" s="1"/>
  <c r="AK81" i="24"/>
  <c r="BK81" i="24"/>
  <c r="AQ22" i="24"/>
  <c r="BK69" i="24"/>
  <c r="BU69" i="24"/>
  <c r="AT22" i="24"/>
  <c r="BL81" i="24"/>
  <c r="BL22" i="24"/>
  <c r="AQ69" i="24"/>
  <c r="BU22" i="24"/>
  <c r="BU81" i="24"/>
  <c r="BJ69" i="24"/>
  <c r="BJ81" i="24"/>
  <c r="AK22" i="24"/>
  <c r="AN48" i="24"/>
  <c r="AK48" i="24"/>
  <c r="AK102" i="24"/>
  <c r="AN102" i="24"/>
  <c r="CD102" i="24" s="1"/>
  <c r="AK93" i="24"/>
  <c r="AN93" i="24"/>
  <c r="CD93" i="24" s="1"/>
  <c r="AQ34" i="24"/>
  <c r="BK34" i="24"/>
  <c r="BL34" i="24"/>
  <c r="BU34" i="24"/>
  <c r="BJ34" i="24"/>
  <c r="AV12" i="24"/>
  <c r="AT12" i="24"/>
  <c r="BF5" i="24"/>
  <c r="BI5" i="24" s="1"/>
  <c r="BN5" i="24" s="1"/>
  <c r="AN8" i="24"/>
  <c r="BV8" i="24" s="1"/>
  <c r="AK8" i="24"/>
  <c r="AK94" i="24"/>
  <c r="AN94" i="24"/>
  <c r="CD94" i="24" s="1"/>
  <c r="AK37" i="24"/>
  <c r="AN37" i="24"/>
  <c r="BV37" i="24" s="1"/>
  <c r="AV94" i="24"/>
  <c r="AT94" i="24"/>
  <c r="AV9" i="24"/>
  <c r="AT9" i="24"/>
  <c r="BL35" i="24"/>
  <c r="AK35" i="24"/>
  <c r="AK98" i="24"/>
  <c r="AN98" i="24"/>
  <c r="BV98" i="24" s="1"/>
  <c r="AK90" i="24"/>
  <c r="AN90" i="24"/>
  <c r="CD90" i="24" s="1"/>
  <c r="AK103" i="24"/>
  <c r="AN103" i="24"/>
  <c r="AV24" i="24"/>
  <c r="AT24" i="24"/>
  <c r="AV16" i="24"/>
  <c r="AT16" i="24"/>
  <c r="AK52" i="24"/>
  <c r="AN52" i="24"/>
  <c r="AN84" i="24"/>
  <c r="AK84" i="24"/>
  <c r="AN61" i="24"/>
  <c r="AK61" i="24"/>
  <c r="AK99" i="24"/>
  <c r="AN99" i="24"/>
  <c r="AK39" i="24"/>
  <c r="AN39" i="24"/>
  <c r="AN11" i="24"/>
  <c r="BV11" i="24" s="1"/>
  <c r="AK11" i="24"/>
  <c r="AK77" i="24"/>
  <c r="AN77" i="24"/>
  <c r="CD77" i="24" s="1"/>
  <c r="AN58" i="24"/>
  <c r="AK58" i="24"/>
  <c r="AS35" i="24"/>
  <c r="AU35" i="24" s="1"/>
  <c r="BU35" i="24"/>
  <c r="AX35" i="24"/>
  <c r="AN44" i="24"/>
  <c r="BV44" i="24" s="1"/>
  <c r="AK44" i="24"/>
  <c r="AK66" i="24"/>
  <c r="AN66" i="24"/>
  <c r="AN26" i="24"/>
  <c r="BV26" i="24" s="1"/>
  <c r="AK26" i="24"/>
  <c r="AK20" i="24"/>
  <c r="AN20" i="24"/>
  <c r="AN80" i="24"/>
  <c r="AK80" i="24"/>
  <c r="AK17" i="24"/>
  <c r="AN17" i="24"/>
  <c r="BV17" i="24" s="1"/>
  <c r="AK24" i="24"/>
  <c r="AN24" i="24"/>
  <c r="BV24" i="24" s="1"/>
  <c r="AN47" i="24"/>
  <c r="AK47" i="24"/>
  <c r="AN67" i="24"/>
  <c r="CD67" i="24" s="1"/>
  <c r="AK67" i="24"/>
  <c r="AN57" i="24"/>
  <c r="BV57" i="24" s="1"/>
  <c r="AK57" i="24"/>
  <c r="AK62" i="24"/>
  <c r="AN62" i="24"/>
  <c r="AV30" i="24"/>
  <c r="AT30" i="24"/>
  <c r="AN9" i="24"/>
  <c r="BU9" i="24" s="1"/>
  <c r="AK9" i="24"/>
  <c r="AN75" i="24"/>
  <c r="AK75" i="24"/>
  <c r="AQ35" i="24"/>
  <c r="BK35" i="24"/>
  <c r="AN38" i="24"/>
  <c r="AK38" i="24"/>
  <c r="AV17" i="24"/>
  <c r="AT17" i="24"/>
  <c r="AK45" i="24"/>
  <c r="AN45" i="24"/>
  <c r="AV26" i="24"/>
  <c r="AT26" i="24"/>
  <c r="AK30" i="24"/>
  <c r="AN30" i="24"/>
  <c r="BV30" i="24" s="1"/>
  <c r="AK76" i="24"/>
  <c r="AN76" i="24"/>
  <c r="BV76" i="24" s="1"/>
  <c r="AN12" i="24"/>
  <c r="BV12" i="24" s="1"/>
  <c r="AK12" i="24"/>
  <c r="AN16" i="24"/>
  <c r="BV16" i="24" s="1"/>
  <c r="AK16" i="24"/>
  <c r="AK6" i="24"/>
  <c r="AN6" i="24"/>
  <c r="AN7" i="24"/>
  <c r="BV7" i="24" s="1"/>
  <c r="AK7" i="24"/>
  <c r="BG5" i="24"/>
  <c r="BT5" i="24" s="1"/>
  <c r="AQ110" i="24"/>
  <c r="AU185" i="24"/>
  <c r="AW185" i="24"/>
  <c r="AU201" i="24"/>
  <c r="AW201" i="24"/>
  <c r="AU151" i="24"/>
  <c r="AW151" i="24"/>
  <c r="AU129" i="24"/>
  <c r="AW129" i="24"/>
  <c r="AU158" i="24"/>
  <c r="AW158" i="24"/>
  <c r="AU316" i="24"/>
  <c r="AW316" i="24"/>
  <c r="AU308" i="24"/>
  <c r="AW308" i="24"/>
  <c r="AW234" i="24"/>
  <c r="AU234" i="24"/>
  <c r="AW228" i="24"/>
  <c r="AU228" i="24"/>
  <c r="AW242" i="24"/>
  <c r="AU242" i="24"/>
  <c r="AW240" i="24"/>
  <c r="AU240" i="24"/>
  <c r="AU124" i="24"/>
  <c r="AW124" i="24"/>
  <c r="AU113" i="24"/>
  <c r="AW113" i="24"/>
  <c r="AU118" i="24"/>
  <c r="AW118" i="24"/>
  <c r="AU286" i="24"/>
  <c r="AW286" i="24"/>
  <c r="AU287" i="24"/>
  <c r="AW287" i="24"/>
  <c r="AU125" i="24"/>
  <c r="AW125" i="24"/>
  <c r="AU262" i="24"/>
  <c r="AW262" i="24"/>
  <c r="AU301" i="24"/>
  <c r="AW301" i="24"/>
  <c r="AU217" i="24"/>
  <c r="AW217" i="24"/>
  <c r="AU275" i="24"/>
  <c r="AW275" i="24"/>
  <c r="AU260" i="24"/>
  <c r="AW260" i="24"/>
  <c r="AU295" i="24"/>
  <c r="AW295" i="24"/>
  <c r="AU300" i="24"/>
  <c r="AW300" i="24"/>
  <c r="AU173" i="24"/>
  <c r="AW173" i="24"/>
  <c r="AU222" i="24"/>
  <c r="AW222" i="24"/>
  <c r="AU272" i="24"/>
  <c r="AW272" i="24"/>
  <c r="AU281" i="24"/>
  <c r="AW281" i="24"/>
  <c r="AU137" i="24"/>
  <c r="AW137" i="24"/>
  <c r="AW248" i="24"/>
  <c r="AU248" i="24"/>
  <c r="AU289" i="24"/>
  <c r="AW289" i="24"/>
  <c r="AU263" i="24"/>
  <c r="AW263" i="24"/>
  <c r="AU190" i="24"/>
  <c r="AW190" i="24"/>
  <c r="AU183" i="24"/>
  <c r="AW183" i="24"/>
  <c r="AU197" i="24"/>
  <c r="AW197" i="24"/>
  <c r="AU202" i="24"/>
  <c r="AW202" i="24"/>
  <c r="AU187" i="24"/>
  <c r="AW187" i="24"/>
  <c r="AU200" i="24"/>
  <c r="AW200" i="24"/>
  <c r="AU180" i="24"/>
  <c r="AW180" i="24"/>
  <c r="AU265" i="24"/>
  <c r="AW265" i="24"/>
  <c r="AU237" i="24"/>
  <c r="AW237" i="24"/>
  <c r="AU288" i="24"/>
  <c r="AW288" i="24"/>
  <c r="AU310" i="24"/>
  <c r="AW310" i="24"/>
  <c r="AU273" i="24"/>
  <c r="AW273" i="24"/>
  <c r="AU121" i="24"/>
  <c r="AW121" i="24"/>
  <c r="AU229" i="24"/>
  <c r="AW229" i="24"/>
  <c r="AU291" i="24"/>
  <c r="AW291" i="24"/>
  <c r="AU175" i="24"/>
  <c r="AW175" i="24"/>
  <c r="AU303" i="24"/>
  <c r="AW303" i="24"/>
  <c r="AU302" i="24"/>
  <c r="AW302" i="24"/>
  <c r="AU171" i="24"/>
  <c r="AW171" i="24"/>
  <c r="AU139" i="24"/>
  <c r="AW139" i="24"/>
  <c r="AU247" i="24"/>
  <c r="AW247" i="24"/>
  <c r="AU245" i="24"/>
  <c r="AW245" i="24"/>
  <c r="AU253" i="24"/>
  <c r="AW253" i="24"/>
  <c r="AU294" i="24"/>
  <c r="AW294" i="24"/>
  <c r="AU178" i="24"/>
  <c r="AW178" i="24"/>
  <c r="AU271" i="24"/>
  <c r="AW271" i="24"/>
  <c r="AU221" i="24"/>
  <c r="AW221" i="24"/>
  <c r="AU277" i="24"/>
  <c r="AW277" i="24"/>
  <c r="AU142" i="24"/>
  <c r="AW142" i="24"/>
  <c r="AU249" i="24"/>
  <c r="AW249" i="24"/>
  <c r="AU311" i="24"/>
  <c r="AW311" i="24"/>
  <c r="AU258" i="24"/>
  <c r="AW258" i="24"/>
  <c r="AU177" i="24"/>
  <c r="AW177" i="24"/>
  <c r="AU116" i="24"/>
  <c r="AW116" i="24"/>
  <c r="AU153" i="24"/>
  <c r="AW153" i="24"/>
  <c r="AU293" i="24"/>
  <c r="AW293" i="24"/>
  <c r="AU225" i="24"/>
  <c r="AW225" i="24"/>
  <c r="AU251" i="24"/>
  <c r="AW251" i="24"/>
  <c r="AU314" i="24"/>
  <c r="AW314" i="24"/>
  <c r="AU267" i="24"/>
  <c r="AW267" i="24"/>
  <c r="AU257" i="24"/>
  <c r="AW257" i="24"/>
  <c r="AW264" i="24"/>
  <c r="AU264" i="24"/>
  <c r="AU299" i="24"/>
  <c r="AW299" i="24"/>
  <c r="AU238" i="24"/>
  <c r="AW238" i="24"/>
  <c r="AU235" i="24"/>
  <c r="AW235" i="24"/>
  <c r="AU278" i="24"/>
  <c r="AW278" i="24"/>
  <c r="AU144" i="24"/>
  <c r="AW144" i="24"/>
  <c r="AU160" i="24"/>
  <c r="AW160" i="24"/>
  <c r="AU317" i="24"/>
  <c r="AW317" i="24"/>
  <c r="AU259" i="24"/>
  <c r="AW259" i="24"/>
  <c r="AU219" i="24"/>
  <c r="AW219" i="24"/>
  <c r="AU297" i="24"/>
  <c r="AW297" i="24"/>
  <c r="AW304" i="24"/>
  <c r="AU304" i="24"/>
  <c r="AW232" i="24"/>
  <c r="AU232" i="24"/>
  <c r="AU154" i="24"/>
  <c r="AW154" i="24"/>
  <c r="AU143" i="24"/>
  <c r="AW143" i="24"/>
  <c r="AU111" i="24"/>
  <c r="AW111" i="24"/>
  <c r="AU140" i="24"/>
  <c r="AW140" i="24"/>
  <c r="AW298" i="24"/>
  <c r="AU298" i="24"/>
  <c r="AU315" i="24"/>
  <c r="AW315" i="24"/>
  <c r="AU284" i="24"/>
  <c r="AW284" i="24"/>
  <c r="AU145" i="24"/>
  <c r="AW145" i="24"/>
  <c r="AU148" i="24"/>
  <c r="AW148" i="24"/>
  <c r="AU223" i="24"/>
  <c r="AW223" i="24"/>
  <c r="AU224" i="24"/>
  <c r="AW224" i="24"/>
  <c r="AU268" i="24"/>
  <c r="AW268" i="24"/>
  <c r="AW280" i="24"/>
  <c r="AU280" i="24"/>
  <c r="AU254" i="24"/>
  <c r="AW254" i="24"/>
  <c r="AU274" i="24"/>
  <c r="AW274" i="24"/>
  <c r="AU230" i="24"/>
  <c r="AW230" i="24"/>
  <c r="AU252" i="24"/>
  <c r="AW252" i="24"/>
  <c r="AU255" i="24"/>
  <c r="AW255" i="24"/>
  <c r="AU269" i="24"/>
  <c r="AW269" i="24"/>
  <c r="AU127" i="24"/>
  <c r="AW127" i="24"/>
  <c r="AU138" i="24"/>
  <c r="AW138" i="24"/>
  <c r="AU120" i="24"/>
  <c r="AW120" i="24"/>
  <c r="AU236" i="24"/>
  <c r="AW236" i="24"/>
  <c r="AU276" i="24"/>
  <c r="AW276" i="24"/>
  <c r="AU244" i="24"/>
  <c r="AW244" i="24"/>
  <c r="AU283" i="24"/>
  <c r="AW283" i="24"/>
  <c r="AU220" i="24"/>
  <c r="AW220" i="24"/>
  <c r="AU241" i="24"/>
  <c r="AW241" i="24"/>
  <c r="AU231" i="24"/>
  <c r="AW231" i="24"/>
  <c r="AU179" i="24"/>
  <c r="AW179" i="24"/>
  <c r="AW135" i="24"/>
  <c r="AU135" i="24"/>
  <c r="AU164" i="24"/>
  <c r="AW164" i="24"/>
  <c r="AU126" i="24"/>
  <c r="AW126" i="24"/>
  <c r="AU246" i="24"/>
  <c r="AW246" i="24"/>
  <c r="AU250" i="24"/>
  <c r="AW250" i="24"/>
  <c r="AU305" i="24"/>
  <c r="AW305" i="24"/>
  <c r="AP110" i="25"/>
  <c r="AT173" i="25"/>
  <c r="BA173" i="25" s="1"/>
  <c r="AU173" i="25"/>
  <c r="AU171" i="25"/>
  <c r="AT191" i="25"/>
  <c r="BA191" i="25" s="1"/>
  <c r="AU191" i="25"/>
  <c r="AT175" i="25"/>
  <c r="BA175" i="25" s="1"/>
  <c r="AU175" i="25"/>
  <c r="AU203" i="25"/>
  <c r="AT203" i="25"/>
  <c r="BA203" i="25" s="1"/>
  <c r="AU167" i="25"/>
  <c r="AT167" i="25"/>
  <c r="BA167" i="25" s="1"/>
  <c r="AT199" i="25"/>
  <c r="BA199" i="25" s="1"/>
  <c r="AU199" i="25"/>
  <c r="AT136" i="25"/>
  <c r="BA136" i="25" s="1"/>
  <c r="AU136" i="25"/>
  <c r="AT180" i="25"/>
  <c r="BA180" i="25" s="1"/>
  <c r="AU180" i="25"/>
  <c r="AT121" i="25"/>
  <c r="BA121" i="25" s="1"/>
  <c r="AU121" i="25"/>
  <c r="AT201" i="25"/>
  <c r="BA201" i="25" s="1"/>
  <c r="AU201" i="25"/>
  <c r="AU147" i="25"/>
  <c r="AT147" i="25"/>
  <c r="BA147" i="25" s="1"/>
  <c r="AT111" i="25"/>
  <c r="BA111" i="25" s="1"/>
  <c r="AU111" i="25"/>
  <c r="AT194" i="25"/>
  <c r="BA194" i="25" s="1"/>
  <c r="AU194" i="25"/>
  <c r="AT122" i="25"/>
  <c r="BA122" i="25" s="1"/>
  <c r="AU122" i="25"/>
  <c r="AT130" i="25"/>
  <c r="BA130" i="25" s="1"/>
  <c r="AU130" i="25"/>
  <c r="AT115" i="25"/>
  <c r="BA115" i="25" s="1"/>
  <c r="AU115" i="25"/>
  <c r="AT206" i="25"/>
  <c r="BA206" i="25" s="1"/>
  <c r="AU206" i="25"/>
  <c r="AT178" i="25"/>
  <c r="BA178" i="25" s="1"/>
  <c r="AU178" i="25"/>
  <c r="AT186" i="25"/>
  <c r="BA186" i="25" s="1"/>
  <c r="AU186" i="25"/>
  <c r="AT112" i="25"/>
  <c r="BA112" i="25" s="1"/>
  <c r="AU112" i="25"/>
  <c r="AT150" i="25"/>
  <c r="BA150" i="25" s="1"/>
  <c r="AU150" i="25"/>
  <c r="AT160" i="25"/>
  <c r="BA160" i="25" s="1"/>
  <c r="AU160" i="25"/>
  <c r="AT163" i="25"/>
  <c r="BA163" i="25" s="1"/>
  <c r="AU163" i="25"/>
  <c r="AT205" i="25"/>
  <c r="BA205" i="25" s="1"/>
  <c r="AU205" i="25"/>
  <c r="AT162" i="25"/>
  <c r="BA162" i="25" s="1"/>
  <c r="AU162" i="25"/>
  <c r="AT144" i="25"/>
  <c r="BA144" i="25" s="1"/>
  <c r="AU144" i="25"/>
  <c r="AT119" i="25"/>
  <c r="BA119" i="25" s="1"/>
  <c r="AU119" i="25"/>
  <c r="AU207" i="25"/>
  <c r="AT207" i="25"/>
  <c r="BA207" i="25" s="1"/>
  <c r="AT134" i="25"/>
  <c r="BA134" i="25" s="1"/>
  <c r="AU134" i="25"/>
  <c r="AT189" i="25"/>
  <c r="BA189" i="25" s="1"/>
  <c r="AU189" i="25"/>
  <c r="AT138" i="25"/>
  <c r="BA138" i="25" s="1"/>
  <c r="AU138" i="25"/>
  <c r="AT132" i="25"/>
  <c r="BA132" i="25" s="1"/>
  <c r="AU132" i="25"/>
  <c r="AU135" i="25"/>
  <c r="AT135" i="25"/>
  <c r="BA135" i="25" s="1"/>
  <c r="AT155" i="25"/>
  <c r="BA155" i="25" s="1"/>
  <c r="AU155" i="25"/>
  <c r="AT165" i="25"/>
  <c r="BA165" i="25" s="1"/>
  <c r="AU165" i="25"/>
  <c r="AT137" i="25"/>
  <c r="BA137" i="25" s="1"/>
  <c r="AU137" i="25"/>
  <c r="AT193" i="25"/>
  <c r="BA193" i="25" s="1"/>
  <c r="AU193" i="25"/>
  <c r="AT157" i="25"/>
  <c r="BA157" i="25" s="1"/>
  <c r="AU157" i="25"/>
  <c r="AT117" i="25"/>
  <c r="BA117" i="25" s="1"/>
  <c r="AU117" i="25"/>
  <c r="AT146" i="25"/>
  <c r="BA146" i="25" s="1"/>
  <c r="AU146" i="25"/>
  <c r="AT154" i="25"/>
  <c r="BA154" i="25" s="1"/>
  <c r="AU154" i="25"/>
  <c r="AT183" i="25"/>
  <c r="BA183" i="25" s="1"/>
  <c r="AU183" i="25"/>
  <c r="AT190" i="25"/>
  <c r="BA190" i="25" s="1"/>
  <c r="AU190" i="25"/>
  <c r="AT116" i="25"/>
  <c r="BA116" i="25" s="1"/>
  <c r="AU116" i="25"/>
  <c r="AT153" i="25"/>
  <c r="BA153" i="25" s="1"/>
  <c r="AU153" i="25"/>
  <c r="AT128" i="25"/>
  <c r="BA128" i="25" s="1"/>
  <c r="AU128" i="25"/>
  <c r="AT118" i="25"/>
  <c r="BA118" i="25" s="1"/>
  <c r="AU118" i="25"/>
  <c r="AT164" i="25"/>
  <c r="BA164" i="25" s="1"/>
  <c r="AU164" i="25"/>
  <c r="AT185" i="25"/>
  <c r="BA185" i="25" s="1"/>
  <c r="AT188" i="25"/>
  <c r="BA188" i="25" s="1"/>
  <c r="AU188" i="25"/>
  <c r="AT177" i="25"/>
  <c r="BA177" i="25" s="1"/>
  <c r="AU177" i="25"/>
  <c r="AT174" i="25"/>
  <c r="BA174" i="25" s="1"/>
  <c r="AU174" i="25"/>
  <c r="AT168" i="25"/>
  <c r="BA168" i="25" s="1"/>
  <c r="AU168" i="25"/>
  <c r="AU187" i="25"/>
  <c r="AT187" i="25"/>
  <c r="BA187" i="25" s="1"/>
  <c r="AT159" i="25"/>
  <c r="BA159" i="25" s="1"/>
  <c r="AU159" i="25"/>
  <c r="AT182" i="25"/>
  <c r="BA182" i="25" s="1"/>
  <c r="AU182" i="25"/>
  <c r="AT139" i="25"/>
  <c r="BA139" i="25" s="1"/>
  <c r="AU139" i="25"/>
  <c r="AT200" i="25"/>
  <c r="BA200" i="25" s="1"/>
  <c r="AU200" i="25"/>
  <c r="AT114" i="25"/>
  <c r="BA114" i="25" s="1"/>
  <c r="AU114" i="25"/>
  <c r="AT142" i="25"/>
  <c r="BA142" i="25" s="1"/>
  <c r="AU142" i="25"/>
  <c r="AT140" i="25"/>
  <c r="BA140" i="25" s="1"/>
  <c r="AT161" i="25"/>
  <c r="BA161" i="25" s="1"/>
  <c r="AU161" i="25"/>
  <c r="AT169" i="25"/>
  <c r="BA169" i="25" s="1"/>
  <c r="AU169" i="25"/>
  <c r="AT192" i="25"/>
  <c r="BA192" i="25" s="1"/>
  <c r="AU192" i="25"/>
  <c r="AT124" i="25"/>
  <c r="BA124" i="25" s="1"/>
  <c r="AU124" i="25"/>
  <c r="AT204" i="25"/>
  <c r="BA204" i="25" s="1"/>
  <c r="AU204" i="25"/>
  <c r="AT120" i="25"/>
  <c r="BA120" i="25" s="1"/>
  <c r="AU120" i="25"/>
  <c r="AT254" i="25"/>
  <c r="BA254" i="25" s="1"/>
  <c r="AU254" i="25"/>
  <c r="AT279" i="25"/>
  <c r="BA279" i="25" s="1"/>
  <c r="AU279" i="25"/>
  <c r="AT223" i="25"/>
  <c r="BA223" i="25" s="1"/>
  <c r="AU223" i="25"/>
  <c r="AT282" i="25"/>
  <c r="BA282" i="25" s="1"/>
  <c r="AU282" i="25"/>
  <c r="AT265" i="25"/>
  <c r="BA265" i="25" s="1"/>
  <c r="AU265" i="25"/>
  <c r="AU261" i="25"/>
  <c r="AT261" i="25"/>
  <c r="BA261" i="25" s="1"/>
  <c r="AT236" i="25"/>
  <c r="BA236" i="25" s="1"/>
  <c r="AU236" i="25"/>
  <c r="AT247" i="25"/>
  <c r="BA247" i="25" s="1"/>
  <c r="AU247" i="25"/>
  <c r="AT292" i="25"/>
  <c r="BA292" i="25" s="1"/>
  <c r="AU292" i="25"/>
  <c r="AT222" i="25"/>
  <c r="BA222" i="25" s="1"/>
  <c r="AU222" i="25"/>
  <c r="AT307" i="25"/>
  <c r="BA307" i="25" s="1"/>
  <c r="AU307" i="25"/>
  <c r="AT219" i="25"/>
  <c r="BA219" i="25" s="1"/>
  <c r="AU219" i="25"/>
  <c r="AT290" i="25"/>
  <c r="BA290" i="25" s="1"/>
  <c r="AU290" i="25"/>
  <c r="AT280" i="25"/>
  <c r="BA280" i="25" s="1"/>
  <c r="AU280" i="25"/>
  <c r="AU273" i="25"/>
  <c r="AT273" i="25"/>
  <c r="BA273" i="25" s="1"/>
  <c r="AT284" i="25"/>
  <c r="BA284" i="25" s="1"/>
  <c r="AU284" i="25"/>
  <c r="AU237" i="25"/>
  <c r="AT237" i="25"/>
  <c r="BA237" i="25" s="1"/>
  <c r="AT303" i="25"/>
  <c r="BA303" i="25" s="1"/>
  <c r="AU303" i="25"/>
  <c r="AT277" i="25"/>
  <c r="BA277" i="25" s="1"/>
  <c r="AU277" i="25"/>
  <c r="AU289" i="25"/>
  <c r="AT289" i="25"/>
  <c r="BA289" i="25" s="1"/>
  <c r="AT241" i="25"/>
  <c r="BA241" i="25" s="1"/>
  <c r="AU241" i="25"/>
  <c r="AT228" i="25"/>
  <c r="BA228" i="25" s="1"/>
  <c r="AU228" i="25"/>
  <c r="AT301" i="25"/>
  <c r="BA301" i="25" s="1"/>
  <c r="AU301" i="25"/>
  <c r="AT291" i="25"/>
  <c r="BA291" i="25" s="1"/>
  <c r="AU291" i="25"/>
  <c r="AT255" i="25"/>
  <c r="BA255" i="25" s="1"/>
  <c r="AU255" i="25"/>
  <c r="AT283" i="25"/>
  <c r="BA283" i="25" s="1"/>
  <c r="AU283" i="25"/>
  <c r="AT306" i="25"/>
  <c r="BA306" i="25" s="1"/>
  <c r="AU306" i="25"/>
  <c r="AT267" i="25"/>
  <c r="BA267" i="25" s="1"/>
  <c r="AU267" i="25"/>
  <c r="AT226" i="25"/>
  <c r="BA226" i="25" s="1"/>
  <c r="AU226" i="25"/>
  <c r="AT315" i="25"/>
  <c r="BA315" i="25" s="1"/>
  <c r="AU315" i="25"/>
  <c r="AT235" i="25"/>
  <c r="BA235" i="25" s="1"/>
  <c r="AU235" i="25"/>
  <c r="AT305" i="25"/>
  <c r="BA305" i="25" s="1"/>
  <c r="AU305" i="25"/>
  <c r="AU304" i="25"/>
  <c r="AT304" i="25"/>
  <c r="BA304" i="25" s="1"/>
  <c r="AT299" i="25"/>
  <c r="BA299" i="25" s="1"/>
  <c r="AU299" i="25"/>
  <c r="AT225" i="25"/>
  <c r="BA225" i="25" s="1"/>
  <c r="AU225" i="25"/>
  <c r="AT270" i="25"/>
  <c r="BA270" i="25" s="1"/>
  <c r="AU270" i="25"/>
  <c r="AT300" i="25"/>
  <c r="BA300" i="25" s="1"/>
  <c r="AU300" i="25"/>
  <c r="AT227" i="25"/>
  <c r="BA227" i="25" s="1"/>
  <c r="AU227" i="25"/>
  <c r="AT314" i="25"/>
  <c r="BA314" i="25" s="1"/>
  <c r="AU314" i="25"/>
  <c r="AT266" i="25"/>
  <c r="BA266" i="25" s="1"/>
  <c r="AU266" i="25"/>
  <c r="AT262" i="25"/>
  <c r="BA262" i="25" s="1"/>
  <c r="AU262" i="25"/>
  <c r="AT311" i="25"/>
  <c r="BA311" i="25" s="1"/>
  <c r="AU311" i="25"/>
  <c r="AT231" i="25"/>
  <c r="BA231" i="25" s="1"/>
  <c r="AU231" i="25"/>
  <c r="AT309" i="25"/>
  <c r="BA309" i="25" s="1"/>
  <c r="AU309" i="25"/>
  <c r="AT218" i="25"/>
  <c r="BA218" i="25" s="1"/>
  <c r="AU218" i="25"/>
  <c r="AT252" i="25"/>
  <c r="BA252" i="25" s="1"/>
  <c r="AU252" i="25"/>
  <c r="AT253" i="25"/>
  <c r="BA253" i="25" s="1"/>
  <c r="AU253" i="25"/>
  <c r="AT264" i="25"/>
  <c r="BA264" i="25" s="1"/>
  <c r="AU264" i="25"/>
  <c r="AU296" i="25"/>
  <c r="AT296" i="25"/>
  <c r="BA296" i="25" s="1"/>
  <c r="AT316" i="25"/>
  <c r="BA316" i="25" s="1"/>
  <c r="AU316" i="25"/>
  <c r="AU297" i="25"/>
  <c r="AT297" i="25"/>
  <c r="BA297" i="25" s="1"/>
  <c r="AT281" i="25"/>
  <c r="BA281" i="25" s="1"/>
  <c r="AU281" i="25"/>
  <c r="AT238" i="25"/>
  <c r="BA238" i="25" s="1"/>
  <c r="AU238" i="25"/>
  <c r="AT286" i="25"/>
  <c r="BA286" i="25" s="1"/>
  <c r="AU286" i="25"/>
  <c r="AU308" i="25"/>
  <c r="AT308" i="25"/>
  <c r="BA308" i="25" s="1"/>
  <c r="AT310" i="25"/>
  <c r="BA310" i="25" s="1"/>
  <c r="AU310" i="25"/>
  <c r="AT240" i="25"/>
  <c r="BA240" i="25" s="1"/>
  <c r="AU240" i="25"/>
  <c r="AT294" i="25"/>
  <c r="BA294" i="25" s="1"/>
  <c r="AU294" i="25"/>
  <c r="AT246" i="25"/>
  <c r="BA246" i="25" s="1"/>
  <c r="AU246" i="25"/>
  <c r="AT287" i="25"/>
  <c r="BA287" i="25" s="1"/>
  <c r="AU287" i="25"/>
  <c r="AT295" i="25"/>
  <c r="BA295" i="25" s="1"/>
  <c r="AU295" i="25"/>
  <c r="AT268" i="25"/>
  <c r="BA268" i="25" s="1"/>
  <c r="AU268" i="25"/>
  <c r="AT293" i="25"/>
  <c r="BA293" i="25" s="1"/>
  <c r="AU293" i="25"/>
  <c r="AT250" i="25"/>
  <c r="BA250" i="25" s="1"/>
  <c r="AU250" i="25"/>
  <c r="AT302" i="25"/>
  <c r="BA302" i="25" s="1"/>
  <c r="AU302" i="25"/>
  <c r="AT221" i="25"/>
  <c r="BA221" i="25" s="1"/>
  <c r="AU221" i="25"/>
  <c r="AT317" i="25"/>
  <c r="BA317" i="25" s="1"/>
  <c r="AU317" i="25"/>
  <c r="AT312" i="25"/>
  <c r="BA312" i="25" s="1"/>
  <c r="AU312" i="25"/>
  <c r="AT243" i="25"/>
  <c r="BA243" i="25" s="1"/>
  <c r="AU243" i="25"/>
  <c r="AT251" i="25"/>
  <c r="BA251" i="25" s="1"/>
  <c r="AU251" i="25"/>
  <c r="AT285" i="25"/>
  <c r="BA285" i="25" s="1"/>
  <c r="AU285" i="25"/>
  <c r="AT318" i="25"/>
  <c r="BA318" i="25" s="1"/>
  <c r="AU318" i="25"/>
  <c r="AU245" i="25"/>
  <c r="AT245" i="25"/>
  <c r="BA245" i="25" s="1"/>
  <c r="AT234" i="25"/>
  <c r="BA234" i="25" s="1"/>
  <c r="AU234" i="25"/>
  <c r="AT276" i="25"/>
  <c r="BA276" i="25" s="1"/>
  <c r="AU276" i="25"/>
  <c r="AT258" i="25"/>
  <c r="BA258" i="25" s="1"/>
  <c r="AU258" i="25"/>
  <c r="AT256" i="25"/>
  <c r="BA256" i="25" s="1"/>
  <c r="AU256" i="25"/>
  <c r="AT274" i="25"/>
  <c r="BA274" i="25" s="1"/>
  <c r="AU274" i="25"/>
  <c r="AT224" i="25"/>
  <c r="BA224" i="25" s="1"/>
  <c r="AU224" i="25"/>
  <c r="AT275" i="25"/>
  <c r="BA275" i="25" s="1"/>
  <c r="AU275" i="25"/>
  <c r="AT220" i="25"/>
  <c r="BA220" i="25" s="1"/>
  <c r="AU220" i="25"/>
  <c r="AT263" i="25"/>
  <c r="BA263" i="25" s="1"/>
  <c r="AU263" i="25"/>
  <c r="AT257" i="25"/>
  <c r="BA257" i="25" s="1"/>
  <c r="AU257" i="25"/>
  <c r="AT239" i="25"/>
  <c r="BA239" i="25" s="1"/>
  <c r="AU239" i="25"/>
  <c r="AT288" i="25"/>
  <c r="BA288" i="25" s="1"/>
  <c r="AU288" i="25"/>
  <c r="AT259" i="25"/>
  <c r="BA259" i="25" s="1"/>
  <c r="AU259" i="25"/>
  <c r="AT230" i="25"/>
  <c r="BA230" i="25" s="1"/>
  <c r="AU230" i="25"/>
  <c r="AU269" i="25"/>
  <c r="AT269" i="25"/>
  <c r="BA269" i="25" s="1"/>
  <c r="AT232" i="25"/>
  <c r="BA232" i="25" s="1"/>
  <c r="AU232" i="25"/>
  <c r="AT233" i="25"/>
  <c r="BA233" i="25" s="1"/>
  <c r="AU233" i="25"/>
  <c r="AR5" i="25"/>
  <c r="BK5" i="25"/>
  <c r="BV5" i="25"/>
  <c r="AP5" i="25"/>
  <c r="BI5" i="25"/>
  <c r="BJ5" i="25"/>
  <c r="B100" i="2"/>
  <c r="B90" i="2"/>
  <c r="AU65" i="25"/>
  <c r="AU98" i="25"/>
  <c r="AU43" i="25"/>
  <c r="AU55" i="25"/>
  <c r="AU57" i="25"/>
  <c r="AU73" i="25"/>
  <c r="AU85" i="25"/>
  <c r="AU95" i="25"/>
  <c r="AU32" i="25"/>
  <c r="AU66" i="25"/>
  <c r="AU84" i="25"/>
  <c r="AU99" i="25"/>
  <c r="AU18" i="25"/>
  <c r="AU60" i="25"/>
  <c r="AU90" i="25"/>
  <c r="AU33" i="25"/>
  <c r="AT35" i="25"/>
  <c r="AU35" i="25"/>
  <c r="AT105" i="25"/>
  <c r="AU105" i="25"/>
  <c r="AT41" i="25"/>
  <c r="AU41" i="25"/>
  <c r="AT15" i="25"/>
  <c r="AU15" i="25"/>
  <c r="AU25" i="25"/>
  <c r="AT92" i="25"/>
  <c r="AU92" i="25"/>
  <c r="AT104" i="25"/>
  <c r="AU104" i="25"/>
  <c r="AT52" i="25"/>
  <c r="AU52" i="25"/>
  <c r="AT96" i="25"/>
  <c r="AU96" i="25"/>
  <c r="AT94" i="25"/>
  <c r="AU94" i="25"/>
  <c r="AT31" i="25"/>
  <c r="AU31" i="25"/>
  <c r="AT24" i="25"/>
  <c r="AU24" i="25"/>
  <c r="AT13" i="25"/>
  <c r="AU13" i="25"/>
  <c r="AT68" i="25"/>
  <c r="AU68" i="25"/>
  <c r="AT91" i="25"/>
  <c r="AU91" i="25"/>
  <c r="AT93" i="25"/>
  <c r="AU93" i="25"/>
  <c r="AT30" i="25"/>
  <c r="AU30" i="25"/>
  <c r="AU16" i="25"/>
  <c r="AT71" i="25"/>
  <c r="AU71" i="25"/>
  <c r="AT61" i="25"/>
  <c r="AU61" i="25"/>
  <c r="AT54" i="25"/>
  <c r="AU54" i="25"/>
  <c r="AU10" i="25"/>
  <c r="AU23" i="25"/>
  <c r="AT79" i="25"/>
  <c r="AU79" i="25"/>
  <c r="AT40" i="25"/>
  <c r="AU40" i="25"/>
  <c r="AT27" i="25"/>
  <c r="AU27" i="25"/>
  <c r="AU77" i="25"/>
  <c r="AT53" i="25"/>
  <c r="AU53" i="25"/>
  <c r="AT51" i="25"/>
  <c r="AU51" i="25"/>
  <c r="AT63" i="25"/>
  <c r="AU63" i="25"/>
  <c r="AT67" i="25"/>
  <c r="AU67" i="25"/>
  <c r="AT47" i="25"/>
  <c r="AU47" i="25"/>
  <c r="AT22" i="25"/>
  <c r="AU22" i="25"/>
  <c r="AT17" i="25"/>
  <c r="AU17" i="25"/>
  <c r="AT78" i="25"/>
  <c r="AU78" i="25"/>
  <c r="AT20" i="25"/>
  <c r="AU20" i="25"/>
  <c r="AT9" i="25"/>
  <c r="AU9" i="25"/>
  <c r="AU39" i="25"/>
  <c r="AT76" i="25"/>
  <c r="AU76" i="25"/>
  <c r="AT48" i="25"/>
  <c r="AU48" i="25"/>
  <c r="AT59" i="25"/>
  <c r="AU59" i="25"/>
  <c r="AU46" i="25"/>
  <c r="AU89" i="25"/>
  <c r="AU19" i="25"/>
  <c r="AT101" i="25"/>
  <c r="AU101" i="25"/>
  <c r="AU50" i="25"/>
  <c r="AT69" i="25"/>
  <c r="AU69" i="25"/>
  <c r="AT37" i="25"/>
  <c r="AU37" i="25"/>
  <c r="AT38" i="25"/>
  <c r="AU38" i="25"/>
  <c r="AT49" i="25"/>
  <c r="AU49" i="25"/>
  <c r="AT11" i="25"/>
  <c r="AU11" i="25"/>
  <c r="AT6" i="25"/>
  <c r="AU6" i="25"/>
  <c r="AT36" i="25"/>
  <c r="AU36" i="25"/>
  <c r="AU7" i="25"/>
  <c r="AT97" i="25"/>
  <c r="AU97" i="25"/>
  <c r="AT28" i="25"/>
  <c r="AU28" i="25"/>
  <c r="AT100" i="25"/>
  <c r="AU100" i="25"/>
  <c r="AT44" i="25"/>
  <c r="AU44" i="25"/>
  <c r="AT26" i="25"/>
  <c r="AU26" i="25"/>
  <c r="AT103" i="25"/>
  <c r="AU103" i="25"/>
  <c r="AT64" i="25"/>
  <c r="AU64" i="25"/>
  <c r="AT62" i="25"/>
  <c r="AU62" i="25"/>
  <c r="AT12" i="25"/>
  <c r="AU12" i="25"/>
  <c r="AU75" i="25"/>
  <c r="AT42" i="25"/>
  <c r="AU42" i="25"/>
  <c r="AT87" i="25"/>
  <c r="AU87" i="25"/>
  <c r="AU45" i="25"/>
  <c r="AU80" i="25"/>
  <c r="AT86" i="25"/>
  <c r="AU86" i="25"/>
  <c r="AT14" i="25"/>
  <c r="AU14" i="25"/>
  <c r="AT56" i="25"/>
  <c r="AU56" i="25"/>
  <c r="AT83" i="25"/>
  <c r="AU83" i="25"/>
  <c r="AT21" i="25"/>
  <c r="AU21" i="25"/>
  <c r="AU74" i="25"/>
  <c r="AT88" i="25"/>
  <c r="AU88" i="25"/>
  <c r="AT82" i="25"/>
  <c r="AU82" i="25"/>
  <c r="AT29" i="25"/>
  <c r="AU29" i="25"/>
  <c r="AU34" i="25"/>
  <c r="AT102" i="25"/>
  <c r="AU102" i="25"/>
  <c r="AT81" i="25"/>
  <c r="AU81" i="25"/>
  <c r="AT70" i="25"/>
  <c r="AU70" i="25"/>
  <c r="AU72" i="25"/>
  <c r="AT8" i="25"/>
  <c r="AU8" i="25"/>
  <c r="AW40" i="24"/>
  <c r="AY40" i="24" s="1"/>
  <c r="AZ40" i="24" s="1"/>
  <c r="AU32" i="24"/>
  <c r="AU53" i="24"/>
  <c r="BF53" i="24"/>
  <c r="BI53" i="24" s="1"/>
  <c r="BG53" i="24"/>
  <c r="BT53" i="24" s="1"/>
  <c r="BF32" i="24"/>
  <c r="BI32" i="24" s="1"/>
  <c r="BG32" i="24"/>
  <c r="BT32" i="24" s="1"/>
  <c r="AU18" i="24"/>
  <c r="AW18" i="24"/>
  <c r="AY18" i="24" s="1"/>
  <c r="AZ18" i="24" s="1"/>
  <c r="AW29" i="24"/>
  <c r="AY29" i="24" s="1"/>
  <c r="AZ29" i="24" s="1"/>
  <c r="AU29" i="24"/>
  <c r="AW82" i="24"/>
  <c r="AY82" i="24" s="1"/>
  <c r="AZ82" i="24" s="1"/>
  <c r="AU82" i="24"/>
  <c r="AW54" i="24"/>
  <c r="AY54" i="24" s="1"/>
  <c r="AZ54" i="24" s="1"/>
  <c r="AU54" i="24"/>
  <c r="AW19" i="24"/>
  <c r="AY19" i="24" s="1"/>
  <c r="AZ19" i="24" s="1"/>
  <c r="AU19" i="24"/>
  <c r="AW89" i="24"/>
  <c r="AY89" i="24" s="1"/>
  <c r="AZ89" i="24" s="1"/>
  <c r="AU89" i="24"/>
  <c r="AW59" i="24"/>
  <c r="AY59" i="24" s="1"/>
  <c r="AZ59" i="24" s="1"/>
  <c r="AU59" i="24"/>
  <c r="AW42" i="24"/>
  <c r="AY42" i="24" s="1"/>
  <c r="AZ42" i="24" s="1"/>
  <c r="AU42" i="24"/>
  <c r="AW36" i="24"/>
  <c r="AY36" i="24" s="1"/>
  <c r="AZ36" i="24" s="1"/>
  <c r="AU36" i="24"/>
  <c r="AW63" i="24"/>
  <c r="AY63" i="24" s="1"/>
  <c r="AZ63" i="24" s="1"/>
  <c r="AU63" i="24"/>
  <c r="AW56" i="24"/>
  <c r="AY56" i="24" s="1"/>
  <c r="AZ56" i="24" s="1"/>
  <c r="AU56" i="24"/>
  <c r="AW72" i="24"/>
  <c r="AY72" i="24" s="1"/>
  <c r="AZ72" i="24" s="1"/>
  <c r="AU72" i="24"/>
  <c r="AW92" i="24"/>
  <c r="AY92" i="24" s="1"/>
  <c r="AZ92" i="24" s="1"/>
  <c r="AU92" i="24"/>
  <c r="AW79" i="24"/>
  <c r="AY79" i="24" s="1"/>
  <c r="AZ79" i="24" s="1"/>
  <c r="AU79" i="24"/>
  <c r="AW28" i="24"/>
  <c r="AY28" i="24" s="1"/>
  <c r="AZ28" i="24" s="1"/>
  <c r="AU28" i="24"/>
  <c r="AW96" i="24"/>
  <c r="AY96" i="24" s="1"/>
  <c r="AZ96" i="24" s="1"/>
  <c r="AU96" i="24"/>
  <c r="AW83" i="24"/>
  <c r="AY83" i="24" s="1"/>
  <c r="AZ83" i="24" s="1"/>
  <c r="AU83" i="24"/>
  <c r="AW68" i="24"/>
  <c r="AY68" i="24" s="1"/>
  <c r="AZ68" i="24" s="1"/>
  <c r="AU68" i="24"/>
  <c r="AW31" i="24"/>
  <c r="AY31" i="24" s="1"/>
  <c r="AZ31" i="24" s="1"/>
  <c r="AU31" i="24"/>
  <c r="AW46" i="24"/>
  <c r="AY46" i="24" s="1"/>
  <c r="AZ46" i="24" s="1"/>
  <c r="AU46" i="24"/>
  <c r="AW21" i="24"/>
  <c r="AY21" i="24" s="1"/>
  <c r="AZ21" i="24" s="1"/>
  <c r="AU21" i="24"/>
  <c r="AW85" i="24"/>
  <c r="AY85" i="24" s="1"/>
  <c r="AZ85" i="24" s="1"/>
  <c r="AU85" i="24"/>
  <c r="AW100" i="24"/>
  <c r="AY100" i="24" s="1"/>
  <c r="AZ100" i="24" s="1"/>
  <c r="AU100" i="24"/>
  <c r="BV106" i="19"/>
  <c r="CB106" i="19" s="1"/>
  <c r="BW106" i="19"/>
  <c r="CC106" i="19" s="1"/>
  <c r="AU74" i="24" l="1"/>
  <c r="AU249" i="25"/>
  <c r="AT149" i="25"/>
  <c r="BA149" i="25" s="1"/>
  <c r="AU248" i="25"/>
  <c r="BV84" i="24"/>
  <c r="CD84" i="24"/>
  <c r="AU129" i="25"/>
  <c r="BF129" i="25" s="1"/>
  <c r="BU129" i="25" s="1"/>
  <c r="AU141" i="25"/>
  <c r="BE141" i="25" s="1"/>
  <c r="BT141" i="25" s="1"/>
  <c r="AU152" i="25"/>
  <c r="BD152" i="25" s="1"/>
  <c r="AU278" i="25"/>
  <c r="AT123" i="25"/>
  <c r="BA123" i="25" s="1"/>
  <c r="AT181" i="25"/>
  <c r="BA181" i="25" s="1"/>
  <c r="AU195" i="25"/>
  <c r="BE195" i="25" s="1"/>
  <c r="BT195" i="25" s="1"/>
  <c r="AT148" i="25"/>
  <c r="BA148" i="25" s="1"/>
  <c r="AU170" i="25"/>
  <c r="BD170" i="25" s="1"/>
  <c r="AT242" i="25"/>
  <c r="BA242" i="25" s="1"/>
  <c r="AU202" i="25"/>
  <c r="BD202" i="25" s="1"/>
  <c r="AT166" i="25"/>
  <c r="BA166" i="25" s="1"/>
  <c r="AU145" i="25"/>
  <c r="BD145" i="25" s="1"/>
  <c r="AU158" i="25"/>
  <c r="BE158" i="25" s="1"/>
  <c r="BT158" i="25" s="1"/>
  <c r="AU229" i="25"/>
  <c r="AU127" i="25"/>
  <c r="BF127" i="25" s="1"/>
  <c r="BU127" i="25" s="1"/>
  <c r="AT260" i="25"/>
  <c r="BA260" i="25" s="1"/>
  <c r="AU298" i="25"/>
  <c r="AT313" i="25"/>
  <c r="BA313" i="25" s="1"/>
  <c r="AT179" i="25"/>
  <c r="BA179" i="25" s="1"/>
  <c r="AU176" i="25"/>
  <c r="BE176" i="25" s="1"/>
  <c r="BT176" i="25" s="1"/>
  <c r="AT244" i="25"/>
  <c r="BA244" i="25" s="1"/>
  <c r="AU197" i="25"/>
  <c r="BE197" i="25" s="1"/>
  <c r="BT197" i="25" s="1"/>
  <c r="AT209" i="25"/>
  <c r="BA209" i="25" s="1"/>
  <c r="AT143" i="25"/>
  <c r="BA143" i="25" s="1"/>
  <c r="AU131" i="25"/>
  <c r="BD131" i="25" s="1"/>
  <c r="AU198" i="25"/>
  <c r="BD198" i="25" s="1"/>
  <c r="AU151" i="25"/>
  <c r="BF151" i="25" s="1"/>
  <c r="BU151" i="25" s="1"/>
  <c r="AU271" i="25"/>
  <c r="AZ74" i="24"/>
  <c r="AT113" i="25"/>
  <c r="BA113" i="25" s="1"/>
  <c r="AU208" i="25"/>
  <c r="BD208" i="25" s="1"/>
  <c r="AT196" i="25"/>
  <c r="BA196" i="25" s="1"/>
  <c r="AT272" i="25"/>
  <c r="BA272" i="25" s="1"/>
  <c r="AU172" i="25"/>
  <c r="BD172" i="25" s="1"/>
  <c r="AU133" i="25"/>
  <c r="BD133" i="25" s="1"/>
  <c r="AU126" i="25"/>
  <c r="BD126" i="25" s="1"/>
  <c r="AU125" i="25"/>
  <c r="BE125" i="25" s="1"/>
  <c r="BT125" i="25" s="1"/>
  <c r="AT156" i="25"/>
  <c r="BA156" i="25" s="1"/>
  <c r="AU210" i="25"/>
  <c r="BD210" i="25" s="1"/>
  <c r="AU282" i="24"/>
  <c r="BD282" i="24" s="1"/>
  <c r="AU184" i="25"/>
  <c r="BD184" i="25" s="1"/>
  <c r="BV38" i="24"/>
  <c r="CD38" i="24"/>
  <c r="BD217" i="24"/>
  <c r="BC217" i="24"/>
  <c r="BC110" i="24"/>
  <c r="BD110" i="24"/>
  <c r="BD254" i="24"/>
  <c r="BC254" i="24"/>
  <c r="BC160" i="24"/>
  <c r="BD160" i="24"/>
  <c r="BD277" i="24"/>
  <c r="BC277" i="24"/>
  <c r="BD265" i="24"/>
  <c r="BC265" i="24"/>
  <c r="BD287" i="24"/>
  <c r="BC287" i="24"/>
  <c r="BC158" i="24"/>
  <c r="BD158" i="24"/>
  <c r="BC192" i="24"/>
  <c r="BD192" i="24"/>
  <c r="BD280" i="24"/>
  <c r="BC280" i="24"/>
  <c r="BD298" i="24"/>
  <c r="BC298" i="24"/>
  <c r="BD234" i="24"/>
  <c r="BC234" i="24"/>
  <c r="BC134" i="24"/>
  <c r="BD134" i="24"/>
  <c r="BC199" i="24"/>
  <c r="BD199" i="24"/>
  <c r="BC112" i="24"/>
  <c r="BD112" i="24"/>
  <c r="BD307" i="24"/>
  <c r="BC307" i="24"/>
  <c r="BD285" i="24"/>
  <c r="BC285" i="24"/>
  <c r="BD233" i="24"/>
  <c r="BC233" i="24"/>
  <c r="BC130" i="24"/>
  <c r="BD130" i="24"/>
  <c r="BD296" i="24"/>
  <c r="BC296" i="24"/>
  <c r="BD313" i="24"/>
  <c r="BC313" i="24"/>
  <c r="BC191" i="24"/>
  <c r="BD191" i="24"/>
  <c r="BD290" i="24"/>
  <c r="BC290" i="24"/>
  <c r="BC133" i="24"/>
  <c r="BD133" i="24"/>
  <c r="BC179" i="24"/>
  <c r="BD179" i="24"/>
  <c r="BD255" i="24"/>
  <c r="BC255" i="24"/>
  <c r="BC143" i="24"/>
  <c r="BD143" i="24"/>
  <c r="BD267" i="24"/>
  <c r="BC267" i="24"/>
  <c r="BC139" i="24"/>
  <c r="BD139" i="24"/>
  <c r="BD281" i="24"/>
  <c r="BC281" i="24"/>
  <c r="BC124" i="24"/>
  <c r="BD124" i="24"/>
  <c r="BC185" i="24"/>
  <c r="BD185" i="24"/>
  <c r="BC172" i="24"/>
  <c r="BD172" i="24"/>
  <c r="BC188" i="24"/>
  <c r="BD188" i="24"/>
  <c r="BC165" i="24"/>
  <c r="BD165" i="24"/>
  <c r="BC126" i="24"/>
  <c r="BD126" i="24"/>
  <c r="BD231" i="24"/>
  <c r="BC231" i="24"/>
  <c r="BD244" i="24"/>
  <c r="BC244" i="24"/>
  <c r="BC138" i="24"/>
  <c r="BD138" i="24"/>
  <c r="BD252" i="24"/>
  <c r="BC252" i="24"/>
  <c r="BC148" i="24"/>
  <c r="BD148" i="24"/>
  <c r="BC154" i="24"/>
  <c r="BD154" i="24"/>
  <c r="BD219" i="24"/>
  <c r="BC219" i="24"/>
  <c r="BC144" i="24"/>
  <c r="BD144" i="24"/>
  <c r="BD299" i="24"/>
  <c r="BC299" i="24"/>
  <c r="BD314" i="24"/>
  <c r="BC314" i="24"/>
  <c r="BC153" i="24"/>
  <c r="BD153" i="24"/>
  <c r="BD311" i="24"/>
  <c r="BC311" i="24"/>
  <c r="BD221" i="24"/>
  <c r="BC221" i="24"/>
  <c r="BD253" i="24"/>
  <c r="BC253" i="24"/>
  <c r="BC171" i="24"/>
  <c r="BD171" i="24"/>
  <c r="BD291" i="24"/>
  <c r="BC291" i="24"/>
  <c r="BD310" i="24"/>
  <c r="BC310" i="24"/>
  <c r="BC180" i="24"/>
  <c r="BD180" i="24"/>
  <c r="BC197" i="24"/>
  <c r="BD197" i="24"/>
  <c r="BD289" i="24"/>
  <c r="BC289" i="24"/>
  <c r="BD272" i="24"/>
  <c r="BC272" i="24"/>
  <c r="BD295" i="24"/>
  <c r="BC295" i="24"/>
  <c r="BD301" i="24"/>
  <c r="BC301" i="24"/>
  <c r="BD286" i="24"/>
  <c r="BC286" i="24"/>
  <c r="BC129" i="24"/>
  <c r="BD129" i="24"/>
  <c r="BC169" i="24"/>
  <c r="BD169" i="24"/>
  <c r="BC195" i="24"/>
  <c r="BD195" i="24"/>
  <c r="BC189" i="24"/>
  <c r="BD189" i="24"/>
  <c r="BC167" i="24"/>
  <c r="BD167" i="24"/>
  <c r="BC120" i="24"/>
  <c r="BD120" i="24"/>
  <c r="BD315" i="24"/>
  <c r="BC315" i="24"/>
  <c r="BD293" i="24"/>
  <c r="BC293" i="24"/>
  <c r="BC175" i="24"/>
  <c r="BD175" i="24"/>
  <c r="BD300" i="24"/>
  <c r="BC300" i="24"/>
  <c r="BC141" i="24"/>
  <c r="BD141" i="24"/>
  <c r="BC119" i="24"/>
  <c r="BD119" i="24"/>
  <c r="BC176" i="24"/>
  <c r="BD176" i="24"/>
  <c r="BD232" i="24"/>
  <c r="BC232" i="24"/>
  <c r="BD264" i="24"/>
  <c r="BC264" i="24"/>
  <c r="BD248" i="24"/>
  <c r="BC248" i="24"/>
  <c r="BD240" i="24"/>
  <c r="BC240" i="24"/>
  <c r="BC210" i="24"/>
  <c r="BD210" i="24"/>
  <c r="BC123" i="24"/>
  <c r="BD123" i="24"/>
  <c r="BC136" i="24"/>
  <c r="BD136" i="24"/>
  <c r="BC209" i="24"/>
  <c r="BD209" i="24"/>
  <c r="BD226" i="24"/>
  <c r="BC226" i="24"/>
  <c r="BC206" i="24"/>
  <c r="BD206" i="24"/>
  <c r="BC168" i="24"/>
  <c r="BD168" i="24"/>
  <c r="BD292" i="24"/>
  <c r="BC292" i="24"/>
  <c r="BD312" i="24"/>
  <c r="BC312" i="24"/>
  <c r="BD261" i="24"/>
  <c r="BC261" i="24"/>
  <c r="BD306" i="24"/>
  <c r="BC306" i="24"/>
  <c r="BC166" i="24"/>
  <c r="BD166" i="24"/>
  <c r="BD246" i="24"/>
  <c r="BC246" i="24"/>
  <c r="BD223" i="24"/>
  <c r="BC223" i="24"/>
  <c r="BD258" i="24"/>
  <c r="BC258" i="24"/>
  <c r="BD273" i="24"/>
  <c r="BC273" i="24"/>
  <c r="BC203" i="24"/>
  <c r="BD203" i="24"/>
  <c r="BD305" i="24"/>
  <c r="BC305" i="24"/>
  <c r="BC164" i="24"/>
  <c r="BD164" i="24"/>
  <c r="BD241" i="24"/>
  <c r="BC241" i="24"/>
  <c r="BD276" i="24"/>
  <c r="BC276" i="24"/>
  <c r="BC127" i="24"/>
  <c r="BD127" i="24"/>
  <c r="BD230" i="24"/>
  <c r="BC230" i="24"/>
  <c r="BD268" i="24"/>
  <c r="BC268" i="24"/>
  <c r="BC145" i="24"/>
  <c r="BD145" i="24"/>
  <c r="BC140" i="24"/>
  <c r="BD140" i="24"/>
  <c r="BD259" i="24"/>
  <c r="BC259" i="24"/>
  <c r="BD278" i="24"/>
  <c r="BC278" i="24"/>
  <c r="BD251" i="24"/>
  <c r="BC251" i="24"/>
  <c r="BC116" i="24"/>
  <c r="BD116" i="24"/>
  <c r="BD249" i="24"/>
  <c r="BC249" i="24"/>
  <c r="BD271" i="24"/>
  <c r="BC271" i="24"/>
  <c r="BD245" i="24"/>
  <c r="BC245" i="24"/>
  <c r="BD302" i="24"/>
  <c r="BC302" i="24"/>
  <c r="BD229" i="24"/>
  <c r="BC229" i="24"/>
  <c r="BD288" i="24"/>
  <c r="BC288" i="24"/>
  <c r="BC200" i="24"/>
  <c r="BD200" i="24"/>
  <c r="BC183" i="24"/>
  <c r="BD183" i="24"/>
  <c r="BD222" i="24"/>
  <c r="BC222" i="24"/>
  <c r="BD260" i="24"/>
  <c r="BC260" i="24"/>
  <c r="BD262" i="24"/>
  <c r="BC262" i="24"/>
  <c r="BC118" i="24"/>
  <c r="BD118" i="24"/>
  <c r="BD308" i="24"/>
  <c r="BC308" i="24"/>
  <c r="BC151" i="24"/>
  <c r="BD151" i="24"/>
  <c r="BC161" i="24"/>
  <c r="BD161" i="24"/>
  <c r="BD266" i="24"/>
  <c r="BC266" i="24"/>
  <c r="BC159" i="24"/>
  <c r="BD159" i="24"/>
  <c r="BC193" i="24"/>
  <c r="BD193" i="24"/>
  <c r="BC115" i="24"/>
  <c r="BD115" i="24"/>
  <c r="BD270" i="24"/>
  <c r="BC270" i="24"/>
  <c r="BD283" i="24"/>
  <c r="BC283" i="24"/>
  <c r="BD238" i="24"/>
  <c r="BC238" i="24"/>
  <c r="BD294" i="24"/>
  <c r="BC294" i="24"/>
  <c r="BC202" i="24"/>
  <c r="BD202" i="24"/>
  <c r="BC135" i="24"/>
  <c r="BD135" i="24"/>
  <c r="BD304" i="24"/>
  <c r="BC304" i="24"/>
  <c r="BD242" i="24"/>
  <c r="BC242" i="24"/>
  <c r="BC208" i="24"/>
  <c r="BD208" i="24"/>
  <c r="BC156" i="24"/>
  <c r="BD156" i="24"/>
  <c r="BC181" i="24"/>
  <c r="BD181" i="24"/>
  <c r="BD239" i="24"/>
  <c r="BC239" i="24"/>
  <c r="BC182" i="24"/>
  <c r="BD182" i="24"/>
  <c r="BD263" i="24"/>
  <c r="BC263" i="24"/>
  <c r="BD250" i="24"/>
  <c r="BC250" i="24"/>
  <c r="BD220" i="24"/>
  <c r="BC220" i="24"/>
  <c r="BD236" i="24"/>
  <c r="BC236" i="24"/>
  <c r="BD269" i="24"/>
  <c r="BC269" i="24"/>
  <c r="BD274" i="24"/>
  <c r="BC274" i="24"/>
  <c r="BD224" i="24"/>
  <c r="BC224" i="24"/>
  <c r="BD284" i="24"/>
  <c r="BC284" i="24"/>
  <c r="BC111" i="24"/>
  <c r="BD111" i="24"/>
  <c r="BD317" i="24"/>
  <c r="BC317" i="24"/>
  <c r="BD235" i="24"/>
  <c r="BC235" i="24"/>
  <c r="BD257" i="24"/>
  <c r="BC257" i="24"/>
  <c r="BD225" i="24"/>
  <c r="BC225" i="24"/>
  <c r="BC177" i="24"/>
  <c r="BD177" i="24"/>
  <c r="BC142" i="24"/>
  <c r="BD142" i="24"/>
  <c r="BC178" i="24"/>
  <c r="BD178" i="24"/>
  <c r="BD247" i="24"/>
  <c r="BC247" i="24"/>
  <c r="BD303" i="24"/>
  <c r="BC303" i="24"/>
  <c r="BC121" i="24"/>
  <c r="BD121" i="24"/>
  <c r="BD237" i="24"/>
  <c r="BC237" i="24"/>
  <c r="BC187" i="24"/>
  <c r="BD187" i="24"/>
  <c r="BC190" i="24"/>
  <c r="BD190" i="24"/>
  <c r="BC137" i="24"/>
  <c r="BD137" i="24"/>
  <c r="BC173" i="24"/>
  <c r="BD173" i="24"/>
  <c r="BD275" i="24"/>
  <c r="BC275" i="24"/>
  <c r="BC125" i="24"/>
  <c r="BD125" i="24"/>
  <c r="BC113" i="24"/>
  <c r="BD113" i="24"/>
  <c r="BD316" i="24"/>
  <c r="BC316" i="24"/>
  <c r="BC201" i="24"/>
  <c r="BD201" i="24"/>
  <c r="BC149" i="24"/>
  <c r="BD149" i="24"/>
  <c r="BD297" i="24"/>
  <c r="BC297" i="24"/>
  <c r="BD228" i="24"/>
  <c r="BC228" i="24"/>
  <c r="BC194" i="24"/>
  <c r="BD194" i="24"/>
  <c r="BC155" i="24"/>
  <c r="BD155" i="24"/>
  <c r="BD243" i="24"/>
  <c r="BC243" i="24"/>
  <c r="BC114" i="24"/>
  <c r="BD114" i="24"/>
  <c r="BC92" i="24"/>
  <c r="BD92" i="24"/>
  <c r="BA78" i="25"/>
  <c r="BB78" i="25"/>
  <c r="BA13" i="25"/>
  <c r="BB13" i="25"/>
  <c r="BC46" i="24"/>
  <c r="BD46" i="24"/>
  <c r="BC36" i="24"/>
  <c r="BD36" i="24"/>
  <c r="BA88" i="25"/>
  <c r="BB88" i="25"/>
  <c r="BA100" i="25"/>
  <c r="BB100" i="25"/>
  <c r="BA52" i="25"/>
  <c r="BB52" i="25"/>
  <c r="BA14" i="25"/>
  <c r="BB14" i="25"/>
  <c r="BA21" i="25"/>
  <c r="BB21" i="25"/>
  <c r="BA86" i="25"/>
  <c r="BB86" i="25"/>
  <c r="BA11" i="25"/>
  <c r="BB11" i="25"/>
  <c r="BA59" i="25"/>
  <c r="BB59" i="25"/>
  <c r="BA79" i="25"/>
  <c r="BB79" i="25"/>
  <c r="BA71" i="25"/>
  <c r="BB71" i="25"/>
  <c r="BA105" i="25"/>
  <c r="BB105" i="25"/>
  <c r="BC85" i="24"/>
  <c r="BD85" i="24"/>
  <c r="BC68" i="24"/>
  <c r="BD68" i="24"/>
  <c r="BC79" i="24"/>
  <c r="BD79" i="24"/>
  <c r="BC56" i="24"/>
  <c r="BD56" i="24"/>
  <c r="BC59" i="24"/>
  <c r="BD59" i="24"/>
  <c r="BC82" i="24"/>
  <c r="BD82" i="24"/>
  <c r="BA29" i="25"/>
  <c r="BB29" i="25"/>
  <c r="BA12" i="25"/>
  <c r="BB12" i="25"/>
  <c r="BA26" i="25"/>
  <c r="BB26" i="25"/>
  <c r="BA97" i="25"/>
  <c r="BB97" i="25"/>
  <c r="BA20" i="25"/>
  <c r="BB20" i="25"/>
  <c r="BA47" i="25"/>
  <c r="BB47" i="25"/>
  <c r="BA53" i="25"/>
  <c r="BB53" i="25"/>
  <c r="BA68" i="25"/>
  <c r="BB68" i="25"/>
  <c r="BA94" i="25"/>
  <c r="BB94" i="25"/>
  <c r="BA92" i="25"/>
  <c r="BB92" i="25"/>
  <c r="BC23" i="24"/>
  <c r="BD23" i="24"/>
  <c r="BC83" i="24"/>
  <c r="BD83" i="24"/>
  <c r="BC97" i="24"/>
  <c r="BD97" i="24"/>
  <c r="BA70" i="25"/>
  <c r="BB70" i="25"/>
  <c r="BA83" i="25"/>
  <c r="BB83" i="25"/>
  <c r="BA49" i="25"/>
  <c r="BB49" i="25"/>
  <c r="BA48" i="25"/>
  <c r="BB48" i="25"/>
  <c r="BA35" i="25"/>
  <c r="BB35" i="25"/>
  <c r="BC35" i="24"/>
  <c r="BD35" i="24"/>
  <c r="BC89" i="24"/>
  <c r="BD89" i="24"/>
  <c r="BA82" i="25"/>
  <c r="BB82" i="25"/>
  <c r="BA44" i="25"/>
  <c r="BB44" i="25"/>
  <c r="BA30" i="25"/>
  <c r="BB30" i="25"/>
  <c r="BC32" i="24"/>
  <c r="BD32" i="24"/>
  <c r="BA81" i="25"/>
  <c r="BB81" i="25"/>
  <c r="BA56" i="25"/>
  <c r="BB56" i="25"/>
  <c r="BA87" i="25"/>
  <c r="BB87" i="25"/>
  <c r="BA36" i="25"/>
  <c r="BB36" i="25"/>
  <c r="BA38" i="25"/>
  <c r="BB38" i="25"/>
  <c r="BA76" i="25"/>
  <c r="BB76" i="25"/>
  <c r="BA27" i="25"/>
  <c r="BB27" i="25"/>
  <c r="BA54" i="25"/>
  <c r="BB54" i="25"/>
  <c r="BA15" i="25"/>
  <c r="BB15" i="25"/>
  <c r="BC65" i="24"/>
  <c r="BD65" i="24"/>
  <c r="BC21" i="24"/>
  <c r="BD21" i="24"/>
  <c r="BC72" i="24"/>
  <c r="BD72" i="24"/>
  <c r="BA24" i="25"/>
  <c r="BB24" i="25"/>
  <c r="BC51" i="24"/>
  <c r="BD51" i="24"/>
  <c r="BC40" i="24"/>
  <c r="BD40" i="24"/>
  <c r="BC63" i="24"/>
  <c r="BD63" i="24"/>
  <c r="BA62" i="25"/>
  <c r="BB62" i="25"/>
  <c r="BA42" i="25"/>
  <c r="BB42" i="25"/>
  <c r="BA41" i="25"/>
  <c r="BB41" i="25"/>
  <c r="BC53" i="24"/>
  <c r="BD53" i="24"/>
  <c r="BA67" i="25"/>
  <c r="BB67" i="25"/>
  <c r="BA96" i="25"/>
  <c r="BB96" i="25"/>
  <c r="BC96" i="24"/>
  <c r="BD96" i="24"/>
  <c r="BC19" i="24"/>
  <c r="BD19" i="24"/>
  <c r="BA63" i="25"/>
  <c r="BB63" i="25"/>
  <c r="BA93" i="25"/>
  <c r="BB93" i="25"/>
  <c r="BC18" i="24"/>
  <c r="BD18" i="24"/>
  <c r="BA102" i="25"/>
  <c r="BB102" i="25"/>
  <c r="BA37" i="25"/>
  <c r="BB37" i="25"/>
  <c r="BA40" i="25"/>
  <c r="BB40" i="25"/>
  <c r="BC100" i="24"/>
  <c r="BD100" i="24"/>
  <c r="BC31" i="24"/>
  <c r="BD31" i="24"/>
  <c r="BC28" i="24"/>
  <c r="BD28" i="24"/>
  <c r="BC74" i="24"/>
  <c r="BD74" i="24"/>
  <c r="BC42" i="24"/>
  <c r="BD42" i="24"/>
  <c r="BC54" i="24"/>
  <c r="BD54" i="24"/>
  <c r="BA8" i="25"/>
  <c r="BB8" i="25"/>
  <c r="BA103" i="25"/>
  <c r="BB103" i="25"/>
  <c r="BA28" i="25"/>
  <c r="BB28" i="25"/>
  <c r="BA9" i="25"/>
  <c r="BB9" i="25"/>
  <c r="BA22" i="25"/>
  <c r="BB22" i="25"/>
  <c r="BA51" i="25"/>
  <c r="BB51" i="25"/>
  <c r="BA91" i="25"/>
  <c r="BB91" i="25"/>
  <c r="BA31" i="25"/>
  <c r="BB31" i="25"/>
  <c r="BA104" i="25"/>
  <c r="BB104" i="25"/>
  <c r="BC27" i="24"/>
  <c r="BD27" i="24"/>
  <c r="BC64" i="24"/>
  <c r="BD64" i="24"/>
  <c r="BC33" i="24"/>
  <c r="BD33" i="24"/>
  <c r="BC29" i="24"/>
  <c r="BD29" i="24"/>
  <c r="BA101" i="25"/>
  <c r="BB101" i="25"/>
  <c r="BA64" i="25"/>
  <c r="BB64" i="25"/>
  <c r="BA17" i="25"/>
  <c r="BB17" i="25"/>
  <c r="BA6" i="25"/>
  <c r="BB6" i="25"/>
  <c r="BA61" i="25"/>
  <c r="BB61" i="25"/>
  <c r="BA69" i="25"/>
  <c r="BB69" i="25"/>
  <c r="BC86" i="24"/>
  <c r="BD86" i="24"/>
  <c r="BC73" i="24"/>
  <c r="BD73" i="24"/>
  <c r="BK43" i="24"/>
  <c r="AS43" i="24"/>
  <c r="AU43" i="24" s="1"/>
  <c r="BV80" i="24"/>
  <c r="CD80" i="24"/>
  <c r="BV39" i="24"/>
  <c r="CD39" i="24"/>
  <c r="BJ43" i="24"/>
  <c r="BL43" i="24"/>
  <c r="BV48" i="24"/>
  <c r="CD48" i="24"/>
  <c r="BV43" i="24"/>
  <c r="AQ43" i="24"/>
  <c r="BU43" i="24"/>
  <c r="BV61" i="24"/>
  <c r="CD61" i="24"/>
  <c r="BV62" i="24"/>
  <c r="CD62" i="24"/>
  <c r="AW270" i="24"/>
  <c r="BV52" i="24"/>
  <c r="CD52" i="24"/>
  <c r="AN212" i="24"/>
  <c r="AS212" i="24" s="1"/>
  <c r="AU212" i="24" s="1"/>
  <c r="AK212" i="24"/>
  <c r="BV75" i="24"/>
  <c r="CD75" i="24"/>
  <c r="AQ103" i="24"/>
  <c r="CD103" i="24"/>
  <c r="AW133" i="24"/>
  <c r="BF133" i="24" s="1"/>
  <c r="BL71" i="24"/>
  <c r="CD71" i="24"/>
  <c r="AZ50" i="24"/>
  <c r="AZ25" i="24"/>
  <c r="BV66" i="24"/>
  <c r="CD66" i="24"/>
  <c r="BV45" i="24"/>
  <c r="CD45" i="24"/>
  <c r="BV47" i="24"/>
  <c r="CD47" i="24"/>
  <c r="BV20" i="24"/>
  <c r="CD20" i="24"/>
  <c r="AW166" i="24"/>
  <c r="AY166" i="24" s="1"/>
  <c r="AZ166" i="24" s="1"/>
  <c r="BD179" i="25"/>
  <c r="BE179" i="25"/>
  <c r="BT179" i="25" s="1"/>
  <c r="BF179" i="25"/>
  <c r="BU179" i="25" s="1"/>
  <c r="BD147" i="25"/>
  <c r="BF147" i="25"/>
  <c r="BU147" i="25" s="1"/>
  <c r="BE147" i="25"/>
  <c r="BT147" i="25" s="1"/>
  <c r="BF166" i="25"/>
  <c r="BU166" i="25" s="1"/>
  <c r="BE166" i="25"/>
  <c r="BT166" i="25" s="1"/>
  <c r="BD166" i="25"/>
  <c r="BE124" i="25"/>
  <c r="BT124" i="25" s="1"/>
  <c r="BD124" i="25"/>
  <c r="BF124" i="25"/>
  <c r="BU124" i="25" s="1"/>
  <c r="BE140" i="25"/>
  <c r="BT140" i="25" s="1"/>
  <c r="BF140" i="25"/>
  <c r="BU140" i="25" s="1"/>
  <c r="BD140" i="25"/>
  <c r="BD200" i="25"/>
  <c r="BF200" i="25"/>
  <c r="BU200" i="25" s="1"/>
  <c r="BE200" i="25"/>
  <c r="BT200" i="25" s="1"/>
  <c r="BE129" i="25"/>
  <c r="BT129" i="25" s="1"/>
  <c r="BD129" i="25"/>
  <c r="BE182" i="25"/>
  <c r="BT182" i="25" s="1"/>
  <c r="BF182" i="25"/>
  <c r="BU182" i="25" s="1"/>
  <c r="BD182" i="25"/>
  <c r="BF149" i="25"/>
  <c r="BU149" i="25" s="1"/>
  <c r="BE149" i="25"/>
  <c r="BT149" i="25" s="1"/>
  <c r="BD149" i="25"/>
  <c r="BE185" i="25"/>
  <c r="BT185" i="25" s="1"/>
  <c r="BF185" i="25"/>
  <c r="BU185" i="25" s="1"/>
  <c r="BD185" i="25"/>
  <c r="BF128" i="25"/>
  <c r="BU128" i="25" s="1"/>
  <c r="BE128" i="25"/>
  <c r="BT128" i="25" s="1"/>
  <c r="BD128" i="25"/>
  <c r="BF116" i="25"/>
  <c r="BU116" i="25" s="1"/>
  <c r="BD116" i="25"/>
  <c r="BE116" i="25"/>
  <c r="BT116" i="25" s="1"/>
  <c r="BE134" i="25"/>
  <c r="BT134" i="25" s="1"/>
  <c r="BF134" i="25"/>
  <c r="BU134" i="25" s="1"/>
  <c r="BD134" i="25"/>
  <c r="BF162" i="25"/>
  <c r="BU162" i="25" s="1"/>
  <c r="BD162" i="25"/>
  <c r="BE162" i="25"/>
  <c r="BT162" i="25" s="1"/>
  <c r="BD130" i="25"/>
  <c r="BE130" i="25"/>
  <c r="BT130" i="25" s="1"/>
  <c r="BF130" i="25"/>
  <c r="BU130" i="25" s="1"/>
  <c r="BF173" i="25"/>
  <c r="BU173" i="25" s="1"/>
  <c r="BD173" i="25"/>
  <c r="BE173" i="25"/>
  <c r="BT173" i="25" s="1"/>
  <c r="BD143" i="25"/>
  <c r="BE143" i="25"/>
  <c r="BT143" i="25" s="1"/>
  <c r="BF143" i="25"/>
  <c r="BU143" i="25" s="1"/>
  <c r="BE187" i="25"/>
  <c r="BT187" i="25" s="1"/>
  <c r="BF187" i="25"/>
  <c r="BU187" i="25" s="1"/>
  <c r="BD187" i="25"/>
  <c r="BD135" i="25"/>
  <c r="BE135" i="25"/>
  <c r="BT135" i="25" s="1"/>
  <c r="BF135" i="25"/>
  <c r="BU135" i="25" s="1"/>
  <c r="BE167" i="25"/>
  <c r="BT167" i="25" s="1"/>
  <c r="BD167" i="25"/>
  <c r="BF167" i="25"/>
  <c r="BU167" i="25" s="1"/>
  <c r="BF123" i="25"/>
  <c r="BU123" i="25" s="1"/>
  <c r="BD123" i="25"/>
  <c r="BE123" i="25"/>
  <c r="BT123" i="25" s="1"/>
  <c r="BD207" i="25"/>
  <c r="BF207" i="25"/>
  <c r="BU207" i="25" s="1"/>
  <c r="BE207" i="25"/>
  <c r="BT207" i="25" s="1"/>
  <c r="BD203" i="25"/>
  <c r="BF203" i="25"/>
  <c r="BU203" i="25" s="1"/>
  <c r="BE203" i="25"/>
  <c r="BT203" i="25" s="1"/>
  <c r="BF169" i="25"/>
  <c r="BU169" i="25" s="1"/>
  <c r="BD169" i="25"/>
  <c r="BE169" i="25"/>
  <c r="BT169" i="25" s="1"/>
  <c r="BD142" i="25"/>
  <c r="BF142" i="25"/>
  <c r="BU142" i="25" s="1"/>
  <c r="BE142" i="25"/>
  <c r="BT142" i="25" s="1"/>
  <c r="BD168" i="25"/>
  <c r="BF168" i="25"/>
  <c r="BU168" i="25" s="1"/>
  <c r="BE168" i="25"/>
  <c r="BT168" i="25" s="1"/>
  <c r="BD177" i="25"/>
  <c r="BE177" i="25"/>
  <c r="BT177" i="25" s="1"/>
  <c r="BF177" i="25"/>
  <c r="BU177" i="25" s="1"/>
  <c r="BE164" i="25"/>
  <c r="BT164" i="25" s="1"/>
  <c r="BD164" i="25"/>
  <c r="BF164" i="25"/>
  <c r="BU164" i="25" s="1"/>
  <c r="BD183" i="25"/>
  <c r="BE183" i="25"/>
  <c r="BT183" i="25" s="1"/>
  <c r="BF183" i="25"/>
  <c r="BU183" i="25" s="1"/>
  <c r="BE113" i="25"/>
  <c r="BT113" i="25" s="1"/>
  <c r="BD113" i="25"/>
  <c r="BF113" i="25"/>
  <c r="BU113" i="25" s="1"/>
  <c r="BF156" i="25"/>
  <c r="BU156" i="25" s="1"/>
  <c r="BD156" i="25"/>
  <c r="BE156" i="25"/>
  <c r="BT156" i="25" s="1"/>
  <c r="BD119" i="25"/>
  <c r="BF119" i="25"/>
  <c r="BU119" i="25" s="1"/>
  <c r="BE119" i="25"/>
  <c r="BT119" i="25" s="1"/>
  <c r="BE163" i="25"/>
  <c r="BT163" i="25" s="1"/>
  <c r="BD163" i="25"/>
  <c r="BF163" i="25"/>
  <c r="BU163" i="25" s="1"/>
  <c r="BE150" i="25"/>
  <c r="BT150" i="25" s="1"/>
  <c r="BF150" i="25"/>
  <c r="BU150" i="25" s="1"/>
  <c r="BD150" i="25"/>
  <c r="BF186" i="25"/>
  <c r="BU186" i="25" s="1"/>
  <c r="BE186" i="25"/>
  <c r="BT186" i="25" s="1"/>
  <c r="BD186" i="25"/>
  <c r="BD206" i="25"/>
  <c r="BE206" i="25"/>
  <c r="BT206" i="25" s="1"/>
  <c r="BF206" i="25"/>
  <c r="BU206" i="25" s="1"/>
  <c r="BF111" i="25"/>
  <c r="BU111" i="25" s="1"/>
  <c r="BE111" i="25"/>
  <c r="BT111" i="25" s="1"/>
  <c r="BD111" i="25"/>
  <c r="BF201" i="25"/>
  <c r="BU201" i="25" s="1"/>
  <c r="BD201" i="25"/>
  <c r="BE201" i="25"/>
  <c r="BT201" i="25" s="1"/>
  <c r="BE180" i="25"/>
  <c r="BT180" i="25" s="1"/>
  <c r="BF180" i="25"/>
  <c r="BU180" i="25" s="1"/>
  <c r="BD180" i="25"/>
  <c r="BD199" i="25"/>
  <c r="BE199" i="25"/>
  <c r="BT199" i="25" s="1"/>
  <c r="BF199" i="25"/>
  <c r="BU199" i="25" s="1"/>
  <c r="BF209" i="25"/>
  <c r="BU209" i="25" s="1"/>
  <c r="BE209" i="25"/>
  <c r="BT209" i="25" s="1"/>
  <c r="BD209" i="25"/>
  <c r="BF171" i="25"/>
  <c r="BU171" i="25" s="1"/>
  <c r="BD171" i="25"/>
  <c r="BE171" i="25"/>
  <c r="BT171" i="25" s="1"/>
  <c r="BD120" i="25"/>
  <c r="BE120" i="25"/>
  <c r="BT120" i="25" s="1"/>
  <c r="BF120" i="25"/>
  <c r="BU120" i="25" s="1"/>
  <c r="BD204" i="25"/>
  <c r="BE204" i="25"/>
  <c r="BT204" i="25" s="1"/>
  <c r="BF204" i="25"/>
  <c r="BU204" i="25" s="1"/>
  <c r="BD192" i="25"/>
  <c r="BE192" i="25"/>
  <c r="BT192" i="25" s="1"/>
  <c r="BF192" i="25"/>
  <c r="BU192" i="25" s="1"/>
  <c r="BE161" i="25"/>
  <c r="BT161" i="25" s="1"/>
  <c r="BD161" i="25"/>
  <c r="BF161" i="25"/>
  <c r="BU161" i="25" s="1"/>
  <c r="BF114" i="25"/>
  <c r="BU114" i="25" s="1"/>
  <c r="BD114" i="25"/>
  <c r="BE114" i="25"/>
  <c r="BT114" i="25" s="1"/>
  <c r="BF139" i="25"/>
  <c r="BU139" i="25" s="1"/>
  <c r="BE139" i="25"/>
  <c r="BT139" i="25" s="1"/>
  <c r="BD139" i="25"/>
  <c r="BD159" i="25"/>
  <c r="BE159" i="25"/>
  <c r="BT159" i="25" s="1"/>
  <c r="BF159" i="25"/>
  <c r="BU159" i="25" s="1"/>
  <c r="BD174" i="25"/>
  <c r="BF174" i="25"/>
  <c r="BU174" i="25" s="1"/>
  <c r="BE174" i="25"/>
  <c r="BT174" i="25" s="1"/>
  <c r="BF196" i="25"/>
  <c r="BU196" i="25" s="1"/>
  <c r="BE196" i="25"/>
  <c r="BT196" i="25" s="1"/>
  <c r="BD196" i="25"/>
  <c r="BF195" i="25"/>
  <c r="BU195" i="25" s="1"/>
  <c r="BD188" i="25"/>
  <c r="BE188" i="25"/>
  <c r="BT188" i="25" s="1"/>
  <c r="BF188" i="25"/>
  <c r="BU188" i="25" s="1"/>
  <c r="BD118" i="25"/>
  <c r="BF118" i="25"/>
  <c r="BU118" i="25" s="1"/>
  <c r="BE118" i="25"/>
  <c r="BT118" i="25" s="1"/>
  <c r="BE153" i="25"/>
  <c r="BT153" i="25" s="1"/>
  <c r="BF153" i="25"/>
  <c r="BU153" i="25" s="1"/>
  <c r="BD153" i="25"/>
  <c r="BD190" i="25"/>
  <c r="BF190" i="25"/>
  <c r="BU190" i="25" s="1"/>
  <c r="BE190" i="25"/>
  <c r="BT190" i="25" s="1"/>
  <c r="BF154" i="25"/>
  <c r="BU154" i="25" s="1"/>
  <c r="BD154" i="25"/>
  <c r="BE154" i="25"/>
  <c r="BT154" i="25" s="1"/>
  <c r="BD146" i="25"/>
  <c r="BF146" i="25"/>
  <c r="BU146" i="25" s="1"/>
  <c r="BE146" i="25"/>
  <c r="BT146" i="25" s="1"/>
  <c r="BF117" i="25"/>
  <c r="BU117" i="25" s="1"/>
  <c r="BE117" i="25"/>
  <c r="BT117" i="25" s="1"/>
  <c r="BD117" i="25"/>
  <c r="BD157" i="25"/>
  <c r="BF157" i="25"/>
  <c r="BU157" i="25" s="1"/>
  <c r="BE157" i="25"/>
  <c r="BT157" i="25" s="1"/>
  <c r="BD193" i="25"/>
  <c r="BE193" i="25"/>
  <c r="BT193" i="25" s="1"/>
  <c r="BF193" i="25"/>
  <c r="BU193" i="25" s="1"/>
  <c r="BD137" i="25"/>
  <c r="BF137" i="25"/>
  <c r="BU137" i="25" s="1"/>
  <c r="BE137" i="25"/>
  <c r="BT137" i="25" s="1"/>
  <c r="BF165" i="25"/>
  <c r="BU165" i="25" s="1"/>
  <c r="BE165" i="25"/>
  <c r="BT165" i="25" s="1"/>
  <c r="BD165" i="25"/>
  <c r="BD155" i="25"/>
  <c r="BF155" i="25"/>
  <c r="BU155" i="25" s="1"/>
  <c r="BE155" i="25"/>
  <c r="BT155" i="25" s="1"/>
  <c r="BD132" i="25"/>
  <c r="BF132" i="25"/>
  <c r="BU132" i="25" s="1"/>
  <c r="BE132" i="25"/>
  <c r="BT132" i="25" s="1"/>
  <c r="BF138" i="25"/>
  <c r="BU138" i="25" s="1"/>
  <c r="BE138" i="25"/>
  <c r="BT138" i="25" s="1"/>
  <c r="BD138" i="25"/>
  <c r="BF189" i="25"/>
  <c r="BU189" i="25" s="1"/>
  <c r="BD189" i="25"/>
  <c r="BE189" i="25"/>
  <c r="BT189" i="25" s="1"/>
  <c r="BD181" i="25"/>
  <c r="BE181" i="25"/>
  <c r="BT181" i="25" s="1"/>
  <c r="BF181" i="25"/>
  <c r="BU181" i="25" s="1"/>
  <c r="BF144" i="25"/>
  <c r="BU144" i="25" s="1"/>
  <c r="BD144" i="25"/>
  <c r="BE144" i="25"/>
  <c r="BT144" i="25" s="1"/>
  <c r="BD205" i="25"/>
  <c r="BE205" i="25"/>
  <c r="BT205" i="25" s="1"/>
  <c r="BF205" i="25"/>
  <c r="BU205" i="25" s="1"/>
  <c r="BD160" i="25"/>
  <c r="BE160" i="25"/>
  <c r="BT160" i="25" s="1"/>
  <c r="BF160" i="25"/>
  <c r="BU160" i="25" s="1"/>
  <c r="BF112" i="25"/>
  <c r="BU112" i="25" s="1"/>
  <c r="BE112" i="25"/>
  <c r="BT112" i="25" s="1"/>
  <c r="BD112" i="25"/>
  <c r="BD178" i="25"/>
  <c r="BE178" i="25"/>
  <c r="BT178" i="25" s="1"/>
  <c r="BF178" i="25"/>
  <c r="BU178" i="25" s="1"/>
  <c r="BF115" i="25"/>
  <c r="BU115" i="25" s="1"/>
  <c r="BD115" i="25"/>
  <c r="BE115" i="25"/>
  <c r="BT115" i="25" s="1"/>
  <c r="BF122" i="25"/>
  <c r="BU122" i="25" s="1"/>
  <c r="BD122" i="25"/>
  <c r="BE122" i="25"/>
  <c r="BT122" i="25" s="1"/>
  <c r="BF194" i="25"/>
  <c r="BU194" i="25" s="1"/>
  <c r="BD194" i="25"/>
  <c r="BE194" i="25"/>
  <c r="BT194" i="25" s="1"/>
  <c r="BD121" i="25"/>
  <c r="BE121" i="25"/>
  <c r="BT121" i="25" s="1"/>
  <c r="BF121" i="25"/>
  <c r="BU121" i="25" s="1"/>
  <c r="BE136" i="25"/>
  <c r="BT136" i="25" s="1"/>
  <c r="BD136" i="25"/>
  <c r="BF136" i="25"/>
  <c r="BU136" i="25" s="1"/>
  <c r="BF148" i="25"/>
  <c r="BU148" i="25" s="1"/>
  <c r="BE148" i="25"/>
  <c r="BT148" i="25" s="1"/>
  <c r="BD148" i="25"/>
  <c r="BE175" i="25"/>
  <c r="BT175" i="25" s="1"/>
  <c r="BF175" i="25"/>
  <c r="BU175" i="25" s="1"/>
  <c r="BD175" i="25"/>
  <c r="BF191" i="25"/>
  <c r="BU191" i="25" s="1"/>
  <c r="BD191" i="25"/>
  <c r="BE191" i="25"/>
  <c r="BT191" i="25" s="1"/>
  <c r="AU122" i="24"/>
  <c r="AW167" i="24"/>
  <c r="BG167" i="24" s="1"/>
  <c r="BT167" i="24" s="1"/>
  <c r="AW115" i="24"/>
  <c r="BG115" i="24" s="1"/>
  <c r="BT115" i="24" s="1"/>
  <c r="AW165" i="24"/>
  <c r="BG165" i="24" s="1"/>
  <c r="BT165" i="24" s="1"/>
  <c r="BG120" i="24"/>
  <c r="BT120" i="24" s="1"/>
  <c r="BF120" i="24"/>
  <c r="AY120" i="24"/>
  <c r="AZ120" i="24" s="1"/>
  <c r="BG145" i="24"/>
  <c r="BT145" i="24" s="1"/>
  <c r="AY145" i="24"/>
  <c r="AZ145" i="24" s="1"/>
  <c r="BF145" i="24"/>
  <c r="BF154" i="24"/>
  <c r="BG154" i="24"/>
  <c r="BT154" i="24" s="1"/>
  <c r="AY154" i="24"/>
  <c r="AZ154" i="24" s="1"/>
  <c r="BF122" i="24"/>
  <c r="BG122" i="24"/>
  <c r="BT122" i="24" s="1"/>
  <c r="AY122" i="24"/>
  <c r="AZ122" i="24" s="1"/>
  <c r="BF116" i="24"/>
  <c r="AY116" i="24"/>
  <c r="AZ116" i="24" s="1"/>
  <c r="BG116" i="24"/>
  <c r="BT116" i="24" s="1"/>
  <c r="BF139" i="24"/>
  <c r="BG139" i="24"/>
  <c r="BT139" i="24" s="1"/>
  <c r="AY139" i="24"/>
  <c r="AZ139" i="24" s="1"/>
  <c r="BG175" i="24"/>
  <c r="BT175" i="24" s="1"/>
  <c r="AY175" i="24"/>
  <c r="AZ175" i="24" s="1"/>
  <c r="BF175" i="24"/>
  <c r="BG200" i="24"/>
  <c r="BT200" i="24" s="1"/>
  <c r="BF200" i="24"/>
  <c r="AY200" i="24"/>
  <c r="AZ200" i="24" s="1"/>
  <c r="BF183" i="24"/>
  <c r="AY183" i="24"/>
  <c r="AZ183" i="24" s="1"/>
  <c r="BG183" i="24"/>
  <c r="BT183" i="24" s="1"/>
  <c r="BF118" i="24"/>
  <c r="AY118" i="24"/>
  <c r="AZ118" i="24" s="1"/>
  <c r="BG118" i="24"/>
  <c r="BT118" i="24" s="1"/>
  <c r="AY124" i="24"/>
  <c r="AZ124" i="24" s="1"/>
  <c r="BG124" i="24"/>
  <c r="BT124" i="24" s="1"/>
  <c r="BF124" i="24"/>
  <c r="AY158" i="24"/>
  <c r="AZ158" i="24" s="1"/>
  <c r="BF158" i="24"/>
  <c r="BG158" i="24"/>
  <c r="BT158" i="24" s="1"/>
  <c r="BG151" i="24"/>
  <c r="BT151" i="24" s="1"/>
  <c r="AY151" i="24"/>
  <c r="AZ151" i="24" s="1"/>
  <c r="BF151" i="24"/>
  <c r="AY185" i="24"/>
  <c r="AZ185" i="24" s="1"/>
  <c r="BG185" i="24"/>
  <c r="BT185" i="24" s="1"/>
  <c r="BF185" i="24"/>
  <c r="BF131" i="24"/>
  <c r="AY131" i="24"/>
  <c r="AZ131" i="24" s="1"/>
  <c r="BG131" i="24"/>
  <c r="BT131" i="24" s="1"/>
  <c r="BF205" i="24"/>
  <c r="BG205" i="24"/>
  <c r="BT205" i="24" s="1"/>
  <c r="AY205" i="24"/>
  <c r="AZ205" i="24" s="1"/>
  <c r="BF204" i="24"/>
  <c r="BG204" i="24"/>
  <c r="BT204" i="24" s="1"/>
  <c r="AY204" i="24"/>
  <c r="AZ204" i="24" s="1"/>
  <c r="BG132" i="24"/>
  <c r="BT132" i="24" s="1"/>
  <c r="BF132" i="24"/>
  <c r="AY132" i="24"/>
  <c r="AZ132" i="24" s="1"/>
  <c r="BG135" i="24"/>
  <c r="BT135" i="24" s="1"/>
  <c r="BF135" i="24"/>
  <c r="AY135" i="24"/>
  <c r="AZ135" i="24" s="1"/>
  <c r="BF207" i="24"/>
  <c r="BG207" i="24"/>
  <c r="BT207" i="24" s="1"/>
  <c r="AY207" i="24"/>
  <c r="AZ207" i="24" s="1"/>
  <c r="BF163" i="24"/>
  <c r="AY163" i="24"/>
  <c r="AZ163" i="24" s="1"/>
  <c r="BG163" i="24"/>
  <c r="BT163" i="24" s="1"/>
  <c r="BF184" i="24"/>
  <c r="AY184" i="24"/>
  <c r="AZ184" i="24" s="1"/>
  <c r="BG184" i="24"/>
  <c r="BT184" i="24" s="1"/>
  <c r="BF162" i="24"/>
  <c r="BG162" i="24"/>
  <c r="BT162" i="24" s="1"/>
  <c r="AY162" i="24"/>
  <c r="AZ162" i="24" s="1"/>
  <c r="BF117" i="24"/>
  <c r="AY117" i="24"/>
  <c r="AZ117" i="24" s="1"/>
  <c r="BG117" i="24"/>
  <c r="BT117" i="24" s="1"/>
  <c r="BF128" i="24"/>
  <c r="AY128" i="24"/>
  <c r="AZ128" i="24" s="1"/>
  <c r="BG128" i="24"/>
  <c r="BT128" i="24" s="1"/>
  <c r="BG164" i="24"/>
  <c r="BT164" i="24" s="1"/>
  <c r="BF164" i="24"/>
  <c r="AY164" i="24"/>
  <c r="AZ164" i="24" s="1"/>
  <c r="AY179" i="24"/>
  <c r="AZ179" i="24" s="1"/>
  <c r="BF179" i="24"/>
  <c r="BG179" i="24"/>
  <c r="BT179" i="24" s="1"/>
  <c r="BF138" i="24"/>
  <c r="BG138" i="24"/>
  <c r="BT138" i="24" s="1"/>
  <c r="AY138" i="24"/>
  <c r="AZ138" i="24" s="1"/>
  <c r="BF148" i="24"/>
  <c r="AY148" i="24"/>
  <c r="AZ148" i="24" s="1"/>
  <c r="BG148" i="24"/>
  <c r="BT148" i="24" s="1"/>
  <c r="BF111" i="24"/>
  <c r="BG111" i="24"/>
  <c r="BT111" i="24" s="1"/>
  <c r="AY111" i="24"/>
  <c r="AZ111" i="24" s="1"/>
  <c r="BG143" i="24"/>
  <c r="BT143" i="24" s="1"/>
  <c r="BF143" i="24"/>
  <c r="AY143" i="24"/>
  <c r="AZ143" i="24" s="1"/>
  <c r="AY160" i="24"/>
  <c r="AZ160" i="24" s="1"/>
  <c r="BG160" i="24"/>
  <c r="BT160" i="24" s="1"/>
  <c r="BF160" i="24"/>
  <c r="BG153" i="24"/>
  <c r="BT153" i="24" s="1"/>
  <c r="BF153" i="24"/>
  <c r="AY153" i="24"/>
  <c r="AZ153" i="24" s="1"/>
  <c r="AY177" i="24"/>
  <c r="AZ177" i="24" s="1"/>
  <c r="BG177" i="24"/>
  <c r="BT177" i="24" s="1"/>
  <c r="BF177" i="24"/>
  <c r="AY142" i="24"/>
  <c r="AZ142" i="24" s="1"/>
  <c r="BF142" i="24"/>
  <c r="BG142" i="24"/>
  <c r="BT142" i="24" s="1"/>
  <c r="BF178" i="24"/>
  <c r="AY178" i="24"/>
  <c r="AZ178" i="24" s="1"/>
  <c r="BG178" i="24"/>
  <c r="BT178" i="24" s="1"/>
  <c r="BG171" i="24"/>
  <c r="BT171" i="24" s="1"/>
  <c r="BF171" i="24"/>
  <c r="AY171" i="24"/>
  <c r="AZ171" i="24" s="1"/>
  <c r="BG121" i="24"/>
  <c r="BT121" i="24" s="1"/>
  <c r="AY121" i="24"/>
  <c r="AZ121" i="24" s="1"/>
  <c r="BF121" i="24"/>
  <c r="AY180" i="24"/>
  <c r="AZ180" i="24" s="1"/>
  <c r="BG180" i="24"/>
  <c r="BT180" i="24" s="1"/>
  <c r="BF180" i="24"/>
  <c r="AY187" i="24"/>
  <c r="AZ187" i="24" s="1"/>
  <c r="BG187" i="24"/>
  <c r="BT187" i="24" s="1"/>
  <c r="BF187" i="24"/>
  <c r="AY197" i="24"/>
  <c r="AZ197" i="24" s="1"/>
  <c r="BF197" i="24"/>
  <c r="BG197" i="24"/>
  <c r="BT197" i="24" s="1"/>
  <c r="AY190" i="24"/>
  <c r="AZ190" i="24" s="1"/>
  <c r="BF190" i="24"/>
  <c r="BG190" i="24"/>
  <c r="BT190" i="24" s="1"/>
  <c r="AY137" i="24"/>
  <c r="AZ137" i="24" s="1"/>
  <c r="BG137" i="24"/>
  <c r="BT137" i="24" s="1"/>
  <c r="BF137" i="24"/>
  <c r="BF173" i="24"/>
  <c r="BG173" i="24"/>
  <c r="BT173" i="24" s="1"/>
  <c r="AY173" i="24"/>
  <c r="AZ173" i="24" s="1"/>
  <c r="BF125" i="24"/>
  <c r="BG125" i="24"/>
  <c r="BT125" i="24" s="1"/>
  <c r="AY125" i="24"/>
  <c r="AZ125" i="24" s="1"/>
  <c r="BG113" i="24"/>
  <c r="BT113" i="24" s="1"/>
  <c r="AY113" i="24"/>
  <c r="AZ113" i="24" s="1"/>
  <c r="BF113" i="24"/>
  <c r="BF129" i="24"/>
  <c r="BG129" i="24"/>
  <c r="BT129" i="24" s="1"/>
  <c r="AY129" i="24"/>
  <c r="AZ129" i="24" s="1"/>
  <c r="BF201" i="24"/>
  <c r="AY201" i="24"/>
  <c r="AZ201" i="24" s="1"/>
  <c r="BG201" i="24"/>
  <c r="BT201" i="24" s="1"/>
  <c r="BG186" i="24"/>
  <c r="BT186" i="24" s="1"/>
  <c r="AY186" i="24"/>
  <c r="AZ186" i="24" s="1"/>
  <c r="BF186" i="24"/>
  <c r="BF147" i="24"/>
  <c r="AY147" i="24"/>
  <c r="AZ147" i="24" s="1"/>
  <c r="BG147" i="24"/>
  <c r="BT147" i="24" s="1"/>
  <c r="BG152" i="24"/>
  <c r="BT152" i="24" s="1"/>
  <c r="BF152" i="24"/>
  <c r="AY152" i="24"/>
  <c r="AZ152" i="24" s="1"/>
  <c r="BF126" i="24"/>
  <c r="BG126" i="24"/>
  <c r="BT126" i="24" s="1"/>
  <c r="AY126" i="24"/>
  <c r="AZ126" i="24" s="1"/>
  <c r="BG127" i="24"/>
  <c r="BT127" i="24" s="1"/>
  <c r="AY127" i="24"/>
  <c r="AZ127" i="24" s="1"/>
  <c r="BF127" i="24"/>
  <c r="BG140" i="24"/>
  <c r="BT140" i="24" s="1"/>
  <c r="BF140" i="24"/>
  <c r="AY140" i="24"/>
  <c r="AZ140" i="24" s="1"/>
  <c r="BF144" i="24"/>
  <c r="AY144" i="24"/>
  <c r="AZ144" i="24" s="1"/>
  <c r="BG144" i="24"/>
  <c r="BT144" i="24" s="1"/>
  <c r="BG202" i="24"/>
  <c r="BT202" i="24" s="1"/>
  <c r="AY202" i="24"/>
  <c r="AZ202" i="24" s="1"/>
  <c r="BF202" i="24"/>
  <c r="BF196" i="24"/>
  <c r="AY196" i="24"/>
  <c r="AZ196" i="24" s="1"/>
  <c r="BG196" i="24"/>
  <c r="BT196" i="24" s="1"/>
  <c r="AY157" i="24"/>
  <c r="AZ157" i="24" s="1"/>
  <c r="BG157" i="24"/>
  <c r="BT157" i="24" s="1"/>
  <c r="BF157" i="24"/>
  <c r="AY174" i="24"/>
  <c r="AZ174" i="24" s="1"/>
  <c r="BF174" i="24"/>
  <c r="BG174" i="24"/>
  <c r="BT174" i="24" s="1"/>
  <c r="BG198" i="24"/>
  <c r="BT198" i="24" s="1"/>
  <c r="AY198" i="24"/>
  <c r="AZ198" i="24" s="1"/>
  <c r="BF198" i="24"/>
  <c r="BF150" i="24"/>
  <c r="AY150" i="24"/>
  <c r="AZ150" i="24" s="1"/>
  <c r="BG150" i="24"/>
  <c r="BT150" i="24" s="1"/>
  <c r="BG170" i="24"/>
  <c r="BT170" i="24" s="1"/>
  <c r="AY170" i="24"/>
  <c r="AZ170" i="24" s="1"/>
  <c r="BF170" i="24"/>
  <c r="BF146" i="24"/>
  <c r="BG146" i="24"/>
  <c r="BT146" i="24" s="1"/>
  <c r="AY146" i="24"/>
  <c r="AZ146" i="24" s="1"/>
  <c r="BV58" i="24"/>
  <c r="CD58" i="24"/>
  <c r="BD58" i="25"/>
  <c r="BS58" i="25" s="1"/>
  <c r="BE58" i="25"/>
  <c r="BT58" i="25" s="1"/>
  <c r="AZ69" i="24"/>
  <c r="AZ95" i="24"/>
  <c r="AU152" i="24"/>
  <c r="AZ91" i="24"/>
  <c r="AZ78" i="24"/>
  <c r="AX15" i="24"/>
  <c r="BV15" i="24"/>
  <c r="AX88" i="24"/>
  <c r="BV88" i="24"/>
  <c r="BV67" i="24"/>
  <c r="BV103" i="24"/>
  <c r="BV90" i="24"/>
  <c r="BV94" i="24"/>
  <c r="AZ87" i="24"/>
  <c r="AZ105" i="24"/>
  <c r="BV9" i="24"/>
  <c r="AQ99" i="24"/>
  <c r="BV99" i="24"/>
  <c r="AQ102" i="24"/>
  <c r="BV102" i="24"/>
  <c r="AQ13" i="24"/>
  <c r="BV13" i="24"/>
  <c r="BV71" i="24"/>
  <c r="BV93" i="24"/>
  <c r="CD6" i="24"/>
  <c r="BV6" i="24"/>
  <c r="BV77" i="24"/>
  <c r="AU279" i="24"/>
  <c r="AU78" i="24"/>
  <c r="AU218" i="24"/>
  <c r="AW306" i="24"/>
  <c r="AW182" i="24"/>
  <c r="AU70" i="24"/>
  <c r="AW193" i="24"/>
  <c r="AZ70" i="24"/>
  <c r="AX49" i="24"/>
  <c r="CD49" i="24"/>
  <c r="AW203" i="24"/>
  <c r="AW261" i="24"/>
  <c r="AU132" i="24"/>
  <c r="AZ60" i="24"/>
  <c r="AW239" i="24"/>
  <c r="AW290" i="24"/>
  <c r="AU128" i="24"/>
  <c r="AW191" i="24"/>
  <c r="AW73" i="24"/>
  <c r="AY73" i="24" s="1"/>
  <c r="AZ73" i="24" s="1"/>
  <c r="AW33" i="24"/>
  <c r="AY33" i="24" s="1"/>
  <c r="AZ33" i="24" s="1"/>
  <c r="AW176" i="24"/>
  <c r="AW159" i="24"/>
  <c r="AU256" i="24"/>
  <c r="AW114" i="24"/>
  <c r="AW243" i="24"/>
  <c r="AU227" i="24"/>
  <c r="AW312" i="24"/>
  <c r="AW292" i="24"/>
  <c r="AW313" i="24"/>
  <c r="AU204" i="24"/>
  <c r="AW189" i="24"/>
  <c r="AW226" i="24"/>
  <c r="AW209" i="24"/>
  <c r="AU147" i="24"/>
  <c r="AU146" i="24"/>
  <c r="AU81" i="24"/>
  <c r="AZ55" i="24"/>
  <c r="AW181" i="24"/>
  <c r="AW130" i="24"/>
  <c r="AU55" i="24"/>
  <c r="AW296" i="24"/>
  <c r="AU170" i="24"/>
  <c r="AQ98" i="24"/>
  <c r="CD98" i="24"/>
  <c r="AU25" i="24"/>
  <c r="AW206" i="24"/>
  <c r="AW168" i="24"/>
  <c r="AW266" i="24"/>
  <c r="AU309" i="24"/>
  <c r="AW188" i="24"/>
  <c r="AU150" i="24"/>
  <c r="AU198" i="24"/>
  <c r="AW195" i="24"/>
  <c r="AW156" i="24"/>
  <c r="AW285" i="24"/>
  <c r="AW233" i="24"/>
  <c r="AW307" i="24"/>
  <c r="AU162" i="24"/>
  <c r="AW112" i="24"/>
  <c r="AU117" i="24"/>
  <c r="AU10" i="24"/>
  <c r="AU174" i="24"/>
  <c r="AW199" i="24"/>
  <c r="BF104" i="24"/>
  <c r="BI104" i="24" s="1"/>
  <c r="BN104" i="24" s="1"/>
  <c r="AZ10" i="24"/>
  <c r="AW136" i="24"/>
  <c r="AW51" i="24"/>
  <c r="AY51" i="24" s="1"/>
  <c r="AZ51" i="24" s="1"/>
  <c r="AU205" i="24"/>
  <c r="AU60" i="24"/>
  <c r="AW123" i="24"/>
  <c r="AU184" i="24"/>
  <c r="AU163" i="24"/>
  <c r="AW208" i="24"/>
  <c r="AW119" i="24"/>
  <c r="AZ101" i="24"/>
  <c r="AW110" i="24"/>
  <c r="AU196" i="24"/>
  <c r="AU95" i="24"/>
  <c r="AW141" i="24"/>
  <c r="AU157" i="24"/>
  <c r="AW86" i="24"/>
  <c r="AY86" i="24" s="1"/>
  <c r="AZ86" i="24" s="1"/>
  <c r="AW149" i="24"/>
  <c r="AU186" i="24"/>
  <c r="AZ41" i="24"/>
  <c r="AU101" i="24"/>
  <c r="AW23" i="24"/>
  <c r="AY23" i="24" s="1"/>
  <c r="AZ23" i="24" s="1"/>
  <c r="AW194" i="24"/>
  <c r="AW192" i="24"/>
  <c r="AU131" i="24"/>
  <c r="AU41" i="24"/>
  <c r="AU105" i="24"/>
  <c r="AW97" i="24"/>
  <c r="AY97" i="24" s="1"/>
  <c r="AZ97" i="24" s="1"/>
  <c r="AW210" i="24"/>
  <c r="AW172" i="24"/>
  <c r="AW161" i="24"/>
  <c r="AW64" i="24"/>
  <c r="AY64" i="24" s="1"/>
  <c r="AZ64" i="24" s="1"/>
  <c r="BG104" i="24"/>
  <c r="BT104" i="24" s="1"/>
  <c r="AU14" i="24"/>
  <c r="AW27" i="24"/>
  <c r="AY27" i="24" s="1"/>
  <c r="AZ27" i="24" s="1"/>
  <c r="AQ88" i="24"/>
  <c r="AU207" i="24"/>
  <c r="AZ14" i="24"/>
  <c r="AW155" i="24"/>
  <c r="BL49" i="24"/>
  <c r="AS49" i="24"/>
  <c r="AW49" i="24" s="1"/>
  <c r="AY49" i="24" s="1"/>
  <c r="BL88" i="24"/>
  <c r="BU88" i="24"/>
  <c r="AU50" i="24"/>
  <c r="BJ88" i="24"/>
  <c r="AS88" i="24"/>
  <c r="AW88" i="24" s="1"/>
  <c r="AY88" i="24" s="1"/>
  <c r="BK88" i="24"/>
  <c r="AW169" i="24"/>
  <c r="AU91" i="24"/>
  <c r="AQ49" i="24"/>
  <c r="BU13" i="24"/>
  <c r="AW134" i="24"/>
  <c r="BJ49" i="24"/>
  <c r="AW65" i="24"/>
  <c r="AY65" i="24" s="1"/>
  <c r="AZ65" i="24" s="1"/>
  <c r="AU110" i="25"/>
  <c r="AS71" i="24"/>
  <c r="BU71" i="24"/>
  <c r="AU87" i="24"/>
  <c r="AW35" i="24"/>
  <c r="AY35" i="24" s="1"/>
  <c r="AZ35" i="24" s="1"/>
  <c r="BK49" i="24"/>
  <c r="BK71" i="24"/>
  <c r="BJ71" i="24"/>
  <c r="AW81" i="24"/>
  <c r="AY81" i="24" s="1"/>
  <c r="AZ81" i="24" s="1"/>
  <c r="BU49" i="24"/>
  <c r="AX71" i="24"/>
  <c r="AQ71" i="24"/>
  <c r="AW22" i="24"/>
  <c r="AY22" i="24" s="1"/>
  <c r="AZ22" i="24" s="1"/>
  <c r="AX13" i="24"/>
  <c r="AS13" i="24"/>
  <c r="BJ13" i="24"/>
  <c r="BL13" i="24"/>
  <c r="BF34" i="24"/>
  <c r="BI34" i="24" s="1"/>
  <c r="BN34" i="24" s="1"/>
  <c r="AS15" i="24"/>
  <c r="BL15" i="24"/>
  <c r="BK15" i="24"/>
  <c r="AU34" i="24"/>
  <c r="BG34" i="24"/>
  <c r="BT34" i="24" s="1"/>
  <c r="BF69" i="24"/>
  <c r="BS69" i="24" s="1"/>
  <c r="BS5" i="24"/>
  <c r="BW5" i="24" s="1"/>
  <c r="BG69" i="24"/>
  <c r="BT69" i="24" s="1"/>
  <c r="AU69" i="24"/>
  <c r="BJ15" i="24"/>
  <c r="BU15" i="24"/>
  <c r="AQ15" i="24"/>
  <c r="AU22" i="24"/>
  <c r="BK102" i="24"/>
  <c r="AS102" i="24"/>
  <c r="BJ102" i="24"/>
  <c r="AX102" i="24"/>
  <c r="BL102" i="24"/>
  <c r="BU102" i="24"/>
  <c r="BJ48" i="24"/>
  <c r="AX48" i="24"/>
  <c r="BK48" i="24"/>
  <c r="AQ48" i="24"/>
  <c r="BU48" i="24"/>
  <c r="BL48" i="24"/>
  <c r="AS48" i="24"/>
  <c r="AX93" i="24"/>
  <c r="BK93" i="24"/>
  <c r="AS93" i="24"/>
  <c r="BJ93" i="24"/>
  <c r="BL93" i="24"/>
  <c r="AQ93" i="24"/>
  <c r="BU93" i="24"/>
  <c r="AX8" i="24"/>
  <c r="BL8" i="24"/>
  <c r="AQ8" i="24"/>
  <c r="BK8" i="24"/>
  <c r="AS8" i="24"/>
  <c r="BJ8" i="24"/>
  <c r="BU8" i="24"/>
  <c r="AX37" i="24"/>
  <c r="BK37" i="24"/>
  <c r="AS37" i="24"/>
  <c r="BL37" i="24"/>
  <c r="AQ37" i="24"/>
  <c r="BU37" i="24"/>
  <c r="BJ37" i="24"/>
  <c r="BU94" i="24"/>
  <c r="AX94" i="24"/>
  <c r="AQ94" i="24"/>
  <c r="BJ94" i="24"/>
  <c r="BL94" i="24"/>
  <c r="AS94" i="24"/>
  <c r="BK94" i="24"/>
  <c r="BJ16" i="24"/>
  <c r="BU16" i="24"/>
  <c r="BL16" i="24"/>
  <c r="AQ16" i="24"/>
  <c r="AS16" i="24"/>
  <c r="BK16" i="24"/>
  <c r="AX16" i="24"/>
  <c r="BJ75" i="24"/>
  <c r="BL75" i="24"/>
  <c r="AQ75" i="24"/>
  <c r="AS75" i="24"/>
  <c r="AX75" i="24"/>
  <c r="BK75" i="24"/>
  <c r="BU75" i="24"/>
  <c r="BJ57" i="24"/>
  <c r="BK57" i="24"/>
  <c r="BU57" i="24"/>
  <c r="AS57" i="24"/>
  <c r="AQ57" i="24"/>
  <c r="BL57" i="24"/>
  <c r="AX57" i="24"/>
  <c r="BL47" i="24"/>
  <c r="AQ47" i="24"/>
  <c r="BK47" i="24"/>
  <c r="AX47" i="24"/>
  <c r="BJ47" i="24"/>
  <c r="BU47" i="24"/>
  <c r="AS47" i="24"/>
  <c r="AX99" i="24"/>
  <c r="BJ99" i="24"/>
  <c r="AS99" i="24"/>
  <c r="BU99" i="24"/>
  <c r="BL99" i="24"/>
  <c r="BK99" i="24"/>
  <c r="AX103" i="24"/>
  <c r="AS103" i="24"/>
  <c r="BJ103" i="24"/>
  <c r="BK103" i="24"/>
  <c r="BL103" i="24"/>
  <c r="BU103" i="24"/>
  <c r="BU98" i="24"/>
  <c r="BJ98" i="24"/>
  <c r="BK98" i="24"/>
  <c r="AX98" i="24"/>
  <c r="AS98" i="24"/>
  <c r="BL98" i="24"/>
  <c r="BJ45" i="24"/>
  <c r="AS45" i="24"/>
  <c r="AX45" i="24"/>
  <c r="BU45" i="24"/>
  <c r="BL45" i="24"/>
  <c r="BK45" i="24"/>
  <c r="AQ45" i="24"/>
  <c r="BJ24" i="24"/>
  <c r="BL24" i="24"/>
  <c r="AS24" i="24"/>
  <c r="AX24" i="24"/>
  <c r="AQ24" i="24"/>
  <c r="BU24" i="24"/>
  <c r="BK24" i="24"/>
  <c r="AX58" i="24"/>
  <c r="AS58" i="24"/>
  <c r="BJ58" i="24"/>
  <c r="AQ58" i="24"/>
  <c r="BK58" i="24"/>
  <c r="BL58" i="24"/>
  <c r="BU58" i="24"/>
  <c r="AX84" i="24"/>
  <c r="AQ84" i="24"/>
  <c r="BJ84" i="24"/>
  <c r="BL84" i="24"/>
  <c r="BU84" i="24"/>
  <c r="BK84" i="24"/>
  <c r="AS84" i="24"/>
  <c r="BJ12" i="24"/>
  <c r="BL12" i="24"/>
  <c r="AS12" i="24"/>
  <c r="AX12" i="24"/>
  <c r="BU12" i="24"/>
  <c r="AQ12" i="24"/>
  <c r="BK12" i="24"/>
  <c r="AX38" i="24"/>
  <c r="BK38" i="24"/>
  <c r="AS38" i="24"/>
  <c r="BU38" i="24"/>
  <c r="BL38" i="24"/>
  <c r="AQ38" i="24"/>
  <c r="BJ38" i="24"/>
  <c r="AX9" i="24"/>
  <c r="AS9" i="24"/>
  <c r="BK9" i="24"/>
  <c r="AQ9" i="24"/>
  <c r="BL9" i="24"/>
  <c r="AX67" i="24"/>
  <c r="BJ67" i="24"/>
  <c r="BK67" i="24"/>
  <c r="AS67" i="24"/>
  <c r="BU67" i="24"/>
  <c r="BL67" i="24"/>
  <c r="AQ67" i="24"/>
  <c r="BU80" i="24"/>
  <c r="BJ80" i="24"/>
  <c r="BK80" i="24"/>
  <c r="AS80" i="24"/>
  <c r="AQ80" i="24"/>
  <c r="AX80" i="24"/>
  <c r="BL80" i="24"/>
  <c r="AX26" i="24"/>
  <c r="BU26" i="24"/>
  <c r="BL26" i="24"/>
  <c r="BK26" i="24"/>
  <c r="AQ26" i="24"/>
  <c r="BJ26" i="24"/>
  <c r="AS26" i="24"/>
  <c r="BJ44" i="24"/>
  <c r="BL44" i="24"/>
  <c r="BU44" i="24"/>
  <c r="BK44" i="24"/>
  <c r="AS44" i="24"/>
  <c r="AX44" i="24"/>
  <c r="AQ44" i="24"/>
  <c r="AX77" i="24"/>
  <c r="BL77" i="24"/>
  <c r="AQ77" i="24"/>
  <c r="BJ77" i="24"/>
  <c r="BU77" i="24"/>
  <c r="BK77" i="24"/>
  <c r="AS77" i="24"/>
  <c r="AX39" i="24"/>
  <c r="AS39" i="24"/>
  <c r="BL39" i="24"/>
  <c r="BJ39" i="24"/>
  <c r="BU39" i="24"/>
  <c r="BK39" i="24"/>
  <c r="AQ39" i="24"/>
  <c r="AX52" i="24"/>
  <c r="BJ52" i="24"/>
  <c r="BL52" i="24"/>
  <c r="AQ52" i="24"/>
  <c r="BU52" i="24"/>
  <c r="BK52" i="24"/>
  <c r="AS52" i="24"/>
  <c r="BU90" i="24"/>
  <c r="BL90" i="24"/>
  <c r="AX90" i="24"/>
  <c r="AS90" i="24"/>
  <c r="BK90" i="24"/>
  <c r="AQ90" i="24"/>
  <c r="BJ90" i="24"/>
  <c r="BJ30" i="24"/>
  <c r="AS30" i="24"/>
  <c r="BU30" i="24"/>
  <c r="BK30" i="24"/>
  <c r="BL30" i="24"/>
  <c r="AX30" i="24"/>
  <c r="AQ30" i="24"/>
  <c r="AX62" i="24"/>
  <c r="BJ62" i="24"/>
  <c r="AS62" i="24"/>
  <c r="BU62" i="24"/>
  <c r="BL62" i="24"/>
  <c r="BK62" i="24"/>
  <c r="AQ62" i="24"/>
  <c r="AX11" i="24"/>
  <c r="AS11" i="24"/>
  <c r="BK11" i="24"/>
  <c r="BL11" i="24"/>
  <c r="BU11" i="24"/>
  <c r="AQ11" i="24"/>
  <c r="BJ11" i="24"/>
  <c r="BJ76" i="24"/>
  <c r="BK76" i="24"/>
  <c r="AS76" i="24"/>
  <c r="BU76" i="24"/>
  <c r="AQ76" i="24"/>
  <c r="AX76" i="24"/>
  <c r="BL76" i="24"/>
  <c r="BJ9" i="24"/>
  <c r="AX17" i="24"/>
  <c r="BU17" i="24"/>
  <c r="BK17" i="24"/>
  <c r="BL17" i="24"/>
  <c r="BJ17" i="24"/>
  <c r="AQ17" i="24"/>
  <c r="AS17" i="24"/>
  <c r="AS20" i="24"/>
  <c r="BU20" i="24"/>
  <c r="BL20" i="24"/>
  <c r="BJ20" i="24"/>
  <c r="BK20" i="24"/>
  <c r="AQ20" i="24"/>
  <c r="AX20" i="24"/>
  <c r="BJ66" i="24"/>
  <c r="BK66" i="24"/>
  <c r="AS66" i="24"/>
  <c r="BU66" i="24"/>
  <c r="AX66" i="24"/>
  <c r="BL66" i="24"/>
  <c r="AQ66" i="24"/>
  <c r="AX61" i="24"/>
  <c r="BU61" i="24"/>
  <c r="AS61" i="24"/>
  <c r="BJ61" i="24"/>
  <c r="BK61" i="24"/>
  <c r="AQ61" i="24"/>
  <c r="BL61" i="24"/>
  <c r="BK7" i="24"/>
  <c r="AQ7" i="24"/>
  <c r="AX7" i="24"/>
  <c r="BL7" i="24"/>
  <c r="AS7" i="24"/>
  <c r="BJ7" i="24"/>
  <c r="BU7" i="24"/>
  <c r="AX6" i="24"/>
  <c r="BK6" i="24"/>
  <c r="AS6" i="24"/>
  <c r="BU6" i="24"/>
  <c r="BJ6" i="24"/>
  <c r="AQ6" i="24"/>
  <c r="BL6" i="24"/>
  <c r="BG40" i="24"/>
  <c r="BT40" i="24" s="1"/>
  <c r="BE8" i="25"/>
  <c r="BF8" i="25"/>
  <c r="BU8" i="25" s="1"/>
  <c r="BE82" i="25"/>
  <c r="BF82" i="25"/>
  <c r="BU82" i="25" s="1"/>
  <c r="BE74" i="25"/>
  <c r="BF74" i="25"/>
  <c r="BU74" i="25" s="1"/>
  <c r="BE45" i="25"/>
  <c r="BF45" i="25"/>
  <c r="BU45" i="25" s="1"/>
  <c r="BE62" i="25"/>
  <c r="BF62" i="25"/>
  <c r="BU62" i="25" s="1"/>
  <c r="BE103" i="25"/>
  <c r="BF103" i="25"/>
  <c r="BU103" i="25" s="1"/>
  <c r="BF44" i="25"/>
  <c r="BU44" i="25" s="1"/>
  <c r="BE44" i="25"/>
  <c r="BF28" i="25"/>
  <c r="BU28" i="25" s="1"/>
  <c r="BE28" i="25"/>
  <c r="BE7" i="25"/>
  <c r="BF7" i="25"/>
  <c r="BU7" i="25" s="1"/>
  <c r="BE101" i="25"/>
  <c r="BF101" i="25"/>
  <c r="BU101" i="25" s="1"/>
  <c r="BE46" i="25"/>
  <c r="BF46" i="25"/>
  <c r="BU46" i="25" s="1"/>
  <c r="BE9" i="25"/>
  <c r="BF9" i="25"/>
  <c r="BU9" i="25" s="1"/>
  <c r="BF78" i="25"/>
  <c r="BU78" i="25" s="1"/>
  <c r="BE78" i="25"/>
  <c r="BE22" i="25"/>
  <c r="BF22" i="25"/>
  <c r="BU22" i="25" s="1"/>
  <c r="BE67" i="25"/>
  <c r="BF67" i="25"/>
  <c r="BU67" i="25" s="1"/>
  <c r="BE51" i="25"/>
  <c r="BF51" i="25"/>
  <c r="BU51" i="25" s="1"/>
  <c r="BE77" i="25"/>
  <c r="BF77" i="25"/>
  <c r="BU77" i="25" s="1"/>
  <c r="BE10" i="25"/>
  <c r="BF10" i="25"/>
  <c r="BU10" i="25" s="1"/>
  <c r="BE30" i="25"/>
  <c r="BF30" i="25"/>
  <c r="BU30" i="25" s="1"/>
  <c r="BE91" i="25"/>
  <c r="BF91" i="25"/>
  <c r="BU91" i="25" s="1"/>
  <c r="BE13" i="25"/>
  <c r="BF13" i="25"/>
  <c r="BU13" i="25" s="1"/>
  <c r="BE31" i="25"/>
  <c r="BF31" i="25"/>
  <c r="BU31" i="25" s="1"/>
  <c r="BE96" i="25"/>
  <c r="BF96" i="25"/>
  <c r="BU96" i="25" s="1"/>
  <c r="BE104" i="25"/>
  <c r="BF104" i="25"/>
  <c r="BU104" i="25" s="1"/>
  <c r="BE25" i="25"/>
  <c r="BF25" i="25"/>
  <c r="BU25" i="25" s="1"/>
  <c r="BF60" i="25"/>
  <c r="BU60" i="25" s="1"/>
  <c r="BE60" i="25"/>
  <c r="BE66" i="25"/>
  <c r="BF66" i="25"/>
  <c r="BU66" i="25" s="1"/>
  <c r="BE73" i="25"/>
  <c r="BF73" i="25"/>
  <c r="BU73" i="25" s="1"/>
  <c r="BE98" i="25"/>
  <c r="BF98" i="25"/>
  <c r="BU98" i="25" s="1"/>
  <c r="BE81" i="25"/>
  <c r="BF81" i="25"/>
  <c r="BU81" i="25" s="1"/>
  <c r="BE34" i="25"/>
  <c r="BF34" i="25"/>
  <c r="BU34" i="25" s="1"/>
  <c r="BE21" i="25"/>
  <c r="BF21" i="25"/>
  <c r="BU21" i="25" s="1"/>
  <c r="BF56" i="25"/>
  <c r="BU56" i="25" s="1"/>
  <c r="BE56" i="25"/>
  <c r="BF86" i="25"/>
  <c r="BU86" i="25" s="1"/>
  <c r="BE86" i="25"/>
  <c r="BE87" i="25"/>
  <c r="BF87" i="25"/>
  <c r="BU87" i="25" s="1"/>
  <c r="BE75" i="25"/>
  <c r="BF75" i="25"/>
  <c r="BU75" i="25" s="1"/>
  <c r="BF36" i="25"/>
  <c r="BU36" i="25" s="1"/>
  <c r="BE36" i="25"/>
  <c r="BE11" i="25"/>
  <c r="BF11" i="25"/>
  <c r="BU11" i="25" s="1"/>
  <c r="BE38" i="25"/>
  <c r="BF38" i="25"/>
  <c r="BU38" i="25" s="1"/>
  <c r="BE69" i="25"/>
  <c r="BF69" i="25"/>
  <c r="BU69" i="25" s="1"/>
  <c r="BE59" i="25"/>
  <c r="BF59" i="25"/>
  <c r="BU59" i="25" s="1"/>
  <c r="BE76" i="25"/>
  <c r="BF76" i="25"/>
  <c r="BU76" i="25" s="1"/>
  <c r="BE27" i="25"/>
  <c r="BF27" i="25"/>
  <c r="BU27" i="25" s="1"/>
  <c r="BE79" i="25"/>
  <c r="BF79" i="25"/>
  <c r="BU79" i="25" s="1"/>
  <c r="BE54" i="25"/>
  <c r="BF54" i="25"/>
  <c r="BU54" i="25" s="1"/>
  <c r="BE71" i="25"/>
  <c r="BF71" i="25"/>
  <c r="BU71" i="25" s="1"/>
  <c r="BE15" i="25"/>
  <c r="BF15" i="25"/>
  <c r="BU15" i="25" s="1"/>
  <c r="BE105" i="25"/>
  <c r="BF105" i="25"/>
  <c r="BU105" i="25" s="1"/>
  <c r="BE18" i="25"/>
  <c r="BF18" i="25"/>
  <c r="BU18" i="25" s="1"/>
  <c r="BF32" i="25"/>
  <c r="BU32" i="25" s="1"/>
  <c r="BE32" i="25"/>
  <c r="BE57" i="25"/>
  <c r="BF57" i="25"/>
  <c r="BU57" i="25" s="1"/>
  <c r="BE65" i="25"/>
  <c r="BF65" i="25"/>
  <c r="BU65" i="25" s="1"/>
  <c r="BF72" i="25"/>
  <c r="BU72" i="25" s="1"/>
  <c r="BE72" i="25"/>
  <c r="BE29" i="25"/>
  <c r="BF29" i="25"/>
  <c r="BU29" i="25" s="1"/>
  <c r="BE88" i="25"/>
  <c r="BF88" i="25"/>
  <c r="BU88" i="25" s="1"/>
  <c r="BE12" i="25"/>
  <c r="BF12" i="25"/>
  <c r="BU12" i="25" s="1"/>
  <c r="BF64" i="25"/>
  <c r="BU64" i="25" s="1"/>
  <c r="BE64" i="25"/>
  <c r="BE26" i="25"/>
  <c r="BF26" i="25"/>
  <c r="BU26" i="25" s="1"/>
  <c r="BE100" i="25"/>
  <c r="BF100" i="25"/>
  <c r="BU100" i="25" s="1"/>
  <c r="BE97" i="25"/>
  <c r="BF97" i="25"/>
  <c r="BU97" i="25" s="1"/>
  <c r="BE19" i="25"/>
  <c r="BF19" i="25"/>
  <c r="BU19" i="25" s="1"/>
  <c r="BE20" i="25"/>
  <c r="BF20" i="25"/>
  <c r="BU20" i="25" s="1"/>
  <c r="BE17" i="25"/>
  <c r="BF17" i="25"/>
  <c r="BU17" i="25" s="1"/>
  <c r="BE47" i="25"/>
  <c r="BF47" i="25"/>
  <c r="BU47" i="25" s="1"/>
  <c r="BE63" i="25"/>
  <c r="BF63" i="25"/>
  <c r="BU63" i="25" s="1"/>
  <c r="BE53" i="25"/>
  <c r="BF53" i="25"/>
  <c r="BU53" i="25" s="1"/>
  <c r="BE93" i="25"/>
  <c r="BF93" i="25"/>
  <c r="BU93" i="25" s="1"/>
  <c r="BF68" i="25"/>
  <c r="BU68" i="25" s="1"/>
  <c r="BE68" i="25"/>
  <c r="BE24" i="25"/>
  <c r="BF24" i="25"/>
  <c r="BU24" i="25" s="1"/>
  <c r="BF94" i="25"/>
  <c r="BU94" i="25" s="1"/>
  <c r="BE94" i="25"/>
  <c r="BF52" i="25"/>
  <c r="BU52" i="25" s="1"/>
  <c r="BE52" i="25"/>
  <c r="BE92" i="25"/>
  <c r="BF92" i="25"/>
  <c r="BU92" i="25" s="1"/>
  <c r="BE33" i="25"/>
  <c r="BF33" i="25"/>
  <c r="BU33" i="25" s="1"/>
  <c r="BE99" i="25"/>
  <c r="BF99" i="25"/>
  <c r="BU99" i="25" s="1"/>
  <c r="BE95" i="25"/>
  <c r="BF95" i="25"/>
  <c r="BU95" i="25" s="1"/>
  <c r="BE55" i="25"/>
  <c r="BF55" i="25"/>
  <c r="BU55" i="25" s="1"/>
  <c r="BE70" i="25"/>
  <c r="BF70" i="25"/>
  <c r="BU70" i="25" s="1"/>
  <c r="BF102" i="25"/>
  <c r="BU102" i="25" s="1"/>
  <c r="BE102" i="25"/>
  <c r="BE83" i="25"/>
  <c r="BF83" i="25"/>
  <c r="BU83" i="25" s="1"/>
  <c r="BE14" i="25"/>
  <c r="BF14" i="25"/>
  <c r="BU14" i="25" s="1"/>
  <c r="BE80" i="25"/>
  <c r="BF80" i="25"/>
  <c r="BU80" i="25" s="1"/>
  <c r="BE42" i="25"/>
  <c r="BF42" i="25"/>
  <c r="BU42" i="25" s="1"/>
  <c r="BE6" i="25"/>
  <c r="BF6" i="25"/>
  <c r="BU6" i="25" s="1"/>
  <c r="BE49" i="25"/>
  <c r="BF49" i="25"/>
  <c r="BU49" i="25" s="1"/>
  <c r="BE37" i="25"/>
  <c r="BF37" i="25"/>
  <c r="BU37" i="25" s="1"/>
  <c r="BE50" i="25"/>
  <c r="BF50" i="25"/>
  <c r="BU50" i="25" s="1"/>
  <c r="BE89" i="25"/>
  <c r="BF89" i="25"/>
  <c r="BU89" i="25" s="1"/>
  <c r="BF48" i="25"/>
  <c r="BU48" i="25" s="1"/>
  <c r="BE48" i="25"/>
  <c r="BE39" i="25"/>
  <c r="BF39" i="25"/>
  <c r="BU39" i="25" s="1"/>
  <c r="BF40" i="25"/>
  <c r="BU40" i="25" s="1"/>
  <c r="BE40" i="25"/>
  <c r="BE23" i="25"/>
  <c r="BF23" i="25"/>
  <c r="BU23" i="25" s="1"/>
  <c r="BE61" i="25"/>
  <c r="BF61" i="25"/>
  <c r="BU61" i="25" s="1"/>
  <c r="BE16" i="25"/>
  <c r="BF16" i="25"/>
  <c r="BU16" i="25" s="1"/>
  <c r="BE41" i="25"/>
  <c r="BF41" i="25"/>
  <c r="BU41" i="25" s="1"/>
  <c r="BE35" i="25"/>
  <c r="BF35" i="25"/>
  <c r="BU35" i="25" s="1"/>
  <c r="BE90" i="25"/>
  <c r="BF90" i="25"/>
  <c r="BU90" i="25" s="1"/>
  <c r="BE84" i="25"/>
  <c r="BF84" i="25"/>
  <c r="BU84" i="25" s="1"/>
  <c r="BE85" i="25"/>
  <c r="BF85" i="25"/>
  <c r="BU85" i="25" s="1"/>
  <c r="BE43" i="25"/>
  <c r="BF43" i="25"/>
  <c r="BU43" i="25" s="1"/>
  <c r="AT5" i="25"/>
  <c r="AU5" i="25"/>
  <c r="BF40" i="24"/>
  <c r="BI40" i="24" s="1"/>
  <c r="BN40" i="24" s="1"/>
  <c r="BD90" i="25"/>
  <c r="BS90" i="25" s="1"/>
  <c r="BD33" i="25"/>
  <c r="BS33" i="25" s="1"/>
  <c r="BD55" i="25"/>
  <c r="BS55" i="25" s="1"/>
  <c r="BD60" i="25"/>
  <c r="BS60" i="25" s="1"/>
  <c r="BD98" i="25"/>
  <c r="BS98" i="25" s="1"/>
  <c r="BD95" i="25"/>
  <c r="BH95" i="25" s="1"/>
  <c r="BD18" i="25"/>
  <c r="BH18" i="25" s="1"/>
  <c r="BD65" i="25"/>
  <c r="BS65" i="25" s="1"/>
  <c r="B88" i="2"/>
  <c r="E23" i="1"/>
  <c r="L23" i="1"/>
  <c r="B98" i="2"/>
  <c r="BD43" i="25"/>
  <c r="BS43" i="25" s="1"/>
  <c r="BD32" i="25"/>
  <c r="BS32" i="25" s="1"/>
  <c r="BD73" i="25"/>
  <c r="BS73" i="25" s="1"/>
  <c r="BD57" i="25"/>
  <c r="BH57" i="25" s="1"/>
  <c r="BD85" i="25"/>
  <c r="BH85" i="25" s="1"/>
  <c r="BD99" i="25"/>
  <c r="BS99" i="25" s="1"/>
  <c r="BD84" i="25"/>
  <c r="BH84" i="25" s="1"/>
  <c r="BD66" i="25"/>
  <c r="BH66" i="25" s="1"/>
  <c r="BD70" i="25"/>
  <c r="BD81" i="25"/>
  <c r="BD34" i="25"/>
  <c r="BD21" i="25"/>
  <c r="BD56" i="25"/>
  <c r="BD86" i="25"/>
  <c r="BD87" i="25"/>
  <c r="BD6" i="25"/>
  <c r="BD49" i="25"/>
  <c r="BD37" i="25"/>
  <c r="BD50" i="25"/>
  <c r="BD89" i="25"/>
  <c r="BD48" i="25"/>
  <c r="BD39" i="25"/>
  <c r="BD40" i="25"/>
  <c r="BD54" i="25"/>
  <c r="BD71" i="25"/>
  <c r="BD105" i="25"/>
  <c r="BD8" i="25"/>
  <c r="BD29" i="25"/>
  <c r="BD88" i="25"/>
  <c r="BD62" i="25"/>
  <c r="BD103" i="25"/>
  <c r="BD26" i="25"/>
  <c r="BD100" i="25"/>
  <c r="BD28" i="25"/>
  <c r="BD7" i="25"/>
  <c r="BD101" i="25"/>
  <c r="BD46" i="25"/>
  <c r="BD9" i="25"/>
  <c r="BD78" i="25"/>
  <c r="BD22" i="25"/>
  <c r="BD47" i="25"/>
  <c r="BD63" i="25"/>
  <c r="BD51" i="25"/>
  <c r="BD77" i="25"/>
  <c r="BD93" i="25"/>
  <c r="BD68" i="25"/>
  <c r="BD24" i="25"/>
  <c r="BD31" i="25"/>
  <c r="BD96" i="25"/>
  <c r="BD104" i="25"/>
  <c r="BD25" i="25"/>
  <c r="BD102" i="25"/>
  <c r="BD83" i="25"/>
  <c r="BD14" i="25"/>
  <c r="BD80" i="25"/>
  <c r="BD42" i="25"/>
  <c r="BD75" i="25"/>
  <c r="BD36" i="25"/>
  <c r="BD11" i="25"/>
  <c r="BD38" i="25"/>
  <c r="BD69" i="25"/>
  <c r="BD59" i="25"/>
  <c r="BD76" i="25"/>
  <c r="BD27" i="25"/>
  <c r="BD79" i="25"/>
  <c r="BD23" i="25"/>
  <c r="BD61" i="25"/>
  <c r="BD16" i="25"/>
  <c r="BD15" i="25"/>
  <c r="BD41" i="25"/>
  <c r="BD35" i="25"/>
  <c r="BD72" i="25"/>
  <c r="BD82" i="25"/>
  <c r="BD74" i="25"/>
  <c r="BD45" i="25"/>
  <c r="BD12" i="25"/>
  <c r="BD64" i="25"/>
  <c r="BD44" i="25"/>
  <c r="BD97" i="25"/>
  <c r="BD19" i="25"/>
  <c r="BD20" i="25"/>
  <c r="BD17" i="25"/>
  <c r="BD67" i="25"/>
  <c r="BD53" i="25"/>
  <c r="BD10" i="25"/>
  <c r="BD30" i="25"/>
  <c r="BD91" i="25"/>
  <c r="BD13" i="25"/>
  <c r="BD94" i="25"/>
  <c r="BD52" i="25"/>
  <c r="BD92" i="25"/>
  <c r="BN53" i="24"/>
  <c r="BN32" i="24"/>
  <c r="BS53" i="24"/>
  <c r="BW53" i="24" s="1"/>
  <c r="BS32" i="24"/>
  <c r="BW32" i="24" s="1"/>
  <c r="BF85" i="24"/>
  <c r="BI85" i="24" s="1"/>
  <c r="BG85" i="24"/>
  <c r="BT85" i="24" s="1"/>
  <c r="BF21" i="24"/>
  <c r="BI21" i="24" s="1"/>
  <c r="BG21" i="24"/>
  <c r="BT21" i="24" s="1"/>
  <c r="BF95" i="24"/>
  <c r="BI95" i="24" s="1"/>
  <c r="BG95" i="24"/>
  <c r="BT95" i="24" s="1"/>
  <c r="BF68" i="24"/>
  <c r="BI68" i="24" s="1"/>
  <c r="BG68" i="24"/>
  <c r="BT68" i="24" s="1"/>
  <c r="BF28" i="24"/>
  <c r="BS28" i="24" s="1"/>
  <c r="BG28" i="24"/>
  <c r="BT28" i="24" s="1"/>
  <c r="BF14" i="24"/>
  <c r="BI14" i="24" s="1"/>
  <c r="BG14" i="24"/>
  <c r="BT14" i="24" s="1"/>
  <c r="BF92" i="24"/>
  <c r="BI92" i="24" s="1"/>
  <c r="BG92" i="24"/>
  <c r="BT92" i="24" s="1"/>
  <c r="BF55" i="24"/>
  <c r="BS55" i="24" s="1"/>
  <c r="BG55" i="24"/>
  <c r="BT55" i="24" s="1"/>
  <c r="BF105" i="24"/>
  <c r="BI105" i="24" s="1"/>
  <c r="BG105" i="24"/>
  <c r="BT105" i="24" s="1"/>
  <c r="L17" i="1" s="1"/>
  <c r="BF63" i="24"/>
  <c r="BS63" i="24" s="1"/>
  <c r="BG63" i="24"/>
  <c r="BT63" i="24" s="1"/>
  <c r="BF36" i="24"/>
  <c r="BI36" i="24" s="1"/>
  <c r="BG36" i="24"/>
  <c r="BT36" i="24" s="1"/>
  <c r="BF42" i="24"/>
  <c r="BS42" i="24" s="1"/>
  <c r="BG42" i="24"/>
  <c r="BT42" i="24" s="1"/>
  <c r="BF59" i="24"/>
  <c r="BI59" i="24" s="1"/>
  <c r="BG59" i="24"/>
  <c r="BT59" i="24" s="1"/>
  <c r="BF19" i="24"/>
  <c r="BS19" i="24" s="1"/>
  <c r="BG19" i="24"/>
  <c r="BT19" i="24" s="1"/>
  <c r="BF54" i="24"/>
  <c r="BI54" i="24" s="1"/>
  <c r="BG54" i="24"/>
  <c r="BT54" i="24" s="1"/>
  <c r="BF82" i="24"/>
  <c r="BI82" i="24" s="1"/>
  <c r="BG82" i="24"/>
  <c r="BT82" i="24" s="1"/>
  <c r="BF60" i="24"/>
  <c r="BS60" i="24" s="1"/>
  <c r="BG60" i="24"/>
  <c r="BT60" i="24" s="1"/>
  <c r="BF29" i="24"/>
  <c r="BI29" i="24" s="1"/>
  <c r="BG29" i="24"/>
  <c r="BT29" i="24" s="1"/>
  <c r="BF18" i="24"/>
  <c r="BS18" i="24" s="1"/>
  <c r="BG18" i="24"/>
  <c r="BT18" i="24" s="1"/>
  <c r="BF100" i="24"/>
  <c r="BS100" i="24" s="1"/>
  <c r="BG100" i="24"/>
  <c r="BT100" i="24" s="1"/>
  <c r="BF46" i="24"/>
  <c r="BS46" i="24" s="1"/>
  <c r="BG46" i="24"/>
  <c r="BT46" i="24" s="1"/>
  <c r="BF31" i="24"/>
  <c r="BS31" i="24" s="1"/>
  <c r="BG31" i="24"/>
  <c r="BT31" i="24" s="1"/>
  <c r="BF41" i="24"/>
  <c r="BI41" i="24" s="1"/>
  <c r="BG41" i="24"/>
  <c r="BT41" i="24" s="1"/>
  <c r="BF83" i="24"/>
  <c r="BS83" i="24" s="1"/>
  <c r="BG83" i="24"/>
  <c r="BT83" i="24" s="1"/>
  <c r="BF91" i="24"/>
  <c r="BI91" i="24" s="1"/>
  <c r="BG91" i="24"/>
  <c r="BT91" i="24" s="1"/>
  <c r="BF78" i="24"/>
  <c r="BI78" i="24" s="1"/>
  <c r="BG78" i="24"/>
  <c r="BT78" i="24" s="1"/>
  <c r="BF96" i="24"/>
  <c r="BI96" i="24" s="1"/>
  <c r="BG96" i="24"/>
  <c r="BT96" i="24" s="1"/>
  <c r="BF79" i="24"/>
  <c r="BI79" i="24" s="1"/>
  <c r="BG79" i="24"/>
  <c r="BT79" i="24" s="1"/>
  <c r="BF87" i="24"/>
  <c r="BI87" i="24" s="1"/>
  <c r="BG87" i="24"/>
  <c r="BT87" i="24" s="1"/>
  <c r="BF72" i="24"/>
  <c r="BS72" i="24" s="1"/>
  <c r="BG72" i="24"/>
  <c r="BT72" i="24" s="1"/>
  <c r="BF74" i="24"/>
  <c r="BI74" i="24" s="1"/>
  <c r="BG74" i="24"/>
  <c r="BT74" i="24" s="1"/>
  <c r="BF56" i="24"/>
  <c r="BS56" i="24" s="1"/>
  <c r="BG56" i="24"/>
  <c r="BT56" i="24" s="1"/>
  <c r="BF25" i="24"/>
  <c r="BS25" i="24" s="1"/>
  <c r="BG25" i="24"/>
  <c r="BT25" i="24" s="1"/>
  <c r="BF70" i="24"/>
  <c r="BS70" i="24" s="1"/>
  <c r="BG70" i="24"/>
  <c r="BT70" i="24" s="1"/>
  <c r="BF89" i="24"/>
  <c r="BI89" i="24" s="1"/>
  <c r="BG89" i="24"/>
  <c r="BT89" i="24" s="1"/>
  <c r="BF10" i="24"/>
  <c r="BS10" i="24" s="1"/>
  <c r="BG10" i="24"/>
  <c r="BT10" i="24" s="1"/>
  <c r="BF101" i="24"/>
  <c r="BS101" i="24" s="1"/>
  <c r="BG101" i="24"/>
  <c r="BT101" i="24" s="1"/>
  <c r="BF50" i="24"/>
  <c r="BS50" i="24" s="1"/>
  <c r="BG50" i="24"/>
  <c r="BT50" i="24" s="1"/>
  <c r="F64" i="19"/>
  <c r="F65" i="19"/>
  <c r="BD141" i="25" l="1"/>
  <c r="BF141" i="25"/>
  <c r="BU141" i="25" s="1"/>
  <c r="BF202" i="25"/>
  <c r="BU202" i="25" s="1"/>
  <c r="BF152" i="25"/>
  <c r="BU152" i="25" s="1"/>
  <c r="BE202" i="25"/>
  <c r="BT202" i="25" s="1"/>
  <c r="BE152" i="25"/>
  <c r="BT152" i="25" s="1"/>
  <c r="BE170" i="25"/>
  <c r="BT170" i="25" s="1"/>
  <c r="BF170" i="25"/>
  <c r="BU170" i="25" s="1"/>
  <c r="BD195" i="25"/>
  <c r="BH195" i="25" s="1"/>
  <c r="BE145" i="25"/>
  <c r="BT145" i="25" s="1"/>
  <c r="BF145" i="25"/>
  <c r="BU145" i="25" s="1"/>
  <c r="BD176" i="25"/>
  <c r="BH176" i="25" s="1"/>
  <c r="BF176" i="25"/>
  <c r="BU176" i="25" s="1"/>
  <c r="BF158" i="25"/>
  <c r="BU158" i="25" s="1"/>
  <c r="BD158" i="25"/>
  <c r="BS158" i="25" s="1"/>
  <c r="BD127" i="25"/>
  <c r="BH127" i="25" s="1"/>
  <c r="BE127" i="25"/>
  <c r="BT127" i="25" s="1"/>
  <c r="BD197" i="25"/>
  <c r="BH197" i="25" s="1"/>
  <c r="BF197" i="25"/>
  <c r="BU197" i="25" s="1"/>
  <c r="BF131" i="25"/>
  <c r="BU131" i="25" s="1"/>
  <c r="BE131" i="25"/>
  <c r="BT131" i="25" s="1"/>
  <c r="BF198" i="25"/>
  <c r="BU198" i="25" s="1"/>
  <c r="BE198" i="25"/>
  <c r="BT198" i="25" s="1"/>
  <c r="BF133" i="25"/>
  <c r="BU133" i="25" s="1"/>
  <c r="BE133" i="25"/>
  <c r="BT133" i="25" s="1"/>
  <c r="BD151" i="25"/>
  <c r="BS151" i="25" s="1"/>
  <c r="BE151" i="25"/>
  <c r="BT151" i="25" s="1"/>
  <c r="BD125" i="25"/>
  <c r="BH125" i="25" s="1"/>
  <c r="BF208" i="25"/>
  <c r="BU208" i="25" s="1"/>
  <c r="BE208" i="25"/>
  <c r="BT208" i="25" s="1"/>
  <c r="BF172" i="25"/>
  <c r="BU172" i="25" s="1"/>
  <c r="BE172" i="25"/>
  <c r="BT172" i="25" s="1"/>
  <c r="BF126" i="25"/>
  <c r="BU126" i="25" s="1"/>
  <c r="BE126" i="25"/>
  <c r="BT126" i="25" s="1"/>
  <c r="BE210" i="25"/>
  <c r="BT210" i="25" s="1"/>
  <c r="BF210" i="25"/>
  <c r="BU210" i="25" s="1"/>
  <c r="BF184" i="25"/>
  <c r="BU184" i="25" s="1"/>
  <c r="BE184" i="25"/>
  <c r="BT184" i="25" s="1"/>
  <c r="BF125" i="25"/>
  <c r="BU125" i="25" s="1"/>
  <c r="BC282" i="24"/>
  <c r="BC131" i="24"/>
  <c r="BD131" i="24"/>
  <c r="BD309" i="24"/>
  <c r="BC309" i="24"/>
  <c r="BC128" i="24"/>
  <c r="BD128" i="24"/>
  <c r="BD279" i="24"/>
  <c r="BC279" i="24"/>
  <c r="BC122" i="24"/>
  <c r="BD122" i="24"/>
  <c r="BC170" i="24"/>
  <c r="BD170" i="24"/>
  <c r="BC157" i="24"/>
  <c r="BD157" i="24"/>
  <c r="BC163" i="24"/>
  <c r="BD163" i="24"/>
  <c r="BC152" i="24"/>
  <c r="BD152" i="24"/>
  <c r="BC184" i="24"/>
  <c r="BD184" i="24"/>
  <c r="BD256" i="24"/>
  <c r="BC256" i="24"/>
  <c r="BD227" i="24"/>
  <c r="BC227" i="24"/>
  <c r="BC174" i="24"/>
  <c r="BD174" i="24"/>
  <c r="BC204" i="24"/>
  <c r="BD204" i="24"/>
  <c r="BC147" i="24"/>
  <c r="BD147" i="24"/>
  <c r="BC207" i="24"/>
  <c r="BD207" i="24"/>
  <c r="BC196" i="24"/>
  <c r="BD196" i="24"/>
  <c r="BC132" i="24"/>
  <c r="BD132" i="24"/>
  <c r="BC162" i="24"/>
  <c r="BD162" i="24"/>
  <c r="BC205" i="24"/>
  <c r="BD205" i="24"/>
  <c r="BC117" i="24"/>
  <c r="BD117" i="24"/>
  <c r="BC198" i="24"/>
  <c r="BD198" i="24"/>
  <c r="BC186" i="24"/>
  <c r="BD186" i="24"/>
  <c r="BC150" i="24"/>
  <c r="BD150" i="24"/>
  <c r="BC146" i="24"/>
  <c r="BD146" i="24"/>
  <c r="BD218" i="24"/>
  <c r="BC218" i="24"/>
  <c r="BC22" i="24"/>
  <c r="BD22" i="24"/>
  <c r="BC101" i="24"/>
  <c r="BD101" i="24"/>
  <c r="BC60" i="24"/>
  <c r="BD60" i="24"/>
  <c r="BC10" i="24"/>
  <c r="BD10" i="24"/>
  <c r="BC25" i="24"/>
  <c r="BD25" i="24"/>
  <c r="BC95" i="24"/>
  <c r="BD95" i="24"/>
  <c r="BC70" i="24"/>
  <c r="BD70" i="24"/>
  <c r="BC43" i="24"/>
  <c r="BD43" i="24"/>
  <c r="BC34" i="24"/>
  <c r="BD34" i="24"/>
  <c r="BC50" i="24"/>
  <c r="BD50" i="24"/>
  <c r="BC81" i="24"/>
  <c r="BD81" i="24"/>
  <c r="B120" i="2"/>
  <c r="B114" i="2" s="1"/>
  <c r="BD105" i="24"/>
  <c r="BA5" i="25"/>
  <c r="BB5" i="25"/>
  <c r="BC87" i="24"/>
  <c r="BD87" i="24"/>
  <c r="BC14" i="24"/>
  <c r="BD14" i="24"/>
  <c r="BC41" i="24"/>
  <c r="BD41" i="24"/>
  <c r="BC78" i="24"/>
  <c r="BD78" i="24"/>
  <c r="BC69" i="24"/>
  <c r="BD69" i="24"/>
  <c r="BC91" i="24"/>
  <c r="BD91" i="24"/>
  <c r="BC55" i="24"/>
  <c r="BD55" i="24"/>
  <c r="AW43" i="24"/>
  <c r="AY43" i="24" s="1"/>
  <c r="AZ43" i="24" s="1"/>
  <c r="BG133" i="24"/>
  <c r="BT133" i="24" s="1"/>
  <c r="AY133" i="24"/>
  <c r="AZ133" i="24" s="1"/>
  <c r="BF166" i="24"/>
  <c r="BS166" i="24" s="1"/>
  <c r="BG166" i="24"/>
  <c r="BT166" i="24" s="1"/>
  <c r="BF167" i="24"/>
  <c r="BS167" i="24" s="1"/>
  <c r="BW167" i="24" s="1"/>
  <c r="BH191" i="25"/>
  <c r="BS191" i="25"/>
  <c r="BX191" i="25" s="1"/>
  <c r="BH165" i="25"/>
  <c r="BS165" i="25"/>
  <c r="BX165" i="25" s="1"/>
  <c r="BH152" i="25"/>
  <c r="BS152" i="25"/>
  <c r="BH168" i="25"/>
  <c r="BS168" i="25"/>
  <c r="BX168" i="25" s="1"/>
  <c r="BH136" i="25"/>
  <c r="BS136" i="25"/>
  <c r="BX136" i="25" s="1"/>
  <c r="BH137" i="25"/>
  <c r="BS137" i="25"/>
  <c r="BX137" i="25" s="1"/>
  <c r="BH159" i="25"/>
  <c r="BS159" i="25"/>
  <c r="BX159" i="25" s="1"/>
  <c r="BH114" i="25"/>
  <c r="BS114" i="25"/>
  <c r="BX114" i="25" s="1"/>
  <c r="BH111" i="25"/>
  <c r="BS111" i="25"/>
  <c r="BX111" i="25" s="1"/>
  <c r="BH206" i="25"/>
  <c r="BS206" i="25"/>
  <c r="BX206" i="25" s="1"/>
  <c r="BH163" i="25"/>
  <c r="BS163" i="25"/>
  <c r="BX163" i="25" s="1"/>
  <c r="BH119" i="25"/>
  <c r="BS119" i="25"/>
  <c r="BX119" i="25" s="1"/>
  <c r="BS210" i="25"/>
  <c r="BH210" i="25"/>
  <c r="BH175" i="25"/>
  <c r="BS175" i="25"/>
  <c r="BX175" i="25" s="1"/>
  <c r="BS122" i="25"/>
  <c r="BX122" i="25" s="1"/>
  <c r="BH122" i="25"/>
  <c r="BS112" i="25"/>
  <c r="BX112" i="25" s="1"/>
  <c r="BH112" i="25"/>
  <c r="BH205" i="25"/>
  <c r="BS205" i="25"/>
  <c r="BX205" i="25" s="1"/>
  <c r="BH189" i="25"/>
  <c r="BS189" i="25"/>
  <c r="BX189" i="25" s="1"/>
  <c r="BS196" i="25"/>
  <c r="BX196" i="25" s="1"/>
  <c r="BH196" i="25"/>
  <c r="BS198" i="25"/>
  <c r="BH198" i="25"/>
  <c r="BH170" i="25"/>
  <c r="BS170" i="25"/>
  <c r="BH199" i="25"/>
  <c r="BS199" i="25"/>
  <c r="BX199" i="25" s="1"/>
  <c r="BH202" i="25"/>
  <c r="BS202" i="25"/>
  <c r="BH186" i="25"/>
  <c r="BS186" i="25"/>
  <c r="BX186" i="25" s="1"/>
  <c r="BH156" i="25"/>
  <c r="BS156" i="25"/>
  <c r="BX156" i="25" s="1"/>
  <c r="BH164" i="25"/>
  <c r="BS164" i="25"/>
  <c r="BX164" i="25" s="1"/>
  <c r="BH123" i="25"/>
  <c r="BS123" i="25"/>
  <c r="BX123" i="25" s="1"/>
  <c r="BH143" i="25"/>
  <c r="BS143" i="25"/>
  <c r="BX143" i="25" s="1"/>
  <c r="BS162" i="25"/>
  <c r="BX162" i="25" s="1"/>
  <c r="BH162" i="25"/>
  <c r="BH116" i="25"/>
  <c r="BS116" i="25"/>
  <c r="BX116" i="25" s="1"/>
  <c r="BH149" i="25"/>
  <c r="BS149" i="25"/>
  <c r="BX149" i="25" s="1"/>
  <c r="BH144" i="25"/>
  <c r="BS144" i="25"/>
  <c r="BX144" i="25" s="1"/>
  <c r="BH181" i="25"/>
  <c r="BS181" i="25"/>
  <c r="BX181" i="25" s="1"/>
  <c r="BH138" i="25"/>
  <c r="BS138" i="25"/>
  <c r="BX138" i="25" s="1"/>
  <c r="BH132" i="25"/>
  <c r="BS132" i="25"/>
  <c r="BX132" i="25" s="1"/>
  <c r="BH193" i="25"/>
  <c r="BS193" i="25"/>
  <c r="BX193" i="25" s="1"/>
  <c r="BH117" i="25"/>
  <c r="BS117" i="25"/>
  <c r="BX117" i="25" s="1"/>
  <c r="BH153" i="25"/>
  <c r="BS153" i="25"/>
  <c r="BX153" i="25" s="1"/>
  <c r="BH133" i="25"/>
  <c r="BS133" i="25"/>
  <c r="BH126" i="25"/>
  <c r="BS126" i="25"/>
  <c r="BH161" i="25"/>
  <c r="BS161" i="25"/>
  <c r="BX161" i="25" s="1"/>
  <c r="BH192" i="25"/>
  <c r="BS192" i="25"/>
  <c r="BX192" i="25" s="1"/>
  <c r="BH183" i="25"/>
  <c r="BS183" i="25"/>
  <c r="BX183" i="25" s="1"/>
  <c r="BH207" i="25"/>
  <c r="BS207" i="25"/>
  <c r="BX207" i="25" s="1"/>
  <c r="BH173" i="25"/>
  <c r="BS173" i="25"/>
  <c r="BX173" i="25" s="1"/>
  <c r="BH130" i="25"/>
  <c r="BS130" i="25"/>
  <c r="BX130" i="25" s="1"/>
  <c r="BS134" i="25"/>
  <c r="BX134" i="25" s="1"/>
  <c r="BH134" i="25"/>
  <c r="BH208" i="25"/>
  <c r="BS208" i="25"/>
  <c r="BS128" i="25"/>
  <c r="BX128" i="25" s="1"/>
  <c r="BH128" i="25"/>
  <c r="BS182" i="25"/>
  <c r="BX182" i="25" s="1"/>
  <c r="BH182" i="25"/>
  <c r="BH129" i="25"/>
  <c r="BS129" i="25"/>
  <c r="BX129" i="25" s="1"/>
  <c r="BH200" i="25"/>
  <c r="BS200" i="25"/>
  <c r="BX200" i="25" s="1"/>
  <c r="BH179" i="25"/>
  <c r="BS179" i="25"/>
  <c r="BX179" i="25" s="1"/>
  <c r="BF110" i="25"/>
  <c r="BU110" i="25" s="1"/>
  <c r="BD110" i="25"/>
  <c r="BE110" i="25"/>
  <c r="BT110" i="25" s="1"/>
  <c r="BH148" i="25"/>
  <c r="BS148" i="25"/>
  <c r="BX148" i="25" s="1"/>
  <c r="BH121" i="25"/>
  <c r="BS121" i="25"/>
  <c r="BX121" i="25" s="1"/>
  <c r="BH115" i="25"/>
  <c r="BS115" i="25"/>
  <c r="BX115" i="25" s="1"/>
  <c r="BH178" i="25"/>
  <c r="BS178" i="25"/>
  <c r="BX178" i="25" s="1"/>
  <c r="BS131" i="25"/>
  <c r="BH131" i="25"/>
  <c r="BH146" i="25"/>
  <c r="BS146" i="25"/>
  <c r="BX146" i="25" s="1"/>
  <c r="BH118" i="25"/>
  <c r="BS118" i="25"/>
  <c r="BX118" i="25" s="1"/>
  <c r="BH139" i="25"/>
  <c r="BS139" i="25"/>
  <c r="BX139" i="25" s="1"/>
  <c r="BS120" i="25"/>
  <c r="BX120" i="25" s="1"/>
  <c r="BH120" i="25"/>
  <c r="BH209" i="25"/>
  <c r="BS209" i="25"/>
  <c r="BX209" i="25" s="1"/>
  <c r="BH150" i="25"/>
  <c r="BS150" i="25"/>
  <c r="BX150" i="25" s="1"/>
  <c r="BH113" i="25"/>
  <c r="BS113" i="25"/>
  <c r="BX113" i="25" s="1"/>
  <c r="BH177" i="25"/>
  <c r="BS177" i="25"/>
  <c r="BX177" i="25" s="1"/>
  <c r="BH169" i="25"/>
  <c r="BS169" i="25"/>
  <c r="BX169" i="25" s="1"/>
  <c r="BS203" i="25"/>
  <c r="BX203" i="25" s="1"/>
  <c r="BH203" i="25"/>
  <c r="BH167" i="25"/>
  <c r="BS167" i="25"/>
  <c r="BX167" i="25" s="1"/>
  <c r="BH135" i="25"/>
  <c r="BS135" i="25"/>
  <c r="BX135" i="25" s="1"/>
  <c r="BH187" i="25"/>
  <c r="BS187" i="25"/>
  <c r="BX187" i="25" s="1"/>
  <c r="BH172" i="25"/>
  <c r="BS172" i="25"/>
  <c r="BS140" i="25"/>
  <c r="BX140" i="25" s="1"/>
  <c r="BH140" i="25"/>
  <c r="BS124" i="25"/>
  <c r="BX124" i="25" s="1"/>
  <c r="BH124" i="25"/>
  <c r="BS147" i="25"/>
  <c r="BX147" i="25" s="1"/>
  <c r="BH147" i="25"/>
  <c r="BH194" i="25"/>
  <c r="BS194" i="25"/>
  <c r="BX194" i="25" s="1"/>
  <c r="BH160" i="25"/>
  <c r="BM160" i="25" s="1"/>
  <c r="BS160" i="25"/>
  <c r="BX160" i="25" s="1"/>
  <c r="BH155" i="25"/>
  <c r="BS155" i="25"/>
  <c r="BX155" i="25" s="1"/>
  <c r="BS157" i="25"/>
  <c r="BX157" i="25" s="1"/>
  <c r="BH157" i="25"/>
  <c r="BS154" i="25"/>
  <c r="BX154" i="25" s="1"/>
  <c r="BH154" i="25"/>
  <c r="BH190" i="25"/>
  <c r="BS190" i="25"/>
  <c r="BX190" i="25" s="1"/>
  <c r="BH188" i="25"/>
  <c r="BS188" i="25"/>
  <c r="BX188" i="25" s="1"/>
  <c r="BS174" i="25"/>
  <c r="BX174" i="25" s="1"/>
  <c r="BH174" i="25"/>
  <c r="BS204" i="25"/>
  <c r="BX204" i="25" s="1"/>
  <c r="BH204" i="25"/>
  <c r="BH171" i="25"/>
  <c r="BS171" i="25"/>
  <c r="BX171" i="25" s="1"/>
  <c r="BS180" i="25"/>
  <c r="BX180" i="25" s="1"/>
  <c r="BH180" i="25"/>
  <c r="BH201" i="25"/>
  <c r="BS201" i="25"/>
  <c r="BX201" i="25" s="1"/>
  <c r="BH145" i="25"/>
  <c r="BS145" i="25"/>
  <c r="BH142" i="25"/>
  <c r="BS142" i="25"/>
  <c r="BX142" i="25" s="1"/>
  <c r="BS141" i="25"/>
  <c r="BX141" i="25" s="1"/>
  <c r="BH141" i="25"/>
  <c r="BH184" i="25"/>
  <c r="BS184" i="25"/>
  <c r="BH185" i="25"/>
  <c r="BS185" i="25"/>
  <c r="BX185" i="25" s="1"/>
  <c r="BH166" i="25"/>
  <c r="BS166" i="25"/>
  <c r="BX166" i="25" s="1"/>
  <c r="AY115" i="24"/>
  <c r="AZ115" i="24" s="1"/>
  <c r="AY167" i="24"/>
  <c r="AZ167" i="24" s="1"/>
  <c r="BF115" i="24"/>
  <c r="BS115" i="24" s="1"/>
  <c r="BW115" i="24" s="1"/>
  <c r="AY165" i="24"/>
  <c r="AZ165" i="24" s="1"/>
  <c r="BF165" i="24"/>
  <c r="BI165" i="24" s="1"/>
  <c r="BG194" i="24"/>
  <c r="BT194" i="24" s="1"/>
  <c r="AY194" i="24"/>
  <c r="AZ194" i="24" s="1"/>
  <c r="BF194" i="24"/>
  <c r="BF141" i="24"/>
  <c r="BG141" i="24"/>
  <c r="BT141" i="24" s="1"/>
  <c r="AY141" i="24"/>
  <c r="AZ141" i="24" s="1"/>
  <c r="BF199" i="24"/>
  <c r="AY199" i="24"/>
  <c r="AZ199" i="24" s="1"/>
  <c r="BG199" i="24"/>
  <c r="BT199" i="24" s="1"/>
  <c r="BG112" i="24"/>
  <c r="BT112" i="24" s="1"/>
  <c r="AY112" i="24"/>
  <c r="AZ112" i="24" s="1"/>
  <c r="BF112" i="24"/>
  <c r="BF203" i="24"/>
  <c r="AY203" i="24"/>
  <c r="AZ203" i="24" s="1"/>
  <c r="BG203" i="24"/>
  <c r="BT203" i="24" s="1"/>
  <c r="AY193" i="24"/>
  <c r="AZ193" i="24" s="1"/>
  <c r="BG193" i="24"/>
  <c r="BT193" i="24" s="1"/>
  <c r="BF193" i="24"/>
  <c r="BS144" i="24"/>
  <c r="BW144" i="24" s="1"/>
  <c r="BI144" i="24"/>
  <c r="BS127" i="24"/>
  <c r="BW127" i="24" s="1"/>
  <c r="BI127" i="24"/>
  <c r="BS152" i="24"/>
  <c r="BW152" i="24" s="1"/>
  <c r="BI152" i="24"/>
  <c r="BS147" i="24"/>
  <c r="BW147" i="24" s="1"/>
  <c r="BI147" i="24"/>
  <c r="BS187" i="24"/>
  <c r="BW187" i="24" s="1"/>
  <c r="BI187" i="24"/>
  <c r="BS128" i="24"/>
  <c r="BW128" i="24" s="1"/>
  <c r="BI128" i="24"/>
  <c r="BS163" i="24"/>
  <c r="BW163" i="24" s="1"/>
  <c r="BI163" i="24"/>
  <c r="BS131" i="24"/>
  <c r="BW131" i="24" s="1"/>
  <c r="BI131" i="24"/>
  <c r="BS151" i="24"/>
  <c r="BW151" i="24" s="1"/>
  <c r="BI151" i="24"/>
  <c r="BS158" i="24"/>
  <c r="BW158" i="24" s="1"/>
  <c r="BI158" i="24"/>
  <c r="BI200" i="24"/>
  <c r="BS200" i="24"/>
  <c r="BW200" i="24" s="1"/>
  <c r="BS116" i="24"/>
  <c r="BW116" i="24" s="1"/>
  <c r="BI116" i="24"/>
  <c r="BF172" i="24"/>
  <c r="AY172" i="24"/>
  <c r="AZ172" i="24" s="1"/>
  <c r="BG172" i="24"/>
  <c r="BT172" i="24" s="1"/>
  <c r="BG149" i="24"/>
  <c r="BT149" i="24" s="1"/>
  <c r="BF149" i="24"/>
  <c r="AY149" i="24"/>
  <c r="AZ149" i="24" s="1"/>
  <c r="BG119" i="24"/>
  <c r="BT119" i="24" s="1"/>
  <c r="BF119" i="24"/>
  <c r="AY119" i="24"/>
  <c r="AZ119" i="24" s="1"/>
  <c r="AY123" i="24"/>
  <c r="AZ123" i="24" s="1"/>
  <c r="BF123" i="24"/>
  <c r="BG123" i="24"/>
  <c r="BT123" i="24" s="1"/>
  <c r="BG136" i="24"/>
  <c r="BT136" i="24" s="1"/>
  <c r="BF136" i="24"/>
  <c r="AY136" i="24"/>
  <c r="AZ136" i="24" s="1"/>
  <c r="BG156" i="24"/>
  <c r="BT156" i="24" s="1"/>
  <c r="BF156" i="24"/>
  <c r="AY156" i="24"/>
  <c r="AZ156" i="24" s="1"/>
  <c r="BF188" i="24"/>
  <c r="AY188" i="24"/>
  <c r="AZ188" i="24" s="1"/>
  <c r="BG188" i="24"/>
  <c r="BT188" i="24" s="1"/>
  <c r="AY206" i="24"/>
  <c r="AZ206" i="24" s="1"/>
  <c r="BF206" i="24"/>
  <c r="BG206" i="24"/>
  <c r="BT206" i="24" s="1"/>
  <c r="AY181" i="24"/>
  <c r="AZ181" i="24" s="1"/>
  <c r="BF181" i="24"/>
  <c r="BG181" i="24"/>
  <c r="BT181" i="24" s="1"/>
  <c r="BG159" i="24"/>
  <c r="BT159" i="24" s="1"/>
  <c r="AY159" i="24"/>
  <c r="AZ159" i="24" s="1"/>
  <c r="BF159" i="24"/>
  <c r="BG191" i="24"/>
  <c r="BT191" i="24" s="1"/>
  <c r="BF191" i="24"/>
  <c r="AY191" i="24"/>
  <c r="AZ191" i="24" s="1"/>
  <c r="BI170" i="24"/>
  <c r="BS170" i="24"/>
  <c r="BW170" i="24" s="1"/>
  <c r="BI157" i="24"/>
  <c r="BS157" i="24"/>
  <c r="BW157" i="24" s="1"/>
  <c r="BS126" i="24"/>
  <c r="BW126" i="24" s="1"/>
  <c r="BI126" i="24"/>
  <c r="BI186" i="24"/>
  <c r="BN186" i="24" s="1"/>
  <c r="BS186" i="24"/>
  <c r="BS129" i="24"/>
  <c r="BW129" i="24" s="1"/>
  <c r="BI129" i="24"/>
  <c r="BS138" i="24"/>
  <c r="BW138" i="24" s="1"/>
  <c r="BI138" i="24"/>
  <c r="BS164" i="24"/>
  <c r="BW164" i="24" s="1"/>
  <c r="BI164" i="24"/>
  <c r="BS184" i="24"/>
  <c r="BW184" i="24" s="1"/>
  <c r="BI184" i="24"/>
  <c r="BS135" i="24"/>
  <c r="BW135" i="24" s="1"/>
  <c r="BI135" i="24"/>
  <c r="BS205" i="24"/>
  <c r="BW205" i="24" s="1"/>
  <c r="BI205" i="24"/>
  <c r="BI185" i="24"/>
  <c r="BN185" i="24" s="1"/>
  <c r="BS185" i="24"/>
  <c r="BS133" i="24"/>
  <c r="BI133" i="24"/>
  <c r="BF134" i="24"/>
  <c r="BG134" i="24"/>
  <c r="BT134" i="24" s="1"/>
  <c r="AY134" i="24"/>
  <c r="AZ134" i="24" s="1"/>
  <c r="AY169" i="24"/>
  <c r="AZ169" i="24" s="1"/>
  <c r="BG169" i="24"/>
  <c r="BT169" i="24" s="1"/>
  <c r="BF169" i="24"/>
  <c r="AY210" i="24"/>
  <c r="AZ210" i="24" s="1"/>
  <c r="BF210" i="24"/>
  <c r="BG210" i="24"/>
  <c r="BT210" i="24" s="1"/>
  <c r="AY208" i="24"/>
  <c r="AZ208" i="24" s="1"/>
  <c r="BG208" i="24"/>
  <c r="BT208" i="24" s="1"/>
  <c r="BF208" i="24"/>
  <c r="AY195" i="24"/>
  <c r="AZ195" i="24" s="1"/>
  <c r="BF195" i="24"/>
  <c r="BG195" i="24"/>
  <c r="BT195" i="24" s="1"/>
  <c r="BG209" i="24"/>
  <c r="BT209" i="24" s="1"/>
  <c r="BF209" i="24"/>
  <c r="AY209" i="24"/>
  <c r="AZ209" i="24" s="1"/>
  <c r="BF176" i="24"/>
  <c r="AY176" i="24"/>
  <c r="AZ176" i="24" s="1"/>
  <c r="BG176" i="24"/>
  <c r="BT176" i="24" s="1"/>
  <c r="BF182" i="24"/>
  <c r="AY182" i="24"/>
  <c r="AZ182" i="24" s="1"/>
  <c r="BG182" i="24"/>
  <c r="BT182" i="24" s="1"/>
  <c r="BS150" i="24"/>
  <c r="BW150" i="24" s="1"/>
  <c r="BI150" i="24"/>
  <c r="BI196" i="24"/>
  <c r="BS196" i="24"/>
  <c r="BW196" i="24" s="1"/>
  <c r="BS140" i="24"/>
  <c r="BW140" i="24" s="1"/>
  <c r="BI140" i="24"/>
  <c r="BI201" i="24"/>
  <c r="BS201" i="24"/>
  <c r="BW201" i="24" s="1"/>
  <c r="BS113" i="24"/>
  <c r="BW113" i="24" s="1"/>
  <c r="BI113" i="24"/>
  <c r="BS173" i="24"/>
  <c r="BW173" i="24" s="1"/>
  <c r="BI173" i="24"/>
  <c r="BS197" i="24"/>
  <c r="BW197" i="24" s="1"/>
  <c r="BI197" i="24"/>
  <c r="BS121" i="24"/>
  <c r="BW121" i="24" s="1"/>
  <c r="BI121" i="24"/>
  <c r="BS171" i="24"/>
  <c r="BW171" i="24" s="1"/>
  <c r="BI171" i="24"/>
  <c r="BI178" i="24"/>
  <c r="BS178" i="24"/>
  <c r="BW178" i="24" s="1"/>
  <c r="BS177" i="24"/>
  <c r="BW177" i="24" s="1"/>
  <c r="BI177" i="24"/>
  <c r="BS153" i="24"/>
  <c r="BW153" i="24" s="1"/>
  <c r="BI153" i="24"/>
  <c r="BS148" i="24"/>
  <c r="BW148" i="24" s="1"/>
  <c r="BI148" i="24"/>
  <c r="BS179" i="24"/>
  <c r="BW179" i="24" s="1"/>
  <c r="BI179" i="24"/>
  <c r="BS162" i="24"/>
  <c r="BW162" i="24" s="1"/>
  <c r="BI162" i="24"/>
  <c r="BS132" i="24"/>
  <c r="BW132" i="24" s="1"/>
  <c r="BI132" i="24"/>
  <c r="BS204" i="24"/>
  <c r="BW204" i="24" s="1"/>
  <c r="BI204" i="24"/>
  <c r="BS124" i="24"/>
  <c r="BW124" i="24" s="1"/>
  <c r="BI124" i="24"/>
  <c r="BS183" i="24"/>
  <c r="BW183" i="24" s="1"/>
  <c r="BI183" i="24"/>
  <c r="BS175" i="24"/>
  <c r="BW175" i="24" s="1"/>
  <c r="BI175" i="24"/>
  <c r="BS154" i="24"/>
  <c r="BW154" i="24" s="1"/>
  <c r="BI154" i="24"/>
  <c r="BS145" i="24"/>
  <c r="BW145" i="24" s="1"/>
  <c r="BI145" i="24"/>
  <c r="BS120" i="24"/>
  <c r="BW120" i="24" s="1"/>
  <c r="BI120" i="24"/>
  <c r="AY161" i="24"/>
  <c r="AZ161" i="24" s="1"/>
  <c r="BG161" i="24"/>
  <c r="BT161" i="24" s="1"/>
  <c r="BF161" i="24"/>
  <c r="BF168" i="24"/>
  <c r="AY168" i="24"/>
  <c r="AZ168" i="24" s="1"/>
  <c r="BG168" i="24"/>
  <c r="BT168" i="24" s="1"/>
  <c r="BG130" i="24"/>
  <c r="BT130" i="24" s="1"/>
  <c r="BF130" i="24"/>
  <c r="AY130" i="24"/>
  <c r="AZ130" i="24" s="1"/>
  <c r="BF189" i="24"/>
  <c r="BG189" i="24"/>
  <c r="BT189" i="24" s="1"/>
  <c r="AY189" i="24"/>
  <c r="AZ189" i="24" s="1"/>
  <c r="BS146" i="24"/>
  <c r="BW146" i="24" s="1"/>
  <c r="BI146" i="24"/>
  <c r="BS142" i="24"/>
  <c r="BW142" i="24" s="1"/>
  <c r="BI142" i="24"/>
  <c r="AY155" i="24"/>
  <c r="AZ155" i="24" s="1"/>
  <c r="BF155" i="24"/>
  <c r="BG155" i="24"/>
  <c r="BT155" i="24" s="1"/>
  <c r="BF192" i="24"/>
  <c r="AY192" i="24"/>
  <c r="AZ192" i="24" s="1"/>
  <c r="BG192" i="24"/>
  <c r="BT192" i="24" s="1"/>
  <c r="AY110" i="24"/>
  <c r="AZ110" i="24" s="1"/>
  <c r="BF110" i="24"/>
  <c r="BG110" i="24"/>
  <c r="BT110" i="24" s="1"/>
  <c r="BF114" i="24"/>
  <c r="BG114" i="24"/>
  <c r="BT114" i="24" s="1"/>
  <c r="AY114" i="24"/>
  <c r="AZ114" i="24" s="1"/>
  <c r="BS198" i="24"/>
  <c r="BW198" i="24" s="1"/>
  <c r="BI198" i="24"/>
  <c r="BI174" i="24"/>
  <c r="BS174" i="24"/>
  <c r="BW174" i="24" s="1"/>
  <c r="BS202" i="24"/>
  <c r="BW202" i="24" s="1"/>
  <c r="BI202" i="24"/>
  <c r="BS125" i="24"/>
  <c r="BW125" i="24" s="1"/>
  <c r="BI125" i="24"/>
  <c r="BS137" i="24"/>
  <c r="BW137" i="24" s="1"/>
  <c r="BI137" i="24"/>
  <c r="BS190" i="24"/>
  <c r="BI190" i="24"/>
  <c r="BN190" i="24" s="1"/>
  <c r="BS180" i="24"/>
  <c r="BW180" i="24" s="1"/>
  <c r="BI180" i="24"/>
  <c r="BS160" i="24"/>
  <c r="BW160" i="24" s="1"/>
  <c r="BI160" i="24"/>
  <c r="BS143" i="24"/>
  <c r="BW143" i="24" s="1"/>
  <c r="BI143" i="24"/>
  <c r="BS111" i="24"/>
  <c r="BW111" i="24" s="1"/>
  <c r="BI111" i="24"/>
  <c r="BS117" i="24"/>
  <c r="BW117" i="24" s="1"/>
  <c r="BI117" i="24"/>
  <c r="BS207" i="24"/>
  <c r="BW207" i="24" s="1"/>
  <c r="BI207" i="24"/>
  <c r="BS118" i="24"/>
  <c r="BW118" i="24" s="1"/>
  <c r="BI118" i="24"/>
  <c r="BS139" i="24"/>
  <c r="BW139" i="24" s="1"/>
  <c r="BI139" i="24"/>
  <c r="BS122" i="24"/>
  <c r="BW122" i="24" s="1"/>
  <c r="BI122" i="24"/>
  <c r="BH58" i="25"/>
  <c r="BY58" i="25" s="1"/>
  <c r="CA58" i="25" s="1"/>
  <c r="AZ88" i="24"/>
  <c r="AZ49" i="24"/>
  <c r="BF73" i="24"/>
  <c r="BS73" i="24" s="1"/>
  <c r="BG73" i="24"/>
  <c r="BT73" i="24" s="1"/>
  <c r="BG33" i="24"/>
  <c r="BT33" i="24" s="1"/>
  <c r="BF33" i="24"/>
  <c r="BI33" i="24" s="1"/>
  <c r="BN33" i="24" s="1"/>
  <c r="BF86" i="24"/>
  <c r="BI86" i="24" s="1"/>
  <c r="BN86" i="24" s="1"/>
  <c r="BS104" i="24"/>
  <c r="BX104" i="24" s="1"/>
  <c r="BZ104" i="24" s="1"/>
  <c r="BG51" i="24"/>
  <c r="BT51" i="24" s="1"/>
  <c r="BF51" i="24"/>
  <c r="BS51" i="24" s="1"/>
  <c r="BG27" i="24"/>
  <c r="BT27" i="24" s="1"/>
  <c r="BF97" i="24"/>
  <c r="BI97" i="24" s="1"/>
  <c r="BN97" i="24" s="1"/>
  <c r="BC105" i="24"/>
  <c r="B110" i="2" s="1"/>
  <c r="B111" i="2" s="1"/>
  <c r="BG86" i="24"/>
  <c r="BT86" i="24" s="1"/>
  <c r="BG23" i="24"/>
  <c r="BT23" i="24" s="1"/>
  <c r="BF23" i="24"/>
  <c r="BI23" i="24" s="1"/>
  <c r="BN23" i="24" s="1"/>
  <c r="BF64" i="24"/>
  <c r="BI64" i="24" s="1"/>
  <c r="BN64" i="24" s="1"/>
  <c r="BG97" i="24"/>
  <c r="BT97" i="24" s="1"/>
  <c r="BG64" i="24"/>
  <c r="BT64" i="24" s="1"/>
  <c r="BG49" i="24"/>
  <c r="BT49" i="24" s="1"/>
  <c r="BF27" i="24"/>
  <c r="BI27" i="24" s="1"/>
  <c r="BN27" i="24" s="1"/>
  <c r="AU49" i="24"/>
  <c r="BF49" i="24"/>
  <c r="BI49" i="24" s="1"/>
  <c r="BN49" i="24" s="1"/>
  <c r="BI69" i="24"/>
  <c r="BX69" i="24" s="1"/>
  <c r="BZ69" i="24" s="1"/>
  <c r="BF81" i="24"/>
  <c r="BS81" i="24" s="1"/>
  <c r="BG88" i="24"/>
  <c r="BT88" i="24" s="1"/>
  <c r="AU88" i="24"/>
  <c r="BF65" i="24"/>
  <c r="BI65" i="24" s="1"/>
  <c r="BN65" i="24" s="1"/>
  <c r="BG65" i="24"/>
  <c r="BT65" i="24" s="1"/>
  <c r="BF88" i="24"/>
  <c r="BI88" i="24" s="1"/>
  <c r="BN88" i="24" s="1"/>
  <c r="BG22" i="24"/>
  <c r="BT22" i="24" s="1"/>
  <c r="BW69" i="24"/>
  <c r="BF35" i="24"/>
  <c r="BS35" i="24" s="1"/>
  <c r="BG81" i="24"/>
  <c r="BT81" i="24" s="1"/>
  <c r="BG35" i="24"/>
  <c r="BT35" i="24" s="1"/>
  <c r="BS34" i="24"/>
  <c r="BW34" i="24" s="1"/>
  <c r="AW71" i="24"/>
  <c r="AU71" i="24"/>
  <c r="AU13" i="24"/>
  <c r="AW13" i="24"/>
  <c r="BF22" i="24"/>
  <c r="BI22" i="24" s="1"/>
  <c r="BN22" i="24" s="1"/>
  <c r="BX5" i="24"/>
  <c r="BZ5" i="24" s="1"/>
  <c r="CA5" i="24" s="1"/>
  <c r="AU15" i="24"/>
  <c r="AW15" i="24"/>
  <c r="AW102" i="24"/>
  <c r="AU102" i="24"/>
  <c r="AU48" i="24"/>
  <c r="AW48" i="24"/>
  <c r="AU93" i="24"/>
  <c r="AW93" i="24"/>
  <c r="AU94" i="24"/>
  <c r="AW94" i="24"/>
  <c r="AW37" i="24"/>
  <c r="AU37" i="24"/>
  <c r="AW8" i="24"/>
  <c r="AU8" i="24"/>
  <c r="AU44" i="24"/>
  <c r="AW44" i="24"/>
  <c r="AU77" i="24"/>
  <c r="AW77" i="24"/>
  <c r="AW80" i="24"/>
  <c r="AU80" i="24"/>
  <c r="AU38" i="24"/>
  <c r="AW38" i="24"/>
  <c r="AU24" i="24"/>
  <c r="AW24" i="24"/>
  <c r="AU45" i="24"/>
  <c r="AW45" i="24"/>
  <c r="AU103" i="24"/>
  <c r="AW103" i="24"/>
  <c r="AW47" i="24"/>
  <c r="AU47" i="24"/>
  <c r="AW66" i="24"/>
  <c r="AU66" i="24"/>
  <c r="AW62" i="24"/>
  <c r="AU62" i="24"/>
  <c r="AW30" i="24"/>
  <c r="AU30" i="24"/>
  <c r="AU99" i="24"/>
  <c r="AW99" i="24"/>
  <c r="AU75" i="24"/>
  <c r="AW75" i="24"/>
  <c r="AW61" i="24"/>
  <c r="AU61" i="24"/>
  <c r="AW20" i="24"/>
  <c r="AU20" i="24"/>
  <c r="AU90" i="24"/>
  <c r="AW90" i="24"/>
  <c r="AU52" i="24"/>
  <c r="AW52" i="24"/>
  <c r="AW39" i="24"/>
  <c r="AU39" i="24"/>
  <c r="AW26" i="24"/>
  <c r="AU26" i="24"/>
  <c r="AU9" i="24"/>
  <c r="AW9" i="24"/>
  <c r="AU84" i="24"/>
  <c r="AW84" i="24"/>
  <c r="AW58" i="24"/>
  <c r="AU58" i="24"/>
  <c r="AU57" i="24"/>
  <c r="AW57" i="24"/>
  <c r="AU17" i="24"/>
  <c r="AW17" i="24"/>
  <c r="AU76" i="24"/>
  <c r="AW76" i="24"/>
  <c r="AU11" i="24"/>
  <c r="AW11" i="24"/>
  <c r="AU67" i="24"/>
  <c r="AW67" i="24"/>
  <c r="AU12" i="24"/>
  <c r="AW12" i="24"/>
  <c r="AU98" i="24"/>
  <c r="AW98" i="24"/>
  <c r="AU16" i="24"/>
  <c r="AW16" i="24"/>
  <c r="AU6" i="24"/>
  <c r="AW6" i="24"/>
  <c r="AW7" i="24"/>
  <c r="AU7" i="24"/>
  <c r="BD5" i="25"/>
  <c r="BF5" i="25"/>
  <c r="BU5" i="25" s="1"/>
  <c r="BE5" i="25"/>
  <c r="BS40" i="24"/>
  <c r="BW40" i="24" s="1"/>
  <c r="BS95" i="25"/>
  <c r="BS85" i="25"/>
  <c r="BS18" i="25"/>
  <c r="BH90" i="25"/>
  <c r="BM90" i="25" s="1"/>
  <c r="BH98" i="25"/>
  <c r="BM98" i="25" s="1"/>
  <c r="BH55" i="25"/>
  <c r="BM55" i="25" s="1"/>
  <c r="BH33" i="25"/>
  <c r="BM33" i="25" s="1"/>
  <c r="BH65" i="25"/>
  <c r="BM65" i="25" s="1"/>
  <c r="BH60" i="25"/>
  <c r="BM60" i="25" s="1"/>
  <c r="BX58" i="25"/>
  <c r="BT52" i="25"/>
  <c r="BT74" i="25"/>
  <c r="BT27" i="25"/>
  <c r="BT42" i="25"/>
  <c r="BT102" i="25"/>
  <c r="BT77" i="25"/>
  <c r="BT26" i="25"/>
  <c r="BT105" i="25"/>
  <c r="BT39" i="25"/>
  <c r="BT60" i="25"/>
  <c r="BT98" i="25"/>
  <c r="BT92" i="25"/>
  <c r="BT94" i="25"/>
  <c r="BT91" i="25"/>
  <c r="BT67" i="25"/>
  <c r="BT64" i="25"/>
  <c r="BT41" i="25"/>
  <c r="BT79" i="25"/>
  <c r="BT76" i="25"/>
  <c r="BT11" i="25"/>
  <c r="BT104" i="25"/>
  <c r="BT96" i="25"/>
  <c r="BT24" i="25"/>
  <c r="BT51" i="25"/>
  <c r="BT47" i="25"/>
  <c r="BT46" i="25"/>
  <c r="BT8" i="25"/>
  <c r="BT50" i="25"/>
  <c r="BT49" i="25"/>
  <c r="BT56" i="25"/>
  <c r="BT34" i="25"/>
  <c r="BT70" i="25"/>
  <c r="BT18" i="25"/>
  <c r="BT65" i="25"/>
  <c r="BT57" i="25"/>
  <c r="BT66" i="25"/>
  <c r="BT43" i="25"/>
  <c r="BT84" i="25"/>
  <c r="BT13" i="25"/>
  <c r="BT35" i="25"/>
  <c r="BT36" i="25"/>
  <c r="BT25" i="25"/>
  <c r="BT63" i="25"/>
  <c r="BT28" i="25"/>
  <c r="BT40" i="25"/>
  <c r="BT37" i="25"/>
  <c r="BT33" i="25"/>
  <c r="BT10" i="25"/>
  <c r="BT20" i="25"/>
  <c r="BT97" i="25"/>
  <c r="BT45" i="25"/>
  <c r="BT82" i="25"/>
  <c r="BT61" i="25"/>
  <c r="BT69" i="25"/>
  <c r="BT75" i="25"/>
  <c r="BT80" i="25"/>
  <c r="BT83" i="25"/>
  <c r="BT93" i="25"/>
  <c r="BT78" i="25"/>
  <c r="BT100" i="25"/>
  <c r="BT103" i="25"/>
  <c r="BT88" i="25"/>
  <c r="BT71" i="25"/>
  <c r="BT48" i="25"/>
  <c r="BT86" i="25"/>
  <c r="BT81" i="25"/>
  <c r="BT90" i="25"/>
  <c r="BT95" i="25"/>
  <c r="BT23" i="25"/>
  <c r="BT14" i="25"/>
  <c r="BT68" i="25"/>
  <c r="BT9" i="25"/>
  <c r="BT62" i="25"/>
  <c r="BT87" i="25"/>
  <c r="BT30" i="25"/>
  <c r="BT53" i="25"/>
  <c r="BT17" i="25"/>
  <c r="BT19" i="25"/>
  <c r="BT44" i="25"/>
  <c r="BT12" i="25"/>
  <c r="BT72" i="25"/>
  <c r="BT15" i="25"/>
  <c r="BT16" i="25"/>
  <c r="BT59" i="25"/>
  <c r="BT38" i="25"/>
  <c r="BT31" i="25"/>
  <c r="BT22" i="25"/>
  <c r="BT101" i="25"/>
  <c r="BT29" i="25"/>
  <c r="BT54" i="25"/>
  <c r="BT89" i="25"/>
  <c r="BT21" i="25"/>
  <c r="BT55" i="25"/>
  <c r="BT32" i="25"/>
  <c r="BT99" i="25"/>
  <c r="BT73" i="25"/>
  <c r="BT85" i="25"/>
  <c r="BT7" i="25"/>
  <c r="BT6" i="25"/>
  <c r="BH43" i="25"/>
  <c r="BM43" i="25" s="1"/>
  <c r="BS57" i="25"/>
  <c r="BH73" i="25"/>
  <c r="BM73" i="25" s="1"/>
  <c r="BS66" i="25"/>
  <c r="BS84" i="25"/>
  <c r="BH32" i="25"/>
  <c r="BH99" i="25"/>
  <c r="BM99" i="25" s="1"/>
  <c r="BM66" i="25"/>
  <c r="BS45" i="25"/>
  <c r="BH45" i="25"/>
  <c r="BS23" i="25"/>
  <c r="BH23" i="25"/>
  <c r="BS36" i="25"/>
  <c r="BH36" i="25"/>
  <c r="BH6" i="25"/>
  <c r="BS6" i="25"/>
  <c r="BS21" i="25"/>
  <c r="BH21" i="25"/>
  <c r="BS92" i="25"/>
  <c r="BH92" i="25"/>
  <c r="BS94" i="25"/>
  <c r="BH94" i="25"/>
  <c r="BS91" i="25"/>
  <c r="BH91" i="25"/>
  <c r="BS67" i="25"/>
  <c r="BH67" i="25"/>
  <c r="BS19" i="25"/>
  <c r="BH19" i="25"/>
  <c r="BS64" i="25"/>
  <c r="BH64" i="25"/>
  <c r="BS15" i="25"/>
  <c r="BH15" i="25"/>
  <c r="BS59" i="25"/>
  <c r="BH59" i="25"/>
  <c r="BS38" i="25"/>
  <c r="BH38" i="25"/>
  <c r="BS104" i="25"/>
  <c r="BH104" i="25"/>
  <c r="BS96" i="25"/>
  <c r="BH96" i="25"/>
  <c r="BS24" i="25"/>
  <c r="BH24" i="25"/>
  <c r="BS46" i="25"/>
  <c r="BH46" i="25"/>
  <c r="BS8" i="25"/>
  <c r="BH8" i="25"/>
  <c r="BS54" i="25"/>
  <c r="BH54" i="25"/>
  <c r="BS89" i="25"/>
  <c r="BH89" i="25"/>
  <c r="BS86" i="25"/>
  <c r="BH86" i="25"/>
  <c r="BS81" i="25"/>
  <c r="BH81" i="25"/>
  <c r="BS52" i="25"/>
  <c r="BH52" i="25"/>
  <c r="BS13" i="25"/>
  <c r="BH13" i="25"/>
  <c r="BS20" i="25"/>
  <c r="BH20" i="25"/>
  <c r="BS97" i="25"/>
  <c r="BH97" i="25"/>
  <c r="BS74" i="25"/>
  <c r="BH74" i="25"/>
  <c r="BS35" i="25"/>
  <c r="BH35" i="25"/>
  <c r="BS61" i="25"/>
  <c r="BH61" i="25"/>
  <c r="BS69" i="25"/>
  <c r="BH69" i="25"/>
  <c r="BS75" i="25"/>
  <c r="BH75" i="25"/>
  <c r="BS80" i="25"/>
  <c r="BH80" i="25"/>
  <c r="BS83" i="25"/>
  <c r="BH83" i="25"/>
  <c r="BS25" i="25"/>
  <c r="BH25" i="25"/>
  <c r="BS68" i="25"/>
  <c r="BH68" i="25"/>
  <c r="BS77" i="25"/>
  <c r="BH77" i="25"/>
  <c r="BS63" i="25"/>
  <c r="BH63" i="25"/>
  <c r="BH9" i="25"/>
  <c r="BS9" i="25"/>
  <c r="BS28" i="25"/>
  <c r="BH28" i="25"/>
  <c r="BS26" i="25"/>
  <c r="BH26" i="25"/>
  <c r="BS62" i="25"/>
  <c r="BH62" i="25"/>
  <c r="BS105" i="25"/>
  <c r="BH105" i="25"/>
  <c r="BM57" i="25"/>
  <c r="BS71" i="25"/>
  <c r="BH71" i="25"/>
  <c r="BM18" i="25"/>
  <c r="BM95" i="25"/>
  <c r="BS48" i="25"/>
  <c r="BH48" i="25"/>
  <c r="BS56" i="25"/>
  <c r="BH56" i="25"/>
  <c r="BS34" i="25"/>
  <c r="BH34" i="25"/>
  <c r="BS70" i="25"/>
  <c r="BH70" i="25"/>
  <c r="BS10" i="25"/>
  <c r="BH10" i="25"/>
  <c r="BS82" i="25"/>
  <c r="BH82" i="25"/>
  <c r="BM84" i="25"/>
  <c r="BS27" i="25"/>
  <c r="BH27" i="25"/>
  <c r="BS42" i="25"/>
  <c r="BH42" i="25"/>
  <c r="BS14" i="25"/>
  <c r="BH14" i="25"/>
  <c r="BS102" i="25"/>
  <c r="BH102" i="25"/>
  <c r="BS93" i="25"/>
  <c r="BH93" i="25"/>
  <c r="BS78" i="25"/>
  <c r="BH78" i="25"/>
  <c r="BS100" i="25"/>
  <c r="BH100" i="25"/>
  <c r="BS103" i="25"/>
  <c r="BH103" i="25"/>
  <c r="BS88" i="25"/>
  <c r="BH88" i="25"/>
  <c r="BS40" i="25"/>
  <c r="BH40" i="25"/>
  <c r="BS39" i="25"/>
  <c r="BH39" i="25"/>
  <c r="BS37" i="25"/>
  <c r="BH37" i="25"/>
  <c r="BM85" i="25"/>
  <c r="BS17" i="25"/>
  <c r="BH17" i="25"/>
  <c r="BS16" i="25"/>
  <c r="BH16" i="25"/>
  <c r="BS51" i="25"/>
  <c r="BH51" i="25"/>
  <c r="BS47" i="25"/>
  <c r="BH47" i="25"/>
  <c r="BH7" i="25"/>
  <c r="BS7" i="25"/>
  <c r="BS30" i="25"/>
  <c r="BH30" i="25"/>
  <c r="BS53" i="25"/>
  <c r="BH53" i="25"/>
  <c r="BS44" i="25"/>
  <c r="BH44" i="25"/>
  <c r="BS12" i="25"/>
  <c r="BH12" i="25"/>
  <c r="BS72" i="25"/>
  <c r="BH72" i="25"/>
  <c r="BS41" i="25"/>
  <c r="BH41" i="25"/>
  <c r="BS79" i="25"/>
  <c r="BH79" i="25"/>
  <c r="BS76" i="25"/>
  <c r="BH76" i="25"/>
  <c r="BS11" i="25"/>
  <c r="BH11" i="25"/>
  <c r="BS31" i="25"/>
  <c r="BH31" i="25"/>
  <c r="BS22" i="25"/>
  <c r="BH22" i="25"/>
  <c r="BS101" i="25"/>
  <c r="BH101" i="25"/>
  <c r="BS29" i="25"/>
  <c r="BH29" i="25"/>
  <c r="BS50" i="25"/>
  <c r="BH50" i="25"/>
  <c r="BS49" i="25"/>
  <c r="BH49" i="25"/>
  <c r="BS87" i="25"/>
  <c r="BH87" i="25"/>
  <c r="BW56" i="24"/>
  <c r="BW31" i="24"/>
  <c r="BW18" i="24"/>
  <c r="BW50" i="24"/>
  <c r="BW101" i="24"/>
  <c r="BW10" i="24"/>
  <c r="BW70" i="24"/>
  <c r="BW25" i="24"/>
  <c r="BW72" i="24"/>
  <c r="BW83" i="24"/>
  <c r="BW46" i="24"/>
  <c r="BW100" i="24"/>
  <c r="BW60" i="24"/>
  <c r="BW19" i="24"/>
  <c r="BW42" i="24"/>
  <c r="BW63" i="24"/>
  <c r="BW55" i="24"/>
  <c r="BW28" i="24"/>
  <c r="BN79" i="24"/>
  <c r="BN41" i="24"/>
  <c r="BN54" i="24"/>
  <c r="BN14" i="24"/>
  <c r="BN95" i="24"/>
  <c r="BX32" i="24"/>
  <c r="BZ32" i="24" s="1"/>
  <c r="CA32" i="24" s="1"/>
  <c r="BN89" i="24"/>
  <c r="BN74" i="24"/>
  <c r="BN87" i="24"/>
  <c r="BN96" i="24"/>
  <c r="BN78" i="24"/>
  <c r="BN91" i="24"/>
  <c r="BN29" i="24"/>
  <c r="BN82" i="24"/>
  <c r="BN59" i="24"/>
  <c r="BN36" i="24"/>
  <c r="BN105" i="24"/>
  <c r="BN92" i="24"/>
  <c r="BN68" i="24"/>
  <c r="BN21" i="24"/>
  <c r="BN85" i="24"/>
  <c r="BX53" i="24"/>
  <c r="BZ53" i="24" s="1"/>
  <c r="BS79" i="24"/>
  <c r="BW79" i="24" s="1"/>
  <c r="BI100" i="24"/>
  <c r="BS54" i="24"/>
  <c r="BW54" i="24" s="1"/>
  <c r="BS14" i="24"/>
  <c r="BW14" i="24" s="1"/>
  <c r="BS95" i="24"/>
  <c r="BW95" i="24" s="1"/>
  <c r="BI83" i="24"/>
  <c r="BI50" i="24"/>
  <c r="BI70" i="24"/>
  <c r="BI25" i="24"/>
  <c r="BI60" i="24"/>
  <c r="BI42" i="24"/>
  <c r="BI55" i="24"/>
  <c r="BI28" i="24"/>
  <c r="BI10" i="24"/>
  <c r="BI101" i="24"/>
  <c r="BI19" i="24"/>
  <c r="BI63" i="24"/>
  <c r="BS41" i="24"/>
  <c r="BW41" i="24" s="1"/>
  <c r="BI72" i="24"/>
  <c r="BI46" i="24"/>
  <c r="BS91" i="24"/>
  <c r="BW91" i="24" s="1"/>
  <c r="BS29" i="24"/>
  <c r="BW29" i="24" s="1"/>
  <c r="BS59" i="24"/>
  <c r="BW59" i="24" s="1"/>
  <c r="BS85" i="24"/>
  <c r="BW85" i="24" s="1"/>
  <c r="BS96" i="24"/>
  <c r="BW96" i="24" s="1"/>
  <c r="BI31" i="24"/>
  <c r="BI56" i="24"/>
  <c r="BI18" i="24"/>
  <c r="BS82" i="24"/>
  <c r="BW82" i="24" s="1"/>
  <c r="BS36" i="24"/>
  <c r="BW36" i="24" s="1"/>
  <c r="BS92" i="24"/>
  <c r="BW92" i="24" s="1"/>
  <c r="BS68" i="24"/>
  <c r="BW68" i="24" s="1"/>
  <c r="BS87" i="24"/>
  <c r="BW87" i="24" s="1"/>
  <c r="BS74" i="24"/>
  <c r="BW74" i="24" s="1"/>
  <c r="BS78" i="24"/>
  <c r="BW78" i="24" s="1"/>
  <c r="BS105" i="24"/>
  <c r="L16" i="1" s="1"/>
  <c r="BS21" i="24"/>
  <c r="BW21" i="24" s="1"/>
  <c r="BS89" i="24"/>
  <c r="BW89" i="24" s="1"/>
  <c r="AZ106" i="19"/>
  <c r="BL106" i="19" s="1"/>
  <c r="BM106" i="19" s="1"/>
  <c r="BZ106" i="19" s="1"/>
  <c r="BK106" i="19"/>
  <c r="B250" i="2"/>
  <c r="BI106" i="19"/>
  <c r="BJ106" i="19"/>
  <c r="BC106" i="19"/>
  <c r="BB106" i="19"/>
  <c r="BD106" i="19"/>
  <c r="BG106" i="19"/>
  <c r="BU106" i="19"/>
  <c r="CA106" i="19" s="1"/>
  <c r="BH106" i="19"/>
  <c r="BA106" i="19"/>
  <c r="BF106" i="19"/>
  <c r="BS106" i="19"/>
  <c r="BE106" i="19"/>
  <c r="BX152" i="25" l="1"/>
  <c r="BX202" i="25"/>
  <c r="BS195" i="25"/>
  <c r="BX195" i="25" s="1"/>
  <c r="BH158" i="25"/>
  <c r="BM158" i="25" s="1"/>
  <c r="BX170" i="25"/>
  <c r="BX145" i="25"/>
  <c r="CB58" i="25"/>
  <c r="CF58" i="25"/>
  <c r="BX158" i="25"/>
  <c r="BS176" i="25"/>
  <c r="BX176" i="25" s="1"/>
  <c r="BS127" i="25"/>
  <c r="BY127" i="25" s="1"/>
  <c r="CA127" i="25" s="1"/>
  <c r="BS125" i="25"/>
  <c r="BX125" i="25" s="1"/>
  <c r="BS197" i="25"/>
  <c r="BX197" i="25" s="1"/>
  <c r="BX131" i="25"/>
  <c r="BX172" i="25"/>
  <c r="BX133" i="25"/>
  <c r="BX151" i="25"/>
  <c r="BH151" i="25"/>
  <c r="BY151" i="25" s="1"/>
  <c r="CA151" i="25" s="1"/>
  <c r="BX198" i="25"/>
  <c r="BX208" i="25"/>
  <c r="BX126" i="25"/>
  <c r="BX184" i="25"/>
  <c r="BX210" i="25"/>
  <c r="BS22" i="24"/>
  <c r="BX22" i="24" s="1"/>
  <c r="BZ22" i="24" s="1"/>
  <c r="CA22" i="24" s="1"/>
  <c r="B121" i="2"/>
  <c r="E19" i="1" s="1"/>
  <c r="BC39" i="24"/>
  <c r="BD39" i="24"/>
  <c r="BC26" i="24"/>
  <c r="BD26" i="24"/>
  <c r="BC20" i="24"/>
  <c r="BD20" i="24"/>
  <c r="BC30" i="24"/>
  <c r="BD30" i="24"/>
  <c r="BC80" i="24"/>
  <c r="BD80" i="24"/>
  <c r="BC37" i="24"/>
  <c r="BD37" i="24"/>
  <c r="BC102" i="24"/>
  <c r="BD102" i="24"/>
  <c r="BC71" i="24"/>
  <c r="BD71" i="24"/>
  <c r="BC49" i="24"/>
  <c r="BD49" i="24"/>
  <c r="BC62" i="24"/>
  <c r="BD62" i="24"/>
  <c r="BC6" i="24"/>
  <c r="BD6" i="24"/>
  <c r="BC67" i="24"/>
  <c r="BD67" i="24"/>
  <c r="BC57" i="24"/>
  <c r="BD57" i="24"/>
  <c r="BC103" i="24"/>
  <c r="BD103" i="24"/>
  <c r="BC61" i="24"/>
  <c r="BD61" i="24"/>
  <c r="BC16" i="24"/>
  <c r="BD16" i="24"/>
  <c r="BC11" i="24"/>
  <c r="BD11" i="24"/>
  <c r="BC45" i="24"/>
  <c r="BD45" i="24"/>
  <c r="BC77" i="24"/>
  <c r="BD77" i="24"/>
  <c r="BC94" i="24"/>
  <c r="BD94" i="24"/>
  <c r="BC15" i="24"/>
  <c r="BD15" i="24"/>
  <c r="BC88" i="24"/>
  <c r="BD88" i="24"/>
  <c r="BC66" i="24"/>
  <c r="BD66" i="24"/>
  <c r="BC98" i="24"/>
  <c r="BD98" i="24"/>
  <c r="BC76" i="24"/>
  <c r="BD76" i="24"/>
  <c r="BC84" i="24"/>
  <c r="BD84" i="24"/>
  <c r="BC52" i="24"/>
  <c r="BD52" i="24"/>
  <c r="BC75" i="24"/>
  <c r="BD75" i="24"/>
  <c r="BC24" i="24"/>
  <c r="BD24" i="24"/>
  <c r="BC44" i="24"/>
  <c r="BD44" i="24"/>
  <c r="BC93" i="24"/>
  <c r="BD93" i="24"/>
  <c r="BC58" i="24"/>
  <c r="BD58" i="24"/>
  <c r="BC7" i="24"/>
  <c r="BD7" i="24"/>
  <c r="BC47" i="24"/>
  <c r="BD47" i="24"/>
  <c r="BC8" i="24"/>
  <c r="BD8" i="24"/>
  <c r="BC12" i="24"/>
  <c r="BD12" i="24"/>
  <c r="BC17" i="24"/>
  <c r="BD17" i="24"/>
  <c r="BC9" i="24"/>
  <c r="BD9" i="24"/>
  <c r="BC90" i="24"/>
  <c r="BD90" i="24"/>
  <c r="BC99" i="24"/>
  <c r="BD99" i="24"/>
  <c r="BC38" i="24"/>
  <c r="BD38" i="24"/>
  <c r="BC48" i="24"/>
  <c r="BD48" i="24"/>
  <c r="BC13" i="24"/>
  <c r="BD13" i="24"/>
  <c r="E16" i="1"/>
  <c r="BG43" i="24"/>
  <c r="BT43" i="24" s="1"/>
  <c r="BF43" i="24"/>
  <c r="BS43" i="24" s="1"/>
  <c r="CA53" i="24"/>
  <c r="CE53" i="24"/>
  <c r="CA104" i="24"/>
  <c r="CE104" i="24"/>
  <c r="BW105" i="24"/>
  <c r="BI166" i="24"/>
  <c r="BX166" i="24" s="1"/>
  <c r="BZ166" i="24" s="1"/>
  <c r="CA166" i="24" s="1"/>
  <c r="BW133" i="24"/>
  <c r="CA69" i="24"/>
  <c r="CE69" i="24"/>
  <c r="BW166" i="24"/>
  <c r="BS165" i="24"/>
  <c r="BW165" i="24" s="1"/>
  <c r="BI167" i="24"/>
  <c r="BN167" i="24" s="1"/>
  <c r="BM171" i="25"/>
  <c r="BY171" i="25"/>
  <c r="CA171" i="25" s="1"/>
  <c r="BM154" i="25"/>
  <c r="BY154" i="25"/>
  <c r="CA154" i="25" s="1"/>
  <c r="BY147" i="25"/>
  <c r="CA147" i="25" s="1"/>
  <c r="BM147" i="25"/>
  <c r="BY139" i="25"/>
  <c r="CA139" i="25" s="1"/>
  <c r="BM139" i="25"/>
  <c r="BY115" i="25"/>
  <c r="CA115" i="25" s="1"/>
  <c r="CB115" i="25" s="1"/>
  <c r="BM115" i="25"/>
  <c r="BY200" i="25"/>
  <c r="CA200" i="25" s="1"/>
  <c r="BM200" i="25"/>
  <c r="BY134" i="25"/>
  <c r="CA134" i="25" s="1"/>
  <c r="BM134" i="25"/>
  <c r="BM126" i="25"/>
  <c r="BY126" i="25"/>
  <c r="CA126" i="25" s="1"/>
  <c r="BM132" i="25"/>
  <c r="BY132" i="25"/>
  <c r="CA132" i="25" s="1"/>
  <c r="CB132" i="25" s="1"/>
  <c r="BM156" i="25"/>
  <c r="BY156" i="25"/>
  <c r="CA156" i="25" s="1"/>
  <c r="BY128" i="25"/>
  <c r="CA128" i="25" s="1"/>
  <c r="CB128" i="25" s="1"/>
  <c r="BM128" i="25"/>
  <c r="BM173" i="25"/>
  <c r="BY173" i="25"/>
  <c r="CA173" i="25" s="1"/>
  <c r="BM127" i="25"/>
  <c r="BM186" i="25"/>
  <c r="BY186" i="25"/>
  <c r="CA186" i="25" s="1"/>
  <c r="BM166" i="25"/>
  <c r="BY166" i="25"/>
  <c r="CA166" i="25" s="1"/>
  <c r="BM184" i="25"/>
  <c r="BY184" i="25"/>
  <c r="CA184" i="25" s="1"/>
  <c r="BM157" i="25"/>
  <c r="BY157" i="25"/>
  <c r="CA157" i="25" s="1"/>
  <c r="BY124" i="25"/>
  <c r="CA124" i="25" s="1"/>
  <c r="BM124" i="25"/>
  <c r="BM176" i="25"/>
  <c r="BM172" i="25"/>
  <c r="BY172" i="25"/>
  <c r="CA172" i="25" s="1"/>
  <c r="BM203" i="25"/>
  <c r="BY203" i="25"/>
  <c r="CA203" i="25" s="1"/>
  <c r="BM113" i="25"/>
  <c r="BY113" i="25"/>
  <c r="CA113" i="25" s="1"/>
  <c r="CB113" i="25" s="1"/>
  <c r="BY131" i="25"/>
  <c r="CA131" i="25" s="1"/>
  <c r="BM131" i="25"/>
  <c r="BM178" i="25"/>
  <c r="BY178" i="25"/>
  <c r="CA178" i="25" s="1"/>
  <c r="BM121" i="25"/>
  <c r="BY121" i="25"/>
  <c r="CA121" i="25" s="1"/>
  <c r="BS110" i="25"/>
  <c r="BX110" i="25" s="1"/>
  <c r="BH110" i="25"/>
  <c r="BM129" i="25"/>
  <c r="BY129" i="25"/>
  <c r="CA129" i="25" s="1"/>
  <c r="BM183" i="25"/>
  <c r="BY183" i="25"/>
  <c r="CA183" i="25" s="1"/>
  <c r="BY161" i="25"/>
  <c r="CA161" i="25" s="1"/>
  <c r="BM161" i="25"/>
  <c r="BY133" i="25"/>
  <c r="CA133" i="25" s="1"/>
  <c r="BM133" i="25"/>
  <c r="BY193" i="25"/>
  <c r="CA193" i="25" s="1"/>
  <c r="BM193" i="25"/>
  <c r="BM138" i="25"/>
  <c r="BY138" i="25"/>
  <c r="CA138" i="25" s="1"/>
  <c r="BY144" i="25"/>
  <c r="CA144" i="25" s="1"/>
  <c r="BM144" i="25"/>
  <c r="BM125" i="25"/>
  <c r="BM164" i="25"/>
  <c r="BY164" i="25"/>
  <c r="CA164" i="25" s="1"/>
  <c r="BM197" i="25"/>
  <c r="BY112" i="25"/>
  <c r="CA112" i="25" s="1"/>
  <c r="CB112" i="25" s="1"/>
  <c r="BM112" i="25"/>
  <c r="BM119" i="25"/>
  <c r="BY119" i="25"/>
  <c r="CA119" i="25" s="1"/>
  <c r="BM206" i="25"/>
  <c r="BY206" i="25"/>
  <c r="CA206" i="25" s="1"/>
  <c r="BY114" i="25"/>
  <c r="CA114" i="25" s="1"/>
  <c r="CB114" i="25" s="1"/>
  <c r="BM114" i="25"/>
  <c r="BM137" i="25"/>
  <c r="BY137" i="25"/>
  <c r="CA137" i="25" s="1"/>
  <c r="BY136" i="25"/>
  <c r="CA136" i="25" s="1"/>
  <c r="BM136" i="25"/>
  <c r="BM165" i="25"/>
  <c r="BY165" i="25"/>
  <c r="CA165" i="25" s="1"/>
  <c r="BM185" i="25"/>
  <c r="BY185" i="25"/>
  <c r="CA185" i="25" s="1"/>
  <c r="BY141" i="25"/>
  <c r="CA141" i="25" s="1"/>
  <c r="BM141" i="25"/>
  <c r="BM201" i="25"/>
  <c r="BY201" i="25"/>
  <c r="CA201" i="25" s="1"/>
  <c r="BY174" i="25"/>
  <c r="CA174" i="25" s="1"/>
  <c r="BM174" i="25"/>
  <c r="BY140" i="25"/>
  <c r="CA140" i="25" s="1"/>
  <c r="BM140" i="25"/>
  <c r="BY120" i="25"/>
  <c r="CA120" i="25" s="1"/>
  <c r="BM120" i="25"/>
  <c r="BM148" i="25"/>
  <c r="BY148" i="25"/>
  <c r="CA148" i="25" s="1"/>
  <c r="BY192" i="25"/>
  <c r="CA192" i="25" s="1"/>
  <c r="BM192" i="25"/>
  <c r="BM117" i="25"/>
  <c r="BY117" i="25"/>
  <c r="CA117" i="25" s="1"/>
  <c r="CB117" i="25" s="1"/>
  <c r="BY181" i="25"/>
  <c r="CA181" i="25" s="1"/>
  <c r="BM181" i="25"/>
  <c r="BY116" i="25"/>
  <c r="CA116" i="25" s="1"/>
  <c r="CB116" i="25" s="1"/>
  <c r="BM116" i="25"/>
  <c r="BM123" i="25"/>
  <c r="BY123" i="25"/>
  <c r="CA123" i="25" s="1"/>
  <c r="CB123" i="25" s="1"/>
  <c r="BY170" i="25"/>
  <c r="CA170" i="25" s="1"/>
  <c r="BM170" i="25"/>
  <c r="BY122" i="25"/>
  <c r="CA122" i="25" s="1"/>
  <c r="CB122" i="25" s="1"/>
  <c r="BM122" i="25"/>
  <c r="BY210" i="25"/>
  <c r="CA210" i="25" s="1"/>
  <c r="BM210" i="25"/>
  <c r="BM163" i="25"/>
  <c r="BY163" i="25"/>
  <c r="CA163" i="25" s="1"/>
  <c r="BM111" i="25"/>
  <c r="BY111" i="25"/>
  <c r="CA111" i="25" s="1"/>
  <c r="CB111" i="25" s="1"/>
  <c r="BM159" i="25"/>
  <c r="BY159" i="25"/>
  <c r="CA159" i="25" s="1"/>
  <c r="BY160" i="25"/>
  <c r="CA160" i="25" s="1"/>
  <c r="BM168" i="25"/>
  <c r="BY168" i="25"/>
  <c r="CA168" i="25" s="1"/>
  <c r="BM191" i="25"/>
  <c r="BY191" i="25"/>
  <c r="CA191" i="25" s="1"/>
  <c r="BM142" i="25"/>
  <c r="BY142" i="25"/>
  <c r="CA142" i="25" s="1"/>
  <c r="BM145" i="25"/>
  <c r="BY145" i="25"/>
  <c r="CA145" i="25" s="1"/>
  <c r="BY180" i="25"/>
  <c r="CA180" i="25" s="1"/>
  <c r="BM180" i="25"/>
  <c r="BY204" i="25"/>
  <c r="CA204" i="25" s="1"/>
  <c r="BM204" i="25"/>
  <c r="BY188" i="25"/>
  <c r="CA188" i="25" s="1"/>
  <c r="BM188" i="25"/>
  <c r="BM155" i="25"/>
  <c r="BY155" i="25"/>
  <c r="CA155" i="25" s="1"/>
  <c r="BY187" i="25"/>
  <c r="CA187" i="25" s="1"/>
  <c r="BM187" i="25"/>
  <c r="BY167" i="25"/>
  <c r="CA167" i="25" s="1"/>
  <c r="BM167" i="25"/>
  <c r="BM169" i="25"/>
  <c r="BY169" i="25"/>
  <c r="CA169" i="25" s="1"/>
  <c r="BM150" i="25"/>
  <c r="BY150" i="25"/>
  <c r="CA150" i="25" s="1"/>
  <c r="BM146" i="25"/>
  <c r="BY146" i="25"/>
  <c r="CA146" i="25" s="1"/>
  <c r="BM179" i="25"/>
  <c r="BY179" i="25"/>
  <c r="CA179" i="25" s="1"/>
  <c r="BY153" i="25"/>
  <c r="CA153" i="25" s="1"/>
  <c r="BM153" i="25"/>
  <c r="BY149" i="25"/>
  <c r="CA149" i="25" s="1"/>
  <c r="BM149" i="25"/>
  <c r="BM199" i="25"/>
  <c r="BY199" i="25"/>
  <c r="CA199" i="25" s="1"/>
  <c r="BY196" i="25"/>
  <c r="CA196" i="25" s="1"/>
  <c r="BM196" i="25"/>
  <c r="BY205" i="25"/>
  <c r="CA205" i="25" s="1"/>
  <c r="BM205" i="25"/>
  <c r="BM195" i="25"/>
  <c r="BY190" i="25"/>
  <c r="CA190" i="25" s="1"/>
  <c r="BM190" i="25"/>
  <c r="BY194" i="25"/>
  <c r="CA194" i="25" s="1"/>
  <c r="BM194" i="25"/>
  <c r="BM135" i="25"/>
  <c r="BY135" i="25"/>
  <c r="CA135" i="25" s="1"/>
  <c r="BM177" i="25"/>
  <c r="BY177" i="25"/>
  <c r="CA177" i="25" s="1"/>
  <c r="BY209" i="25"/>
  <c r="CA209" i="25" s="1"/>
  <c r="BM209" i="25"/>
  <c r="BY118" i="25"/>
  <c r="CA118" i="25" s="1"/>
  <c r="CB118" i="25" s="1"/>
  <c r="BM118" i="25"/>
  <c r="BY182" i="25"/>
  <c r="CA182" i="25" s="1"/>
  <c r="BM182" i="25"/>
  <c r="BY208" i="25"/>
  <c r="CA208" i="25" s="1"/>
  <c r="BM208" i="25"/>
  <c r="BY130" i="25"/>
  <c r="CA130" i="25" s="1"/>
  <c r="BM130" i="25"/>
  <c r="BM207" i="25"/>
  <c r="BY207" i="25"/>
  <c r="CA207" i="25" s="1"/>
  <c r="BY162" i="25"/>
  <c r="CA162" i="25" s="1"/>
  <c r="BM162" i="25"/>
  <c r="BM143" i="25"/>
  <c r="BY143" i="25"/>
  <c r="CA143" i="25" s="1"/>
  <c r="BY202" i="25"/>
  <c r="CA202" i="25" s="1"/>
  <c r="BM202" i="25"/>
  <c r="BY198" i="25"/>
  <c r="CA198" i="25" s="1"/>
  <c r="BM198" i="25"/>
  <c r="BM189" i="25"/>
  <c r="BY189" i="25"/>
  <c r="CA189" i="25" s="1"/>
  <c r="BM175" i="25"/>
  <c r="BY175" i="25"/>
  <c r="CA175" i="25" s="1"/>
  <c r="BM152" i="25"/>
  <c r="BY152" i="25"/>
  <c r="CA152" i="25" s="1"/>
  <c r="BI115" i="24"/>
  <c r="BN115" i="24" s="1"/>
  <c r="BX122" i="24"/>
  <c r="BZ122" i="24" s="1"/>
  <c r="BN122" i="24"/>
  <c r="BX118" i="24"/>
  <c r="BZ118" i="24" s="1"/>
  <c r="CA118" i="24" s="1"/>
  <c r="BN118" i="24"/>
  <c r="BN111" i="24"/>
  <c r="BX111" i="24"/>
  <c r="BZ111" i="24" s="1"/>
  <c r="CA111" i="24" s="1"/>
  <c r="BX125" i="24"/>
  <c r="BZ125" i="24" s="1"/>
  <c r="CA125" i="24" s="1"/>
  <c r="BN125" i="24"/>
  <c r="BS110" i="24"/>
  <c r="BW110" i="24" s="1"/>
  <c r="BI110" i="24"/>
  <c r="BS192" i="24"/>
  <c r="BW192" i="24" s="1"/>
  <c r="BI192" i="24"/>
  <c r="BX142" i="24"/>
  <c r="BZ142" i="24" s="1"/>
  <c r="BN142" i="24"/>
  <c r="BS130" i="24"/>
  <c r="BW130" i="24" s="1"/>
  <c r="BI130" i="24"/>
  <c r="BX120" i="24"/>
  <c r="BZ120" i="24" s="1"/>
  <c r="BN120" i="24"/>
  <c r="BX154" i="24"/>
  <c r="BZ154" i="24" s="1"/>
  <c r="BN154" i="24"/>
  <c r="BX204" i="24"/>
  <c r="BZ204" i="24" s="1"/>
  <c r="BN204" i="24"/>
  <c r="BX162" i="24"/>
  <c r="BZ162" i="24" s="1"/>
  <c r="BN162" i="24"/>
  <c r="BX121" i="24"/>
  <c r="BZ121" i="24" s="1"/>
  <c r="BN121" i="24"/>
  <c r="BX173" i="24"/>
  <c r="BZ173" i="24" s="1"/>
  <c r="BN173" i="24"/>
  <c r="BI208" i="24"/>
  <c r="BS208" i="24"/>
  <c r="BW208" i="24" s="1"/>
  <c r="BS210" i="24"/>
  <c r="BI210" i="24"/>
  <c r="BX133" i="24"/>
  <c r="BZ133" i="24" s="1"/>
  <c r="BN133" i="24"/>
  <c r="BX184" i="24"/>
  <c r="BZ184" i="24" s="1"/>
  <c r="BN184" i="24"/>
  <c r="BX138" i="24"/>
  <c r="BZ138" i="24" s="1"/>
  <c r="BN138" i="24"/>
  <c r="BS206" i="24"/>
  <c r="BW206" i="24" s="1"/>
  <c r="BI206" i="24"/>
  <c r="BS123" i="24"/>
  <c r="BW123" i="24" s="1"/>
  <c r="BI123" i="24"/>
  <c r="BX200" i="24"/>
  <c r="BZ200" i="24" s="1"/>
  <c r="BN200" i="24"/>
  <c r="BS161" i="24"/>
  <c r="BW161" i="24" s="1"/>
  <c r="BI161" i="24"/>
  <c r="BX178" i="24"/>
  <c r="BZ178" i="24" s="1"/>
  <c r="CA178" i="24" s="1"/>
  <c r="BN178" i="24"/>
  <c r="BX201" i="24"/>
  <c r="BZ201" i="24" s="1"/>
  <c r="BN201" i="24"/>
  <c r="BS176" i="24"/>
  <c r="BW176" i="24" s="1"/>
  <c r="BI176" i="24"/>
  <c r="BX185" i="24"/>
  <c r="BZ185" i="24" s="1"/>
  <c r="BW185" i="24"/>
  <c r="BX170" i="24"/>
  <c r="BZ170" i="24" s="1"/>
  <c r="BN170" i="24"/>
  <c r="BS159" i="24"/>
  <c r="BW159" i="24" s="1"/>
  <c r="BI159" i="24"/>
  <c r="BS181" i="24"/>
  <c r="BI181" i="24"/>
  <c r="BN181" i="24" s="1"/>
  <c r="BS136" i="24"/>
  <c r="BW136" i="24" s="1"/>
  <c r="BI136" i="24"/>
  <c r="BX116" i="24"/>
  <c r="BZ116" i="24" s="1"/>
  <c r="CA116" i="24" s="1"/>
  <c r="BN116" i="24"/>
  <c r="BX158" i="24"/>
  <c r="BZ158" i="24" s="1"/>
  <c r="CA158" i="24" s="1"/>
  <c r="BN158" i="24"/>
  <c r="BN131" i="24"/>
  <c r="BX131" i="24"/>
  <c r="BZ131" i="24" s="1"/>
  <c r="CA131" i="24" s="1"/>
  <c r="BX128" i="24"/>
  <c r="BZ128" i="24" s="1"/>
  <c r="CA128" i="24" s="1"/>
  <c r="BN128" i="24"/>
  <c r="BN147" i="24"/>
  <c r="BX147" i="24"/>
  <c r="BZ147" i="24" s="1"/>
  <c r="BN127" i="24"/>
  <c r="BX127" i="24"/>
  <c r="BZ127" i="24" s="1"/>
  <c r="BS199" i="24"/>
  <c r="BW199" i="24" s="1"/>
  <c r="BI199" i="24"/>
  <c r="BS194" i="24"/>
  <c r="BW194" i="24" s="1"/>
  <c r="BI194" i="24"/>
  <c r="BN139" i="24"/>
  <c r="BX139" i="24"/>
  <c r="BZ139" i="24" s="1"/>
  <c r="BN207" i="24"/>
  <c r="BX207" i="24"/>
  <c r="BZ207" i="24" s="1"/>
  <c r="BN143" i="24"/>
  <c r="BX143" i="24"/>
  <c r="BZ143" i="24" s="1"/>
  <c r="BX180" i="24"/>
  <c r="BZ180" i="24" s="1"/>
  <c r="BN180" i="24"/>
  <c r="BX137" i="24"/>
  <c r="BZ137" i="24" s="1"/>
  <c r="CA137" i="24" s="1"/>
  <c r="BN137" i="24"/>
  <c r="BX202" i="24"/>
  <c r="BZ202" i="24" s="1"/>
  <c r="BN202" i="24"/>
  <c r="BX198" i="24"/>
  <c r="BZ198" i="24" s="1"/>
  <c r="BN198" i="24"/>
  <c r="BS114" i="24"/>
  <c r="BW114" i="24" s="1"/>
  <c r="BI114" i="24"/>
  <c r="BS155" i="24"/>
  <c r="BW155" i="24" s="1"/>
  <c r="BI155" i="24"/>
  <c r="BX146" i="24"/>
  <c r="BZ146" i="24" s="1"/>
  <c r="BN146" i="24"/>
  <c r="BS189" i="24"/>
  <c r="BI189" i="24"/>
  <c r="BN189" i="24" s="1"/>
  <c r="BX145" i="24"/>
  <c r="BZ145" i="24" s="1"/>
  <c r="BN145" i="24"/>
  <c r="BN175" i="24"/>
  <c r="BX175" i="24"/>
  <c r="BZ175" i="24" s="1"/>
  <c r="BX124" i="24"/>
  <c r="BZ124" i="24" s="1"/>
  <c r="CA124" i="24" s="1"/>
  <c r="BN124" i="24"/>
  <c r="BX132" i="24"/>
  <c r="BZ132" i="24" s="1"/>
  <c r="BN132" i="24"/>
  <c r="BN179" i="24"/>
  <c r="BX179" i="24"/>
  <c r="BZ179" i="24" s="1"/>
  <c r="BX177" i="24"/>
  <c r="BZ177" i="24" s="1"/>
  <c r="BN177" i="24"/>
  <c r="BN171" i="24"/>
  <c r="BX171" i="24"/>
  <c r="BZ171" i="24" s="1"/>
  <c r="BX197" i="24"/>
  <c r="BZ197" i="24" s="1"/>
  <c r="BN197" i="24"/>
  <c r="BX113" i="24"/>
  <c r="BZ113" i="24" s="1"/>
  <c r="CA113" i="24" s="1"/>
  <c r="BN113" i="24"/>
  <c r="BX140" i="24"/>
  <c r="BZ140" i="24" s="1"/>
  <c r="BN140" i="24"/>
  <c r="BX150" i="24"/>
  <c r="BZ150" i="24" s="1"/>
  <c r="BN150" i="24"/>
  <c r="BS182" i="24"/>
  <c r="BI182" i="24"/>
  <c r="BN182" i="24" s="1"/>
  <c r="BS195" i="24"/>
  <c r="BW195" i="24" s="1"/>
  <c r="BI195" i="24"/>
  <c r="BS169" i="24"/>
  <c r="BW169" i="24" s="1"/>
  <c r="BI169" i="24"/>
  <c r="BN165" i="24"/>
  <c r="BN135" i="24"/>
  <c r="BX135" i="24"/>
  <c r="BZ135" i="24" s="1"/>
  <c r="BX164" i="24"/>
  <c r="BZ164" i="24" s="1"/>
  <c r="BN164" i="24"/>
  <c r="BX129" i="24"/>
  <c r="BZ129" i="24" s="1"/>
  <c r="CA129" i="24" s="1"/>
  <c r="BN129" i="24"/>
  <c r="BX126" i="24"/>
  <c r="BZ126" i="24" s="1"/>
  <c r="BN126" i="24"/>
  <c r="BX157" i="24"/>
  <c r="BZ157" i="24" s="1"/>
  <c r="BN157" i="24"/>
  <c r="BS156" i="24"/>
  <c r="BW156" i="24" s="1"/>
  <c r="BI156" i="24"/>
  <c r="BS149" i="24"/>
  <c r="BW149" i="24" s="1"/>
  <c r="BI149" i="24"/>
  <c r="BS172" i="24"/>
  <c r="BW172" i="24" s="1"/>
  <c r="BI172" i="24"/>
  <c r="BS193" i="24"/>
  <c r="BW193" i="24" s="1"/>
  <c r="BI193" i="24"/>
  <c r="BX117" i="24"/>
  <c r="BZ117" i="24" s="1"/>
  <c r="CA117" i="24" s="1"/>
  <c r="BN117" i="24"/>
  <c r="BX160" i="24"/>
  <c r="BZ160" i="24" s="1"/>
  <c r="BN160" i="24"/>
  <c r="BS168" i="24"/>
  <c r="BW168" i="24" s="1"/>
  <c r="BI168" i="24"/>
  <c r="BN183" i="24"/>
  <c r="BX183" i="24"/>
  <c r="BZ183" i="24" s="1"/>
  <c r="BX148" i="24"/>
  <c r="BZ148" i="24" s="1"/>
  <c r="BN148" i="24"/>
  <c r="BX153" i="24"/>
  <c r="BZ153" i="24" s="1"/>
  <c r="BN153" i="24"/>
  <c r="BX186" i="24"/>
  <c r="BZ186" i="24" s="1"/>
  <c r="BW186" i="24"/>
  <c r="BS188" i="24"/>
  <c r="BW188" i="24" s="1"/>
  <c r="BI188" i="24"/>
  <c r="BS112" i="24"/>
  <c r="BW112" i="24" s="1"/>
  <c r="BI112" i="24"/>
  <c r="BS141" i="24"/>
  <c r="BW141" i="24" s="1"/>
  <c r="BI141" i="24"/>
  <c r="BX190" i="24"/>
  <c r="BZ190" i="24" s="1"/>
  <c r="BW190" i="24"/>
  <c r="BX174" i="24"/>
  <c r="BZ174" i="24" s="1"/>
  <c r="BN174" i="24"/>
  <c r="BX196" i="24"/>
  <c r="BZ196" i="24" s="1"/>
  <c r="BN196" i="24"/>
  <c r="BI209" i="24"/>
  <c r="BS209" i="24"/>
  <c r="BW209" i="24" s="1"/>
  <c r="BS134" i="24"/>
  <c r="BW134" i="24" s="1"/>
  <c r="BI134" i="24"/>
  <c r="BX205" i="24"/>
  <c r="BZ205" i="24" s="1"/>
  <c r="BN205" i="24"/>
  <c r="BS191" i="24"/>
  <c r="BW191" i="24" s="1"/>
  <c r="BI191" i="24"/>
  <c r="BS119" i="24"/>
  <c r="BW119" i="24" s="1"/>
  <c r="BI119" i="24"/>
  <c r="BN151" i="24"/>
  <c r="BX151" i="24"/>
  <c r="BZ151" i="24" s="1"/>
  <c r="BN163" i="24"/>
  <c r="BX163" i="24"/>
  <c r="BZ163" i="24" s="1"/>
  <c r="BN187" i="24"/>
  <c r="BX187" i="24"/>
  <c r="BZ187" i="24" s="1"/>
  <c r="BX152" i="24"/>
  <c r="BZ152" i="24" s="1"/>
  <c r="BN152" i="24"/>
  <c r="BX144" i="24"/>
  <c r="BZ144" i="24" s="1"/>
  <c r="BN144" i="24"/>
  <c r="BS203" i="24"/>
  <c r="BW203" i="24" s="1"/>
  <c r="BI203" i="24"/>
  <c r="BM58" i="25"/>
  <c r="BS86" i="24"/>
  <c r="BW86" i="24" s="1"/>
  <c r="BW73" i="24"/>
  <c r="BI73" i="24"/>
  <c r="BX73" i="24" s="1"/>
  <c r="BZ73" i="24" s="1"/>
  <c r="BS33" i="24"/>
  <c r="BW33" i="24" s="1"/>
  <c r="BW104" i="24"/>
  <c r="BI51" i="24"/>
  <c r="BX51" i="24" s="1"/>
  <c r="BZ51" i="24" s="1"/>
  <c r="BW51" i="24"/>
  <c r="BS97" i="24"/>
  <c r="BW97" i="24" s="1"/>
  <c r="BS64" i="24"/>
  <c r="BX64" i="24" s="1"/>
  <c r="BZ64" i="24" s="1"/>
  <c r="CA64" i="24" s="1"/>
  <c r="BS27" i="24"/>
  <c r="BW27" i="24" s="1"/>
  <c r="BS23" i="24"/>
  <c r="BX23" i="24" s="1"/>
  <c r="BZ23" i="24" s="1"/>
  <c r="CA23" i="24" s="1"/>
  <c r="BS49" i="24"/>
  <c r="BW49" i="24" s="1"/>
  <c r="BN69" i="24"/>
  <c r="BW81" i="24"/>
  <c r="BS88" i="24"/>
  <c r="BW88" i="24" s="1"/>
  <c r="BI81" i="24"/>
  <c r="BN81" i="24" s="1"/>
  <c r="BS65" i="24"/>
  <c r="BW65" i="24" s="1"/>
  <c r="BI35" i="24"/>
  <c r="BN35" i="24" s="1"/>
  <c r="BW35" i="24"/>
  <c r="BX34" i="24"/>
  <c r="BZ34" i="24" s="1"/>
  <c r="CA34" i="24" s="1"/>
  <c r="AY71" i="24"/>
  <c r="AZ71" i="24" s="1"/>
  <c r="BF71" i="24"/>
  <c r="BG71" i="24"/>
  <c r="BT71" i="24" s="1"/>
  <c r="AY13" i="24"/>
  <c r="AZ13" i="24" s="1"/>
  <c r="BF13" i="24"/>
  <c r="BG13" i="24"/>
  <c r="BT13" i="24" s="1"/>
  <c r="AY15" i="24"/>
  <c r="AZ15" i="24" s="1"/>
  <c r="BG15" i="24"/>
  <c r="BT15" i="24" s="1"/>
  <c r="BF15" i="24"/>
  <c r="AY48" i="24"/>
  <c r="AZ48" i="24" s="1"/>
  <c r="BF48" i="24"/>
  <c r="BG48" i="24"/>
  <c r="BT48" i="24" s="1"/>
  <c r="AY102" i="24"/>
  <c r="AZ102" i="24" s="1"/>
  <c r="BF102" i="24"/>
  <c r="BG102" i="24"/>
  <c r="BT102" i="24" s="1"/>
  <c r="AY93" i="24"/>
  <c r="AZ93" i="24" s="1"/>
  <c r="BG93" i="24"/>
  <c r="BT93" i="24" s="1"/>
  <c r="BF93" i="24"/>
  <c r="AY37" i="24"/>
  <c r="AZ37" i="24" s="1"/>
  <c r="BF37" i="24"/>
  <c r="BG37" i="24"/>
  <c r="BT37" i="24" s="1"/>
  <c r="AY94" i="24"/>
  <c r="AZ94" i="24" s="1"/>
  <c r="BG94" i="24"/>
  <c r="BT94" i="24" s="1"/>
  <c r="BF94" i="24"/>
  <c r="AY8" i="24"/>
  <c r="AZ8" i="24" s="1"/>
  <c r="BF8" i="24"/>
  <c r="BG8" i="24"/>
  <c r="BT8" i="24" s="1"/>
  <c r="AY58" i="24"/>
  <c r="AZ58" i="24" s="1"/>
  <c r="BG58" i="24"/>
  <c r="BT58" i="24" s="1"/>
  <c r="BF58" i="24"/>
  <c r="AY90" i="24"/>
  <c r="AZ90" i="24" s="1"/>
  <c r="BF90" i="24"/>
  <c r="BG90" i="24"/>
  <c r="BT90" i="24" s="1"/>
  <c r="AY99" i="24"/>
  <c r="AZ99" i="24" s="1"/>
  <c r="BF99" i="24"/>
  <c r="BG99" i="24"/>
  <c r="BT99" i="24" s="1"/>
  <c r="AY45" i="24"/>
  <c r="AZ45" i="24" s="1"/>
  <c r="BF45" i="24"/>
  <c r="BG45" i="24"/>
  <c r="BT45" i="24" s="1"/>
  <c r="AY38" i="24"/>
  <c r="AZ38" i="24" s="1"/>
  <c r="BF38" i="24"/>
  <c r="BG38" i="24"/>
  <c r="BT38" i="24" s="1"/>
  <c r="AY77" i="24"/>
  <c r="AZ77" i="24" s="1"/>
  <c r="BG77" i="24"/>
  <c r="BT77" i="24" s="1"/>
  <c r="BF77" i="24"/>
  <c r="AY98" i="24"/>
  <c r="AZ98" i="24" s="1"/>
  <c r="BF98" i="24"/>
  <c r="BG98" i="24"/>
  <c r="BT98" i="24" s="1"/>
  <c r="AY62" i="24"/>
  <c r="AZ62" i="24" s="1"/>
  <c r="BF62" i="24"/>
  <c r="BG62" i="24"/>
  <c r="BT62" i="24" s="1"/>
  <c r="AY47" i="24"/>
  <c r="AZ47" i="24" s="1"/>
  <c r="BG47" i="24"/>
  <c r="BT47" i="24" s="1"/>
  <c r="BF47" i="24"/>
  <c r="AY52" i="24"/>
  <c r="AZ52" i="24" s="1"/>
  <c r="BF52" i="24"/>
  <c r="BG52" i="24"/>
  <c r="BT52" i="24" s="1"/>
  <c r="AY75" i="24"/>
  <c r="AZ75" i="24" s="1"/>
  <c r="BG75" i="24"/>
  <c r="BT75" i="24" s="1"/>
  <c r="BF75" i="24"/>
  <c r="AY103" i="24"/>
  <c r="AZ103" i="24" s="1"/>
  <c r="BG103" i="24"/>
  <c r="BT103" i="24" s="1"/>
  <c r="BF103" i="24"/>
  <c r="AY24" i="24"/>
  <c r="AZ24" i="24" s="1"/>
  <c r="BF24" i="24"/>
  <c r="BG24" i="24"/>
  <c r="BT24" i="24" s="1"/>
  <c r="AY44" i="24"/>
  <c r="AZ44" i="24" s="1"/>
  <c r="BG44" i="24"/>
  <c r="BT44" i="24" s="1"/>
  <c r="BF44" i="24"/>
  <c r="AY67" i="24"/>
  <c r="AZ67" i="24" s="1"/>
  <c r="BG67" i="24"/>
  <c r="BT67" i="24" s="1"/>
  <c r="BF67" i="24"/>
  <c r="AY76" i="24"/>
  <c r="AZ76" i="24" s="1"/>
  <c r="BG76" i="24"/>
  <c r="BT76" i="24" s="1"/>
  <c r="BF76" i="24"/>
  <c r="AY57" i="24"/>
  <c r="AZ57" i="24" s="1"/>
  <c r="BG57" i="24"/>
  <c r="BT57" i="24" s="1"/>
  <c r="BF57" i="24"/>
  <c r="AY84" i="24"/>
  <c r="AZ84" i="24" s="1"/>
  <c r="BF84" i="24"/>
  <c r="BG84" i="24"/>
  <c r="BT84" i="24" s="1"/>
  <c r="AY39" i="24"/>
  <c r="AZ39" i="24" s="1"/>
  <c r="BG39" i="24"/>
  <c r="BT39" i="24" s="1"/>
  <c r="BF39" i="24"/>
  <c r="AY61" i="24"/>
  <c r="AZ61" i="24" s="1"/>
  <c r="BG61" i="24"/>
  <c r="BT61" i="24" s="1"/>
  <c r="BF61" i="24"/>
  <c r="AY16" i="24"/>
  <c r="AZ16" i="24" s="1"/>
  <c r="BG16" i="24"/>
  <c r="BT16" i="24" s="1"/>
  <c r="BF16" i="24"/>
  <c r="AY12" i="24"/>
  <c r="AZ12" i="24" s="1"/>
  <c r="BG12" i="24"/>
  <c r="BT12" i="24" s="1"/>
  <c r="BF12" i="24"/>
  <c r="AY11" i="24"/>
  <c r="AZ11" i="24" s="1"/>
  <c r="BG11" i="24"/>
  <c r="BT11" i="24" s="1"/>
  <c r="BF11" i="24"/>
  <c r="AY17" i="24"/>
  <c r="AZ17" i="24" s="1"/>
  <c r="BF17" i="24"/>
  <c r="BG17" i="24"/>
  <c r="BT17" i="24" s="1"/>
  <c r="AY9" i="24"/>
  <c r="AZ9" i="24" s="1"/>
  <c r="BF9" i="24"/>
  <c r="BG9" i="24"/>
  <c r="BT9" i="24" s="1"/>
  <c r="AY26" i="24"/>
  <c r="AZ26" i="24" s="1"/>
  <c r="BF26" i="24"/>
  <c r="BG26" i="24"/>
  <c r="BT26" i="24" s="1"/>
  <c r="AY20" i="24"/>
  <c r="AZ20" i="24" s="1"/>
  <c r="BG20" i="24"/>
  <c r="BT20" i="24" s="1"/>
  <c r="BF20" i="24"/>
  <c r="AY30" i="24"/>
  <c r="AZ30" i="24" s="1"/>
  <c r="BG30" i="24"/>
  <c r="BT30" i="24" s="1"/>
  <c r="BF30" i="24"/>
  <c r="AY66" i="24"/>
  <c r="AZ66" i="24" s="1"/>
  <c r="BG66" i="24"/>
  <c r="BT66" i="24" s="1"/>
  <c r="BF66" i="24"/>
  <c r="AY80" i="24"/>
  <c r="AZ80" i="24" s="1"/>
  <c r="BF80" i="24"/>
  <c r="BG80" i="24"/>
  <c r="BT80" i="24" s="1"/>
  <c r="AY7" i="24"/>
  <c r="AZ7" i="24" s="1"/>
  <c r="BF7" i="24"/>
  <c r="BG7" i="24"/>
  <c r="BT7" i="24" s="1"/>
  <c r="AY6" i="24"/>
  <c r="AZ6" i="24" s="1"/>
  <c r="BG6" i="24"/>
  <c r="BT6" i="24" s="1"/>
  <c r="BF6" i="24"/>
  <c r="BX40" i="24"/>
  <c r="BZ40" i="24" s="1"/>
  <c r="CA40" i="24" s="1"/>
  <c r="BT5" i="25"/>
  <c r="BS5" i="25"/>
  <c r="BH5" i="25"/>
  <c r="BY33" i="25"/>
  <c r="CA33" i="25" s="1"/>
  <c r="CB33" i="25" s="1"/>
  <c r="BX20" i="25"/>
  <c r="BX52" i="25"/>
  <c r="BX86" i="25"/>
  <c r="BY55" i="25"/>
  <c r="CA55" i="25" s="1"/>
  <c r="CB55" i="25" s="1"/>
  <c r="BX90" i="25"/>
  <c r="BY18" i="25"/>
  <c r="CA18" i="25" s="1"/>
  <c r="BX98" i="25"/>
  <c r="BX40" i="25"/>
  <c r="BX103" i="25"/>
  <c r="BX78" i="25"/>
  <c r="BX76" i="25"/>
  <c r="BX41" i="25"/>
  <c r="BX17" i="25"/>
  <c r="BX27" i="25"/>
  <c r="BX54" i="25"/>
  <c r="BX15" i="25"/>
  <c r="BX55" i="25"/>
  <c r="BY90" i="25"/>
  <c r="CA90" i="25" s="1"/>
  <c r="BX33" i="25"/>
  <c r="BX18" i="25"/>
  <c r="BX19" i="25"/>
  <c r="BX63" i="25"/>
  <c r="BX95" i="25"/>
  <c r="BX65" i="25"/>
  <c r="BY60" i="25"/>
  <c r="CA60" i="25" s="1"/>
  <c r="BX34" i="25"/>
  <c r="BY98" i="25"/>
  <c r="CA98" i="25" s="1"/>
  <c r="BX36" i="25"/>
  <c r="BX85" i="25"/>
  <c r="BX99" i="25"/>
  <c r="BX43" i="25"/>
  <c r="BX49" i="25"/>
  <c r="BX47" i="25"/>
  <c r="BY85" i="25"/>
  <c r="CA85" i="25" s="1"/>
  <c r="BX39" i="25"/>
  <c r="BX102" i="25"/>
  <c r="BX26" i="25"/>
  <c r="BX83" i="25"/>
  <c r="BX75" i="25"/>
  <c r="BX61" i="25"/>
  <c r="BX13" i="25"/>
  <c r="BX89" i="25"/>
  <c r="BX8" i="25"/>
  <c r="BX24" i="25"/>
  <c r="BX104" i="25"/>
  <c r="BX67" i="25"/>
  <c r="BX94" i="25"/>
  <c r="BX71" i="25"/>
  <c r="BX6" i="25"/>
  <c r="BX45" i="25"/>
  <c r="BX66" i="25"/>
  <c r="BX57" i="25"/>
  <c r="BX73" i="25"/>
  <c r="BX32" i="25"/>
  <c r="BY95" i="25"/>
  <c r="CA95" i="25" s="1"/>
  <c r="BX9" i="25"/>
  <c r="BX60" i="25"/>
  <c r="BX105" i="25"/>
  <c r="BX77" i="25"/>
  <c r="BX35" i="25"/>
  <c r="BX97" i="25"/>
  <c r="BX81" i="25"/>
  <c r="BX59" i="25"/>
  <c r="BX64" i="25"/>
  <c r="BX21" i="25"/>
  <c r="BX87" i="25"/>
  <c r="BX50" i="25"/>
  <c r="BX101" i="25"/>
  <c r="BX31" i="25"/>
  <c r="BX12" i="25"/>
  <c r="BX53" i="25"/>
  <c r="BX51" i="25"/>
  <c r="BX37" i="25"/>
  <c r="BX14" i="25"/>
  <c r="BX10" i="25"/>
  <c r="BY32" i="25"/>
  <c r="CA32" i="25" s="1"/>
  <c r="BX29" i="25"/>
  <c r="BX11" i="25"/>
  <c r="BX72" i="25"/>
  <c r="BX44" i="25"/>
  <c r="BX16" i="25"/>
  <c r="BX88" i="25"/>
  <c r="BX100" i="25"/>
  <c r="BX93" i="25"/>
  <c r="BX42" i="25"/>
  <c r="BX62" i="25"/>
  <c r="BX28" i="25"/>
  <c r="BX68" i="25"/>
  <c r="BX25" i="25"/>
  <c r="BX80" i="25"/>
  <c r="BX69" i="25"/>
  <c r="BX74" i="25"/>
  <c r="BX46" i="25"/>
  <c r="BX96" i="25"/>
  <c r="BX38" i="25"/>
  <c r="BX91" i="25"/>
  <c r="BX92" i="25"/>
  <c r="BY65" i="25"/>
  <c r="CA65" i="25" s="1"/>
  <c r="BX23" i="25"/>
  <c r="BX84" i="25"/>
  <c r="BX22" i="25"/>
  <c r="BX79" i="25"/>
  <c r="BX30" i="25"/>
  <c r="BX7" i="25"/>
  <c r="BX82" i="25"/>
  <c r="BX70" i="25"/>
  <c r="BX56" i="25"/>
  <c r="BX48" i="25"/>
  <c r="BY43" i="25"/>
  <c r="CA43" i="25" s="1"/>
  <c r="CB43" i="25" s="1"/>
  <c r="BY57" i="25"/>
  <c r="CA57" i="25" s="1"/>
  <c r="CB57" i="25" s="1"/>
  <c r="BY73" i="25"/>
  <c r="CA73" i="25" s="1"/>
  <c r="BY66" i="25"/>
  <c r="CA66" i="25" s="1"/>
  <c r="BY84" i="25"/>
  <c r="CA84" i="25" s="1"/>
  <c r="BY99" i="25"/>
  <c r="CA99" i="25" s="1"/>
  <c r="BM32" i="25"/>
  <c r="BY50" i="25"/>
  <c r="CA50" i="25" s="1"/>
  <c r="CB50" i="25" s="1"/>
  <c r="BM50" i="25"/>
  <c r="BY31" i="25"/>
  <c r="CA31" i="25" s="1"/>
  <c r="BM31" i="25"/>
  <c r="BY41" i="25"/>
  <c r="CA41" i="25" s="1"/>
  <c r="BM41" i="25"/>
  <c r="BY17" i="25"/>
  <c r="CA17" i="25" s="1"/>
  <c r="CB17" i="25" s="1"/>
  <c r="BM17" i="25"/>
  <c r="BY40" i="25"/>
  <c r="CA40" i="25" s="1"/>
  <c r="BM40" i="25"/>
  <c r="BY78" i="25"/>
  <c r="CA78" i="25" s="1"/>
  <c r="BM78" i="25"/>
  <c r="BY14" i="25"/>
  <c r="CA14" i="25" s="1"/>
  <c r="CB14" i="25" s="1"/>
  <c r="BM14" i="25"/>
  <c r="BY82" i="25"/>
  <c r="CA82" i="25" s="1"/>
  <c r="BM82" i="25"/>
  <c r="BY56" i="25"/>
  <c r="CA56" i="25" s="1"/>
  <c r="BM56" i="25"/>
  <c r="BY26" i="25"/>
  <c r="CA26" i="25" s="1"/>
  <c r="CB26" i="25" s="1"/>
  <c r="BM26" i="25"/>
  <c r="BY80" i="25"/>
  <c r="CA80" i="25" s="1"/>
  <c r="BM80" i="25"/>
  <c r="BY20" i="25"/>
  <c r="CA20" i="25" s="1"/>
  <c r="BM20" i="25"/>
  <c r="BY81" i="25"/>
  <c r="CA81" i="25" s="1"/>
  <c r="BM81" i="25"/>
  <c r="BM8" i="25"/>
  <c r="BY8" i="25"/>
  <c r="CA8" i="25" s="1"/>
  <c r="CB8" i="25" s="1"/>
  <c r="BM104" i="25"/>
  <c r="BY104" i="25"/>
  <c r="CA104" i="25" s="1"/>
  <c r="BY64" i="25"/>
  <c r="CA64" i="25" s="1"/>
  <c r="BM64" i="25"/>
  <c r="BM94" i="25"/>
  <c r="BY94" i="25"/>
  <c r="CA94" i="25" s="1"/>
  <c r="BY21" i="25"/>
  <c r="CA21" i="25" s="1"/>
  <c r="BM21" i="25"/>
  <c r="BY45" i="25"/>
  <c r="CA45" i="25" s="1"/>
  <c r="BM45" i="25"/>
  <c r="BY49" i="25"/>
  <c r="CA49" i="25" s="1"/>
  <c r="BM49" i="25"/>
  <c r="BY29" i="25"/>
  <c r="CA29" i="25" s="1"/>
  <c r="BM29" i="25"/>
  <c r="BY22" i="25"/>
  <c r="CA22" i="25" s="1"/>
  <c r="CB22" i="25" s="1"/>
  <c r="BM22" i="25"/>
  <c r="BY11" i="25"/>
  <c r="CA11" i="25" s="1"/>
  <c r="CB11" i="25" s="1"/>
  <c r="BM11" i="25"/>
  <c r="BY79" i="25"/>
  <c r="CA79" i="25" s="1"/>
  <c r="CB79" i="25" s="1"/>
  <c r="BM79" i="25"/>
  <c r="BY72" i="25"/>
  <c r="CA72" i="25" s="1"/>
  <c r="BM72" i="25"/>
  <c r="BY44" i="25"/>
  <c r="CA44" i="25" s="1"/>
  <c r="BM44" i="25"/>
  <c r="BY30" i="25"/>
  <c r="CA30" i="25" s="1"/>
  <c r="CB30" i="25" s="1"/>
  <c r="BM30" i="25"/>
  <c r="BY47" i="25"/>
  <c r="CA47" i="25" s="1"/>
  <c r="BM47" i="25"/>
  <c r="BY16" i="25"/>
  <c r="CA16" i="25" s="1"/>
  <c r="CB16" i="25" s="1"/>
  <c r="BM16" i="25"/>
  <c r="BY39" i="25"/>
  <c r="CA39" i="25" s="1"/>
  <c r="BM39" i="25"/>
  <c r="BY88" i="25"/>
  <c r="CA88" i="25" s="1"/>
  <c r="CB88" i="25" s="1"/>
  <c r="BM88" i="25"/>
  <c r="BM100" i="25"/>
  <c r="BY100" i="25"/>
  <c r="CA100" i="25" s="1"/>
  <c r="BM93" i="25"/>
  <c r="BY93" i="25"/>
  <c r="CA93" i="25" s="1"/>
  <c r="BM102" i="25"/>
  <c r="BY102" i="25"/>
  <c r="CA102" i="25" s="1"/>
  <c r="BY42" i="25"/>
  <c r="CA42" i="25" s="1"/>
  <c r="BM42" i="25"/>
  <c r="BM10" i="25"/>
  <c r="BY10" i="25"/>
  <c r="CA10" i="25" s="1"/>
  <c r="CB10" i="25" s="1"/>
  <c r="BY34" i="25"/>
  <c r="CA34" i="25" s="1"/>
  <c r="CB34" i="25" s="1"/>
  <c r="BM34" i="25"/>
  <c r="BY71" i="25"/>
  <c r="CA71" i="25" s="1"/>
  <c r="BM71" i="25"/>
  <c r="BY62" i="25"/>
  <c r="CA62" i="25" s="1"/>
  <c r="BM62" i="25"/>
  <c r="BY28" i="25"/>
  <c r="CA28" i="25" s="1"/>
  <c r="CB28" i="25" s="1"/>
  <c r="BM28" i="25"/>
  <c r="BY63" i="25"/>
  <c r="CA63" i="25" s="1"/>
  <c r="BM63" i="25"/>
  <c r="BY68" i="25"/>
  <c r="CA68" i="25" s="1"/>
  <c r="BM68" i="25"/>
  <c r="BY25" i="25"/>
  <c r="CA25" i="25" s="1"/>
  <c r="BM25" i="25"/>
  <c r="BY83" i="25"/>
  <c r="CA83" i="25" s="1"/>
  <c r="BM83" i="25"/>
  <c r="BY75" i="25"/>
  <c r="CA75" i="25" s="1"/>
  <c r="BM75" i="25"/>
  <c r="BY61" i="25"/>
  <c r="CA61" i="25" s="1"/>
  <c r="BM61" i="25"/>
  <c r="BY35" i="25"/>
  <c r="CA35" i="25" s="1"/>
  <c r="BM35" i="25"/>
  <c r="BM97" i="25"/>
  <c r="BY97" i="25"/>
  <c r="CA97" i="25" s="1"/>
  <c r="BY52" i="25"/>
  <c r="CA52" i="25" s="1"/>
  <c r="BM52" i="25"/>
  <c r="BY86" i="25"/>
  <c r="CA86" i="25" s="1"/>
  <c r="BM86" i="25"/>
  <c r="BY54" i="25"/>
  <c r="CA54" i="25" s="1"/>
  <c r="BM54" i="25"/>
  <c r="BY46" i="25"/>
  <c r="CA46" i="25" s="1"/>
  <c r="BM46" i="25"/>
  <c r="BM96" i="25"/>
  <c r="BY96" i="25"/>
  <c r="CA96" i="25" s="1"/>
  <c r="BY38" i="25"/>
  <c r="CA38" i="25" s="1"/>
  <c r="BM38" i="25"/>
  <c r="BY15" i="25"/>
  <c r="CA15" i="25" s="1"/>
  <c r="CB15" i="25" s="1"/>
  <c r="BM15" i="25"/>
  <c r="BY19" i="25"/>
  <c r="CA19" i="25" s="1"/>
  <c r="CB19" i="25" s="1"/>
  <c r="BM19" i="25"/>
  <c r="BM91" i="25"/>
  <c r="BY91" i="25"/>
  <c r="CA91" i="25" s="1"/>
  <c r="BM92" i="25"/>
  <c r="BY92" i="25"/>
  <c r="CA92" i="25" s="1"/>
  <c r="BY36" i="25"/>
  <c r="CA36" i="25" s="1"/>
  <c r="CB36" i="25" s="1"/>
  <c r="BM36" i="25"/>
  <c r="BY87" i="25"/>
  <c r="CA87" i="25" s="1"/>
  <c r="BM87" i="25"/>
  <c r="BM101" i="25"/>
  <c r="BY101" i="25"/>
  <c r="CA101" i="25" s="1"/>
  <c r="BY76" i="25"/>
  <c r="CA76" i="25" s="1"/>
  <c r="BM76" i="25"/>
  <c r="BY12" i="25"/>
  <c r="CA12" i="25" s="1"/>
  <c r="CB12" i="25" s="1"/>
  <c r="BM12" i="25"/>
  <c r="BY53" i="25"/>
  <c r="CA53" i="25" s="1"/>
  <c r="BM53" i="25"/>
  <c r="BY51" i="25"/>
  <c r="CA51" i="25" s="1"/>
  <c r="BM51" i="25"/>
  <c r="BY37" i="25"/>
  <c r="CA37" i="25" s="1"/>
  <c r="CB37" i="25" s="1"/>
  <c r="BM37" i="25"/>
  <c r="BM103" i="25"/>
  <c r="BY103" i="25"/>
  <c r="CA103" i="25" s="1"/>
  <c r="BY27" i="25"/>
  <c r="CA27" i="25" s="1"/>
  <c r="CB27" i="25" s="1"/>
  <c r="BM27" i="25"/>
  <c r="BY70" i="25"/>
  <c r="CA70" i="25" s="1"/>
  <c r="BM70" i="25"/>
  <c r="BY48" i="25"/>
  <c r="CA48" i="25" s="1"/>
  <c r="BM48" i="25"/>
  <c r="BM105" i="25"/>
  <c r="E45" i="1" s="1"/>
  <c r="E46" i="1" s="1"/>
  <c r="BY105" i="25"/>
  <c r="CA105" i="25" s="1"/>
  <c r="BY77" i="25"/>
  <c r="CA77" i="25" s="1"/>
  <c r="BM77" i="25"/>
  <c r="BY69" i="25"/>
  <c r="CA69" i="25" s="1"/>
  <c r="BM69" i="25"/>
  <c r="BY74" i="25"/>
  <c r="CA74" i="25" s="1"/>
  <c r="BM74" i="25"/>
  <c r="BY13" i="25"/>
  <c r="CA13" i="25" s="1"/>
  <c r="CB13" i="25" s="1"/>
  <c r="BM13" i="25"/>
  <c r="BY89" i="25"/>
  <c r="CA89" i="25" s="1"/>
  <c r="BM89" i="25"/>
  <c r="BY24" i="25"/>
  <c r="CA24" i="25" s="1"/>
  <c r="CB24" i="25" s="1"/>
  <c r="BM24" i="25"/>
  <c r="BY59" i="25"/>
  <c r="CA59" i="25" s="1"/>
  <c r="BM59" i="25"/>
  <c r="BY67" i="25"/>
  <c r="CA67" i="25" s="1"/>
  <c r="BM67" i="25"/>
  <c r="BY23" i="25"/>
  <c r="CA23" i="25" s="1"/>
  <c r="CB23" i="25" s="1"/>
  <c r="BM23" i="25"/>
  <c r="BM7" i="25"/>
  <c r="BY7" i="25"/>
  <c r="CA7" i="25" s="1"/>
  <c r="CB7" i="25" s="1"/>
  <c r="BM9" i="25"/>
  <c r="BY9" i="25"/>
  <c r="CA9" i="25" s="1"/>
  <c r="CB9" i="25" s="1"/>
  <c r="BM6" i="25"/>
  <c r="BY6" i="25"/>
  <c r="CA6" i="25" s="1"/>
  <c r="CB6" i="25" s="1"/>
  <c r="BX79" i="24"/>
  <c r="BZ79" i="24" s="1"/>
  <c r="CA79" i="24" s="1"/>
  <c r="BX89" i="24"/>
  <c r="BZ89" i="24" s="1"/>
  <c r="BX14" i="24"/>
  <c r="BZ14" i="24" s="1"/>
  <c r="CA14" i="24" s="1"/>
  <c r="BX21" i="24"/>
  <c r="BZ21" i="24" s="1"/>
  <c r="BX92" i="24"/>
  <c r="BZ92" i="24" s="1"/>
  <c r="BN72" i="24"/>
  <c r="BX72" i="24"/>
  <c r="BZ72" i="24" s="1"/>
  <c r="BN63" i="24"/>
  <c r="BX63" i="24"/>
  <c r="BZ63" i="24" s="1"/>
  <c r="CE63" i="24" s="1"/>
  <c r="BN60" i="24"/>
  <c r="BX60" i="24"/>
  <c r="BZ60" i="24" s="1"/>
  <c r="BX85" i="24"/>
  <c r="BZ85" i="24" s="1"/>
  <c r="BX78" i="24"/>
  <c r="BZ78" i="24" s="1"/>
  <c r="BN18" i="24"/>
  <c r="BX18" i="24"/>
  <c r="BZ18" i="24" s="1"/>
  <c r="BN56" i="24"/>
  <c r="BX56" i="24"/>
  <c r="BZ56" i="24" s="1"/>
  <c r="CA56" i="24" s="1"/>
  <c r="BN19" i="24"/>
  <c r="BX19" i="24"/>
  <c r="BZ19" i="24" s="1"/>
  <c r="CA19" i="24" s="1"/>
  <c r="BN10" i="24"/>
  <c r="BX10" i="24"/>
  <c r="BZ10" i="24" s="1"/>
  <c r="CA10" i="24" s="1"/>
  <c r="BN28" i="24"/>
  <c r="BX28" i="24"/>
  <c r="BZ28" i="24" s="1"/>
  <c r="CA28" i="24" s="1"/>
  <c r="BN25" i="24"/>
  <c r="BX25" i="24"/>
  <c r="BZ25" i="24" s="1"/>
  <c r="BX59" i="24"/>
  <c r="BZ59" i="24" s="1"/>
  <c r="BX29" i="24"/>
  <c r="BZ29" i="24" s="1"/>
  <c r="BX96" i="24"/>
  <c r="BZ96" i="24" s="1"/>
  <c r="BX74" i="24"/>
  <c r="BZ74" i="24" s="1"/>
  <c r="BN31" i="24"/>
  <c r="BX31" i="24"/>
  <c r="BZ31" i="24" s="1"/>
  <c r="BN55" i="24"/>
  <c r="BX55" i="24"/>
  <c r="BZ55" i="24" s="1"/>
  <c r="CA55" i="24" s="1"/>
  <c r="B248" i="2" s="1"/>
  <c r="BN70" i="24"/>
  <c r="BX70" i="24"/>
  <c r="BZ70" i="24" s="1"/>
  <c r="BN50" i="24"/>
  <c r="BX50" i="24"/>
  <c r="BZ50" i="24" s="1"/>
  <c r="BX95" i="24"/>
  <c r="BZ95" i="24" s="1"/>
  <c r="CA95" i="24" s="1"/>
  <c r="BX54" i="24"/>
  <c r="BZ54" i="24" s="1"/>
  <c r="BN46" i="24"/>
  <c r="BX46" i="24"/>
  <c r="BZ46" i="24" s="1"/>
  <c r="BN101" i="24"/>
  <c r="BX101" i="24"/>
  <c r="BZ101" i="24" s="1"/>
  <c r="BN42" i="24"/>
  <c r="BX42" i="24"/>
  <c r="BZ42" i="24" s="1"/>
  <c r="BN83" i="24"/>
  <c r="BX83" i="24"/>
  <c r="BZ83" i="24" s="1"/>
  <c r="BX100" i="24"/>
  <c r="BZ100" i="24" s="1"/>
  <c r="CA100" i="24" s="1"/>
  <c r="BN100" i="24"/>
  <c r="BX68" i="24"/>
  <c r="BZ68" i="24" s="1"/>
  <c r="BX105" i="24"/>
  <c r="BZ105" i="24" s="1"/>
  <c r="BX36" i="24"/>
  <c r="BZ36" i="24" s="1"/>
  <c r="CA36" i="24" s="1"/>
  <c r="BX82" i="24"/>
  <c r="BZ82" i="24" s="1"/>
  <c r="BX91" i="24"/>
  <c r="BZ91" i="24" s="1"/>
  <c r="BX87" i="24"/>
  <c r="BZ87" i="24" s="1"/>
  <c r="BX41" i="24"/>
  <c r="BZ41" i="24" s="1"/>
  <c r="F66" i="19"/>
  <c r="J9" i="8"/>
  <c r="CB95" i="25" l="1"/>
  <c r="CF95" i="25"/>
  <c r="BW22" i="24"/>
  <c r="BY195" i="25"/>
  <c r="CA195" i="25" s="1"/>
  <c r="CB195" i="25" s="1"/>
  <c r="BY176" i="25"/>
  <c r="CA176" i="25" s="1"/>
  <c r="CB176" i="25" s="1"/>
  <c r="BY158" i="25"/>
  <c r="CA158" i="25" s="1"/>
  <c r="CB158" i="25" s="1"/>
  <c r="BY125" i="25"/>
  <c r="CA125" i="25" s="1"/>
  <c r="CB125" i="25" s="1"/>
  <c r="BX127" i="25"/>
  <c r="BY197" i="25"/>
  <c r="CA197" i="25" s="1"/>
  <c r="CB197" i="25" s="1"/>
  <c r="BM151" i="25"/>
  <c r="CB49" i="25"/>
  <c r="CF49" i="25"/>
  <c r="CA174" i="24"/>
  <c r="CE174" i="24"/>
  <c r="CB38" i="25"/>
  <c r="CF38" i="25"/>
  <c r="BI43" i="24"/>
  <c r="BN43" i="24" s="1"/>
  <c r="CB90" i="25"/>
  <c r="CF90" i="25"/>
  <c r="CA201" i="24"/>
  <c r="CE201" i="24"/>
  <c r="BW43" i="24"/>
  <c r="CA142" i="24"/>
  <c r="CE142" i="24"/>
  <c r="CB64" i="25"/>
  <c r="CF64" i="25"/>
  <c r="CA153" i="24"/>
  <c r="CE153" i="24"/>
  <c r="CA145" i="24"/>
  <c r="CE145" i="24"/>
  <c r="CB80" i="25"/>
  <c r="CF80" i="25"/>
  <c r="CA148" i="24"/>
  <c r="CE148" i="24"/>
  <c r="CA121" i="24"/>
  <c r="CE121" i="24"/>
  <c r="CB53" i="25"/>
  <c r="CF53" i="25"/>
  <c r="CA133" i="24"/>
  <c r="CE133" i="24"/>
  <c r="CA29" i="24"/>
  <c r="CE29" i="24"/>
  <c r="CB29" i="25"/>
  <c r="CF29" i="25"/>
  <c r="CB39" i="25"/>
  <c r="CF39" i="25"/>
  <c r="CA140" i="24"/>
  <c r="CE140" i="24"/>
  <c r="CB21" i="25"/>
  <c r="CF21" i="25"/>
  <c r="CA21" i="24"/>
  <c r="CE21" i="24"/>
  <c r="CA120" i="24"/>
  <c r="CE120" i="24"/>
  <c r="CB120" i="25"/>
  <c r="CF120" i="25"/>
  <c r="CB48" i="25"/>
  <c r="CF48" i="25"/>
  <c r="CA127" i="24"/>
  <c r="CE127" i="24"/>
  <c r="CB126" i="25"/>
  <c r="CF126" i="25"/>
  <c r="CA31" i="24"/>
  <c r="CE31" i="24"/>
  <c r="CA42" i="24"/>
  <c r="CE42" i="24"/>
  <c r="CB133" i="25"/>
  <c r="CF133" i="25"/>
  <c r="CB42" i="25"/>
  <c r="CF42" i="25"/>
  <c r="CB137" i="25"/>
  <c r="CF137" i="25"/>
  <c r="CB210" i="25"/>
  <c r="CF210" i="25"/>
  <c r="CB190" i="25"/>
  <c r="CF190" i="25"/>
  <c r="CB104" i="25"/>
  <c r="CF104" i="25"/>
  <c r="CA92" i="24"/>
  <c r="CE92" i="24"/>
  <c r="CB92" i="25"/>
  <c r="CF92" i="25"/>
  <c r="BW210" i="24"/>
  <c r="CB35" i="25"/>
  <c r="CF35" i="25"/>
  <c r="CB134" i="25"/>
  <c r="CF134" i="25"/>
  <c r="CA184" i="24"/>
  <c r="CE184" i="24"/>
  <c r="CB101" i="25"/>
  <c r="CF101" i="25"/>
  <c r="CB191" i="25"/>
  <c r="CF191" i="25"/>
  <c r="CB205" i="25"/>
  <c r="CF205" i="25"/>
  <c r="CB204" i="25"/>
  <c r="CF204" i="25"/>
  <c r="CB193" i="25"/>
  <c r="CF193" i="25"/>
  <c r="CA198" i="24"/>
  <c r="CE198" i="24"/>
  <c r="CB141" i="25"/>
  <c r="CF141" i="25"/>
  <c r="CB209" i="25"/>
  <c r="CF209" i="25"/>
  <c r="CF197" i="25"/>
  <c r="CA173" i="24"/>
  <c r="CE173" i="24"/>
  <c r="CB153" i="25"/>
  <c r="CF153" i="25"/>
  <c r="CB81" i="25"/>
  <c r="CF81" i="25"/>
  <c r="CB208" i="25"/>
  <c r="CF208" i="25"/>
  <c r="CA200" i="24"/>
  <c r="CE200" i="24"/>
  <c r="CB100" i="25"/>
  <c r="CF100" i="25"/>
  <c r="CB59" i="25"/>
  <c r="CF59" i="25"/>
  <c r="CA59" i="24"/>
  <c r="CE59" i="24"/>
  <c r="CA197" i="24"/>
  <c r="CE197" i="24"/>
  <c r="CB207" i="25"/>
  <c r="CF207" i="25"/>
  <c r="CA135" i="24"/>
  <c r="CE135" i="24"/>
  <c r="CA72" i="24"/>
  <c r="CE72" i="24"/>
  <c r="CB72" i="25"/>
  <c r="CF72" i="25"/>
  <c r="CB201" i="25"/>
  <c r="CF201" i="25"/>
  <c r="CB139" i="25"/>
  <c r="CF139" i="25"/>
  <c r="CA83" i="24"/>
  <c r="CE83" i="24"/>
  <c r="CA144" i="24"/>
  <c r="CE144" i="24"/>
  <c r="CA196" i="24"/>
  <c r="CE196" i="24"/>
  <c r="BN166" i="24"/>
  <c r="CA164" i="24"/>
  <c r="CE164" i="24"/>
  <c r="CA126" i="24"/>
  <c r="CE126" i="24"/>
  <c r="CB124" i="25"/>
  <c r="CF124" i="25"/>
  <c r="CA25" i="24"/>
  <c r="CE25" i="24"/>
  <c r="CA18" i="24"/>
  <c r="CE18" i="24"/>
  <c r="CB18" i="25"/>
  <c r="CF18" i="25"/>
  <c r="CB119" i="25"/>
  <c r="CF119" i="25"/>
  <c r="CB194" i="25"/>
  <c r="CF194" i="25"/>
  <c r="CB157" i="25"/>
  <c r="CF157" i="25"/>
  <c r="CB186" i="25"/>
  <c r="CF186" i="25"/>
  <c r="CA82" i="24"/>
  <c r="CE82" i="24"/>
  <c r="CA187" i="24"/>
  <c r="CE187" i="24"/>
  <c r="CB131" i="25"/>
  <c r="CF131" i="25"/>
  <c r="CA132" i="24"/>
  <c r="CE132" i="24"/>
  <c r="CB189" i="25"/>
  <c r="CF189" i="25"/>
  <c r="CB76" i="25"/>
  <c r="CF76" i="25"/>
  <c r="CA205" i="24"/>
  <c r="CE205" i="24"/>
  <c r="CB61" i="25"/>
  <c r="CF61" i="25"/>
  <c r="CA152" i="24"/>
  <c r="CE152" i="24"/>
  <c r="CB154" i="25"/>
  <c r="CF154" i="25"/>
  <c r="CB196" i="25"/>
  <c r="CF196" i="25"/>
  <c r="CB99" i="25"/>
  <c r="CF99" i="25"/>
  <c r="CB172" i="25"/>
  <c r="CF172" i="25"/>
  <c r="CB77" i="25"/>
  <c r="CF77" i="25"/>
  <c r="CB162" i="25"/>
  <c r="CF162" i="25"/>
  <c r="CB156" i="25"/>
  <c r="CF156" i="25"/>
  <c r="CA147" i="24"/>
  <c r="CE147" i="24"/>
  <c r="CB140" i="25"/>
  <c r="CF140" i="25"/>
  <c r="CB163" i="25"/>
  <c r="CF163" i="25"/>
  <c r="CB75" i="25"/>
  <c r="CF75" i="25"/>
  <c r="CA163" i="24"/>
  <c r="CE163" i="24"/>
  <c r="CB71" i="25"/>
  <c r="CF71" i="25"/>
  <c r="CB94" i="25"/>
  <c r="CF94" i="25"/>
  <c r="CA101" i="24"/>
  <c r="CE101" i="24"/>
  <c r="CB175" i="25"/>
  <c r="CF175" i="25"/>
  <c r="CA177" i="24"/>
  <c r="CE177" i="24"/>
  <c r="CB169" i="25"/>
  <c r="CF169" i="25"/>
  <c r="CB147" i="25"/>
  <c r="CF147" i="25"/>
  <c r="CB86" i="25"/>
  <c r="CF86" i="25"/>
  <c r="CA96" i="24"/>
  <c r="CE96" i="24"/>
  <c r="CB96" i="25"/>
  <c r="CF96" i="25"/>
  <c r="CA162" i="24"/>
  <c r="CE162" i="24"/>
  <c r="CB160" i="25"/>
  <c r="CF160" i="25"/>
  <c r="CB66" i="25"/>
  <c r="CF66" i="25"/>
  <c r="CB168" i="25"/>
  <c r="CF168" i="25"/>
  <c r="CA78" i="24"/>
  <c r="CE78" i="24"/>
  <c r="CB78" i="25"/>
  <c r="CF78" i="25"/>
  <c r="CB93" i="25"/>
  <c r="CF93" i="25"/>
  <c r="CB182" i="25"/>
  <c r="CF182" i="25"/>
  <c r="CB198" i="25"/>
  <c r="CF198" i="25"/>
  <c r="CA171" i="24"/>
  <c r="CE171" i="24"/>
  <c r="CA186" i="24"/>
  <c r="CE186" i="24"/>
  <c r="CA91" i="24"/>
  <c r="CE91" i="24"/>
  <c r="CB91" i="25"/>
  <c r="CF91" i="25"/>
  <c r="CB202" i="25"/>
  <c r="CF202" i="25"/>
  <c r="CB73" i="25"/>
  <c r="CF73" i="25"/>
  <c r="CA73" i="24"/>
  <c r="CE73" i="24"/>
  <c r="CA170" i="24"/>
  <c r="CE170" i="24"/>
  <c r="CB181" i="25"/>
  <c r="CF181" i="25"/>
  <c r="CA202" i="24"/>
  <c r="CE202" i="24"/>
  <c r="CB152" i="25"/>
  <c r="CF152" i="25"/>
  <c r="CB85" i="25"/>
  <c r="CF85" i="25"/>
  <c r="CA85" i="24"/>
  <c r="CE85" i="24"/>
  <c r="CB69" i="25"/>
  <c r="CF69" i="25"/>
  <c r="CB51" i="25"/>
  <c r="CF51" i="25"/>
  <c r="CB138" i="25"/>
  <c r="CF138" i="25"/>
  <c r="CA51" i="24"/>
  <c r="CE51" i="24"/>
  <c r="CB97" i="25"/>
  <c r="CF97" i="25"/>
  <c r="BX165" i="24"/>
  <c r="BZ165" i="24" s="1"/>
  <c r="CB155" i="25"/>
  <c r="CF155" i="25"/>
  <c r="CA46" i="24"/>
  <c r="CE46" i="24"/>
  <c r="CB130" i="25"/>
  <c r="CF130" i="25"/>
  <c r="CA143" i="24"/>
  <c r="CE143" i="24"/>
  <c r="CB41" i="25"/>
  <c r="CF41" i="25"/>
  <c r="CA138" i="24"/>
  <c r="CE138" i="24"/>
  <c r="CA41" i="24"/>
  <c r="CE41" i="24"/>
  <c r="CB127" i="25"/>
  <c r="CF127" i="25"/>
  <c r="CA180" i="24"/>
  <c r="CE180" i="24"/>
  <c r="CB62" i="25"/>
  <c r="CF62" i="25"/>
  <c r="CB185" i="25"/>
  <c r="CF185" i="25"/>
  <c r="CB192" i="25"/>
  <c r="CF192" i="25"/>
  <c r="CB183" i="25"/>
  <c r="CF183" i="25"/>
  <c r="CB84" i="25"/>
  <c r="CF84" i="25"/>
  <c r="CF158" i="25"/>
  <c r="CB56" i="25"/>
  <c r="CF56" i="25"/>
  <c r="CB68" i="25"/>
  <c r="CF68" i="25"/>
  <c r="CA183" i="24"/>
  <c r="CE183" i="24"/>
  <c r="CB151" i="25"/>
  <c r="CF151" i="25"/>
  <c r="CB200" i="25"/>
  <c r="CF200" i="25"/>
  <c r="CB82" i="25"/>
  <c r="CF82" i="25"/>
  <c r="CB199" i="25"/>
  <c r="CF199" i="25"/>
  <c r="CB45" i="25"/>
  <c r="CF45" i="25"/>
  <c r="CA146" i="24"/>
  <c r="CE146" i="24"/>
  <c r="CF195" i="25"/>
  <c r="CB149" i="25"/>
  <c r="CF149" i="25"/>
  <c r="CB136" i="25"/>
  <c r="CF136" i="25"/>
  <c r="CB32" i="25"/>
  <c r="CF32" i="25"/>
  <c r="CB129" i="25"/>
  <c r="CF129" i="25"/>
  <c r="CB25" i="25"/>
  <c r="CF25" i="25"/>
  <c r="CB31" i="25"/>
  <c r="CF31" i="25"/>
  <c r="CA89" i="24"/>
  <c r="CE89" i="24"/>
  <c r="CB52" i="25"/>
  <c r="CF52" i="25"/>
  <c r="CB60" i="25"/>
  <c r="CF60" i="25"/>
  <c r="CA151" i="24"/>
  <c r="CE151" i="24"/>
  <c r="CA60" i="24"/>
  <c r="CE60" i="24"/>
  <c r="CB145" i="25"/>
  <c r="CF145" i="25"/>
  <c r="CB171" i="25"/>
  <c r="CF171" i="25"/>
  <c r="CA175" i="24"/>
  <c r="CE175" i="24"/>
  <c r="CB159" i="25"/>
  <c r="CF159" i="25"/>
  <c r="CA87" i="24"/>
  <c r="CE87" i="24"/>
  <c r="CA157" i="24"/>
  <c r="CE157" i="24"/>
  <c r="CB70" i="25"/>
  <c r="CF70" i="25"/>
  <c r="CB150" i="25"/>
  <c r="CF150" i="25"/>
  <c r="CA70" i="24"/>
  <c r="CE70" i="24"/>
  <c r="CB83" i="25"/>
  <c r="CF83" i="25"/>
  <c r="CB46" i="25"/>
  <c r="CF46" i="25"/>
  <c r="CB148" i="25"/>
  <c r="CF148" i="25"/>
  <c r="CB142" i="25"/>
  <c r="CF142" i="25"/>
  <c r="CB40" i="25"/>
  <c r="CF40" i="25"/>
  <c r="CA68" i="24"/>
  <c r="CE68" i="24"/>
  <c r="CB65" i="25"/>
  <c r="CF65" i="25"/>
  <c r="CB165" i="25"/>
  <c r="CF165" i="25"/>
  <c r="CB87" i="25"/>
  <c r="CF87" i="25"/>
  <c r="CB188" i="25"/>
  <c r="CF188" i="25"/>
  <c r="CB180" i="25"/>
  <c r="CF180" i="25"/>
  <c r="CB187" i="25"/>
  <c r="CF187" i="25"/>
  <c r="CB121" i="25"/>
  <c r="CF121" i="25"/>
  <c r="CB20" i="25"/>
  <c r="CF20" i="25"/>
  <c r="CA122" i="24"/>
  <c r="CE122" i="24"/>
  <c r="CA54" i="24"/>
  <c r="CE54" i="24"/>
  <c r="CB54" i="25"/>
  <c r="CF54" i="25"/>
  <c r="CB63" i="25"/>
  <c r="CF63" i="25"/>
  <c r="CB143" i="25"/>
  <c r="CF143" i="25"/>
  <c r="CB105" i="25"/>
  <c r="CF105" i="25"/>
  <c r="CA105" i="24"/>
  <c r="CE105" i="24"/>
  <c r="CB161" i="25"/>
  <c r="CF161" i="25"/>
  <c r="CA185" i="24"/>
  <c r="CE185" i="24"/>
  <c r="CB178" i="25"/>
  <c r="CF178" i="25"/>
  <c r="CB184" i="25"/>
  <c r="CF184" i="25"/>
  <c r="CB167" i="25"/>
  <c r="CF167" i="25"/>
  <c r="CF176" i="25"/>
  <c r="CB179" i="25"/>
  <c r="CF179" i="25"/>
  <c r="CB89" i="25"/>
  <c r="CF89" i="25"/>
  <c r="CA204" i="24"/>
  <c r="CE204" i="24"/>
  <c r="CB98" i="25"/>
  <c r="CF98" i="25"/>
  <c r="CB177" i="25"/>
  <c r="CF177" i="25"/>
  <c r="CB203" i="25"/>
  <c r="CF203" i="25"/>
  <c r="CB166" i="25"/>
  <c r="CF166" i="25"/>
  <c r="CA179" i="24"/>
  <c r="CE179" i="24"/>
  <c r="CB74" i="25"/>
  <c r="CF74" i="25"/>
  <c r="CB146" i="25"/>
  <c r="CF146" i="25"/>
  <c r="CA154" i="24"/>
  <c r="CE154" i="24"/>
  <c r="CA74" i="24"/>
  <c r="CE74" i="24"/>
  <c r="CB164" i="25"/>
  <c r="CF164" i="25"/>
  <c r="CA190" i="24"/>
  <c r="CE190" i="24"/>
  <c r="CB170" i="25"/>
  <c r="CF170" i="25"/>
  <c r="BX167" i="24"/>
  <c r="BZ167" i="24" s="1"/>
  <c r="CA139" i="24"/>
  <c r="CE139" i="24"/>
  <c r="CA50" i="24"/>
  <c r="CE50" i="24"/>
  <c r="CB44" i="25"/>
  <c r="CF44" i="25"/>
  <c r="CB135" i="25"/>
  <c r="CF135" i="25"/>
  <c r="CB47" i="25"/>
  <c r="CF47" i="25"/>
  <c r="CB67" i="25"/>
  <c r="CF67" i="25"/>
  <c r="CA160" i="24"/>
  <c r="CE160" i="24"/>
  <c r="CB144" i="25"/>
  <c r="CF144" i="25"/>
  <c r="CB174" i="25"/>
  <c r="CF174" i="25"/>
  <c r="CB103" i="25"/>
  <c r="CF103" i="25"/>
  <c r="CA207" i="24"/>
  <c r="CE207" i="24"/>
  <c r="CB206" i="25"/>
  <c r="CF206" i="25"/>
  <c r="CB173" i="25"/>
  <c r="CF173" i="25"/>
  <c r="CB102" i="25"/>
  <c r="CF102" i="25"/>
  <c r="CA63" i="24"/>
  <c r="BX115" i="24"/>
  <c r="BZ115" i="24" s="1"/>
  <c r="CA115" i="24" s="1"/>
  <c r="CA150" i="24"/>
  <c r="CE150" i="24"/>
  <c r="BY110" i="25"/>
  <c r="CA110" i="25" s="1"/>
  <c r="CB110" i="25" s="1"/>
  <c r="BM110" i="25"/>
  <c r="BX86" i="24"/>
  <c r="BZ86" i="24" s="1"/>
  <c r="BX97" i="24"/>
  <c r="BZ97" i="24" s="1"/>
  <c r="BN119" i="24"/>
  <c r="BX119" i="24"/>
  <c r="BZ119" i="24" s="1"/>
  <c r="BX168" i="24"/>
  <c r="BZ168" i="24" s="1"/>
  <c r="BN168" i="24"/>
  <c r="BX156" i="24"/>
  <c r="BZ156" i="24" s="1"/>
  <c r="BN156" i="24"/>
  <c r="BN195" i="24"/>
  <c r="BX195" i="24"/>
  <c r="BZ195" i="24" s="1"/>
  <c r="BN155" i="24"/>
  <c r="BX155" i="24"/>
  <c r="BZ155" i="24" s="1"/>
  <c r="BX181" i="24"/>
  <c r="BZ181" i="24" s="1"/>
  <c r="CA181" i="24" s="1"/>
  <c r="BW181" i="24"/>
  <c r="BX176" i="24"/>
  <c r="BZ176" i="24" s="1"/>
  <c r="BN176" i="24"/>
  <c r="BX206" i="24"/>
  <c r="BZ206" i="24" s="1"/>
  <c r="BN206" i="24"/>
  <c r="BX210" i="24"/>
  <c r="BZ210" i="24" s="1"/>
  <c r="BN210" i="24"/>
  <c r="BX130" i="24"/>
  <c r="BZ130" i="24" s="1"/>
  <c r="BN130" i="24"/>
  <c r="BX192" i="24"/>
  <c r="BZ192" i="24" s="1"/>
  <c r="BN192" i="24"/>
  <c r="BX189" i="24"/>
  <c r="BZ189" i="24" s="1"/>
  <c r="BW189" i="24"/>
  <c r="BX194" i="24"/>
  <c r="BZ194" i="24" s="1"/>
  <c r="BN194" i="24"/>
  <c r="BX136" i="24"/>
  <c r="BZ136" i="24" s="1"/>
  <c r="BN136" i="24"/>
  <c r="BN159" i="24"/>
  <c r="BX159" i="24"/>
  <c r="BZ159" i="24" s="1"/>
  <c r="CA159" i="24" s="1"/>
  <c r="BN203" i="24"/>
  <c r="BX203" i="24"/>
  <c r="BZ203" i="24" s="1"/>
  <c r="BX141" i="24"/>
  <c r="BZ141" i="24" s="1"/>
  <c r="BN141" i="24"/>
  <c r="BX188" i="24"/>
  <c r="BZ188" i="24" s="1"/>
  <c r="BN188" i="24"/>
  <c r="BX193" i="24"/>
  <c r="BZ193" i="24" s="1"/>
  <c r="BN193" i="24"/>
  <c r="BX149" i="24"/>
  <c r="BZ149" i="24" s="1"/>
  <c r="BN149" i="24"/>
  <c r="BX169" i="24"/>
  <c r="BZ169" i="24" s="1"/>
  <c r="BN169" i="24"/>
  <c r="BX161" i="24"/>
  <c r="BZ161" i="24" s="1"/>
  <c r="BN161" i="24"/>
  <c r="BN123" i="24"/>
  <c r="BX123" i="24"/>
  <c r="BZ123" i="24" s="1"/>
  <c r="CA123" i="24" s="1"/>
  <c r="BX110" i="24"/>
  <c r="BZ110" i="24" s="1"/>
  <c r="CA110" i="24" s="1"/>
  <c r="BN110" i="24"/>
  <c r="BX112" i="24"/>
  <c r="BZ112" i="24" s="1"/>
  <c r="CA112" i="24" s="1"/>
  <c r="BN112" i="24"/>
  <c r="BX172" i="24"/>
  <c r="BZ172" i="24" s="1"/>
  <c r="BN172" i="24"/>
  <c r="BN191" i="24"/>
  <c r="BX191" i="24"/>
  <c r="BZ191" i="24" s="1"/>
  <c r="BX134" i="24"/>
  <c r="BZ134" i="24" s="1"/>
  <c r="CA134" i="24" s="1"/>
  <c r="BN134" i="24"/>
  <c r="BX209" i="24"/>
  <c r="BZ209" i="24" s="1"/>
  <c r="BN209" i="24"/>
  <c r="BX182" i="24"/>
  <c r="BZ182" i="24" s="1"/>
  <c r="BW182" i="24"/>
  <c r="BX114" i="24"/>
  <c r="BZ114" i="24" s="1"/>
  <c r="CA114" i="24" s="1"/>
  <c r="BN114" i="24"/>
  <c r="BN199" i="24"/>
  <c r="BX199" i="24"/>
  <c r="BZ199" i="24" s="1"/>
  <c r="BX208" i="24"/>
  <c r="BZ208" i="24" s="1"/>
  <c r="BN208" i="24"/>
  <c r="BN73" i="24"/>
  <c r="BN51" i="24"/>
  <c r="BX33" i="24"/>
  <c r="BZ33" i="24" s="1"/>
  <c r="CA33" i="24" s="1"/>
  <c r="BX49" i="24"/>
  <c r="BZ49" i="24" s="1"/>
  <c r="CA49" i="24" s="1"/>
  <c r="BW23" i="24"/>
  <c r="BX27" i="24"/>
  <c r="BZ27" i="24" s="1"/>
  <c r="CA27" i="24" s="1"/>
  <c r="BW64" i="24"/>
  <c r="BX88" i="24"/>
  <c r="BZ88" i="24" s="1"/>
  <c r="BX81" i="24"/>
  <c r="BZ81" i="24" s="1"/>
  <c r="BX65" i="24"/>
  <c r="BZ65" i="24" s="1"/>
  <c r="BX35" i="24"/>
  <c r="BZ35" i="24" s="1"/>
  <c r="BI71" i="24"/>
  <c r="BS71" i="24"/>
  <c r="BW71" i="24" s="1"/>
  <c r="BI13" i="24"/>
  <c r="BS13" i="24"/>
  <c r="BW13" i="24" s="1"/>
  <c r="BI15" i="24"/>
  <c r="BS15" i="24"/>
  <c r="BW15" i="24" s="1"/>
  <c r="BI102" i="24"/>
  <c r="BS102" i="24"/>
  <c r="BW102" i="24" s="1"/>
  <c r="BI48" i="24"/>
  <c r="BS48" i="24"/>
  <c r="BW48" i="24" s="1"/>
  <c r="BI93" i="24"/>
  <c r="BS93" i="24"/>
  <c r="BW93" i="24" s="1"/>
  <c r="BS37" i="24"/>
  <c r="BW37" i="24" s="1"/>
  <c r="BI37" i="24"/>
  <c r="BI8" i="24"/>
  <c r="BS8" i="24"/>
  <c r="BW8" i="24" s="1"/>
  <c r="BI94" i="24"/>
  <c r="BS94" i="24"/>
  <c r="BW94" i="24" s="1"/>
  <c r="BI16" i="24"/>
  <c r="BS16" i="24"/>
  <c r="BW16" i="24" s="1"/>
  <c r="BI45" i="24"/>
  <c r="BS45" i="24"/>
  <c r="BW45" i="24" s="1"/>
  <c r="BI30" i="24"/>
  <c r="BS30" i="24"/>
  <c r="BW30" i="24" s="1"/>
  <c r="BI61" i="24"/>
  <c r="BS61" i="24"/>
  <c r="BW61" i="24" s="1"/>
  <c r="BI76" i="24"/>
  <c r="BS76" i="24"/>
  <c r="BW76" i="24" s="1"/>
  <c r="BI103" i="24"/>
  <c r="BS103" i="24"/>
  <c r="BW103" i="24" s="1"/>
  <c r="BS98" i="24"/>
  <c r="BW98" i="24" s="1"/>
  <c r="BI98" i="24"/>
  <c r="BI99" i="24"/>
  <c r="BS99" i="24"/>
  <c r="BW99" i="24" s="1"/>
  <c r="BI17" i="24"/>
  <c r="BS17" i="24"/>
  <c r="BW17" i="24" s="1"/>
  <c r="BI47" i="24"/>
  <c r="BS47" i="24"/>
  <c r="BW47" i="24" s="1"/>
  <c r="BI9" i="24"/>
  <c r="BS9" i="24"/>
  <c r="BW9" i="24" s="1"/>
  <c r="BI12" i="24"/>
  <c r="BS12" i="24"/>
  <c r="BW12" i="24" s="1"/>
  <c r="BS44" i="24"/>
  <c r="BW44" i="24" s="1"/>
  <c r="BI44" i="24"/>
  <c r="BI24" i="24"/>
  <c r="BS24" i="24"/>
  <c r="BW24" i="24" s="1"/>
  <c r="BI77" i="24"/>
  <c r="BS77" i="24"/>
  <c r="BW77" i="24" s="1"/>
  <c r="BS38" i="24"/>
  <c r="BW38" i="24" s="1"/>
  <c r="BI38" i="24"/>
  <c r="BS66" i="24"/>
  <c r="BW66" i="24" s="1"/>
  <c r="BI66" i="24"/>
  <c r="BI57" i="24"/>
  <c r="BS57" i="24"/>
  <c r="BW57" i="24" s="1"/>
  <c r="BI62" i="24"/>
  <c r="BS62" i="24"/>
  <c r="BW62" i="24" s="1"/>
  <c r="BS58" i="24"/>
  <c r="BW58" i="24" s="1"/>
  <c r="BI58" i="24"/>
  <c r="BI80" i="24"/>
  <c r="BS80" i="24"/>
  <c r="BW80" i="24" s="1"/>
  <c r="BS20" i="24"/>
  <c r="BW20" i="24" s="1"/>
  <c r="BI20" i="24"/>
  <c r="BI26" i="24"/>
  <c r="BS26" i="24"/>
  <c r="BW26" i="24" s="1"/>
  <c r="BI11" i="24"/>
  <c r="BS11" i="24"/>
  <c r="BW11" i="24" s="1"/>
  <c r="BI39" i="24"/>
  <c r="BS39" i="24"/>
  <c r="BW39" i="24" s="1"/>
  <c r="BI84" i="24"/>
  <c r="BS84" i="24"/>
  <c r="BW84" i="24" s="1"/>
  <c r="BI67" i="24"/>
  <c r="BS67" i="24"/>
  <c r="BW67" i="24" s="1"/>
  <c r="BI75" i="24"/>
  <c r="BS75" i="24"/>
  <c r="BW75" i="24" s="1"/>
  <c r="BI52" i="24"/>
  <c r="BS52" i="24"/>
  <c r="BW52" i="24" s="1"/>
  <c r="BS90" i="24"/>
  <c r="BW90" i="24" s="1"/>
  <c r="BI90" i="24"/>
  <c r="BI6" i="24"/>
  <c r="BS6" i="24"/>
  <c r="BW6" i="24" s="1"/>
  <c r="BI7" i="24"/>
  <c r="BS7" i="24"/>
  <c r="BW7" i="24" s="1"/>
  <c r="B160" i="2"/>
  <c r="C45" i="16" s="1"/>
  <c r="BM5" i="25"/>
  <c r="BY5" i="25"/>
  <c r="CA5" i="25" s="1"/>
  <c r="CB5" i="25" s="1"/>
  <c r="BX5" i="25"/>
  <c r="CA206" i="24" l="1"/>
  <c r="CE206" i="24"/>
  <c r="BX43" i="24"/>
  <c r="BZ43" i="24" s="1"/>
  <c r="CA43" i="24" s="1"/>
  <c r="CA130" i="24"/>
  <c r="CE130" i="24"/>
  <c r="CA136" i="24"/>
  <c r="CE136" i="24"/>
  <c r="CA35" i="24"/>
  <c r="CE35" i="24"/>
  <c r="CA65" i="24"/>
  <c r="CE65" i="24"/>
  <c r="CA165" i="24"/>
  <c r="CE165" i="24"/>
  <c r="CA81" i="24"/>
  <c r="CE81" i="24"/>
  <c r="CA119" i="24"/>
  <c r="CE119" i="24"/>
  <c r="CA88" i="24"/>
  <c r="CE88" i="24"/>
  <c r="CA156" i="24"/>
  <c r="CE156" i="24"/>
  <c r="CA161" i="24"/>
  <c r="CE161" i="24"/>
  <c r="CA193" i="24"/>
  <c r="CE193" i="24"/>
  <c r="CA172" i="24"/>
  <c r="CE172" i="24"/>
  <c r="CA189" i="24"/>
  <c r="CE189" i="24"/>
  <c r="CA141" i="24"/>
  <c r="CE141" i="24"/>
  <c r="CA86" i="24"/>
  <c r="CE86" i="24"/>
  <c r="CA188" i="24"/>
  <c r="CE188" i="24"/>
  <c r="CA208" i="24"/>
  <c r="CE208" i="24"/>
  <c r="CA167" i="24"/>
  <c r="CE167" i="24"/>
  <c r="CA155" i="24"/>
  <c r="CE155" i="24"/>
  <c r="CA97" i="24"/>
  <c r="CE97" i="24"/>
  <c r="CA182" i="24"/>
  <c r="CE182" i="24"/>
  <c r="CA176" i="24"/>
  <c r="CE176" i="24"/>
  <c r="CA195" i="24"/>
  <c r="CE195" i="24"/>
  <c r="CA191" i="24"/>
  <c r="CE191" i="24"/>
  <c r="CA203" i="24"/>
  <c r="CE203" i="24"/>
  <c r="CA192" i="24"/>
  <c r="CE192" i="24"/>
  <c r="CA169" i="24"/>
  <c r="CE169" i="24"/>
  <c r="B247" i="2"/>
  <c r="CA149" i="24"/>
  <c r="CE149" i="24"/>
  <c r="CA210" i="24"/>
  <c r="CE210" i="24"/>
  <c r="CA194" i="24"/>
  <c r="CE194" i="24"/>
  <c r="CA209" i="24"/>
  <c r="CE209" i="24"/>
  <c r="CA199" i="24"/>
  <c r="CE199" i="24"/>
  <c r="CF211" i="25"/>
  <c r="CA168" i="24"/>
  <c r="CE168" i="24"/>
  <c r="BN71" i="24"/>
  <c r="BX71" i="24"/>
  <c r="BZ71" i="24" s="1"/>
  <c r="BN13" i="24"/>
  <c r="BX13" i="24"/>
  <c r="BZ13" i="24" s="1"/>
  <c r="CA13" i="24" s="1"/>
  <c r="BN15" i="24"/>
  <c r="BX15" i="24"/>
  <c r="BZ15" i="24" s="1"/>
  <c r="CA15" i="24" s="1"/>
  <c r="B249" i="2" s="1"/>
  <c r="BN48" i="24"/>
  <c r="BX48" i="24"/>
  <c r="BZ48" i="24" s="1"/>
  <c r="BN102" i="24"/>
  <c r="BX102" i="24"/>
  <c r="BZ102" i="24" s="1"/>
  <c r="BN93" i="24"/>
  <c r="BX93" i="24"/>
  <c r="BZ93" i="24" s="1"/>
  <c r="BX37" i="24"/>
  <c r="BZ37" i="24" s="1"/>
  <c r="CA37" i="24" s="1"/>
  <c r="BN37" i="24"/>
  <c r="BN8" i="24"/>
  <c r="BX8" i="24"/>
  <c r="BZ8" i="24" s="1"/>
  <c r="CA8" i="24" s="1"/>
  <c r="BN94" i="24"/>
  <c r="BX94" i="24"/>
  <c r="BZ94" i="24" s="1"/>
  <c r="CA94" i="24" s="1"/>
  <c r="BN20" i="24"/>
  <c r="BX20" i="24"/>
  <c r="BZ20" i="24" s="1"/>
  <c r="BX58" i="24"/>
  <c r="BZ58" i="24" s="1"/>
  <c r="CA58" i="24" s="1"/>
  <c r="BN58" i="24"/>
  <c r="BX38" i="24"/>
  <c r="BZ38" i="24" s="1"/>
  <c r="BN38" i="24"/>
  <c r="BN84" i="24"/>
  <c r="BX84" i="24"/>
  <c r="BZ84" i="24" s="1"/>
  <c r="BN24" i="24"/>
  <c r="BX24" i="24"/>
  <c r="BZ24" i="24" s="1"/>
  <c r="CA24" i="24" s="1"/>
  <c r="BN103" i="24"/>
  <c r="BX103" i="24"/>
  <c r="BZ103" i="24" s="1"/>
  <c r="BX98" i="24"/>
  <c r="BZ98" i="24" s="1"/>
  <c r="BN98" i="24"/>
  <c r="BN75" i="24"/>
  <c r="BX75" i="24"/>
  <c r="BZ75" i="24" s="1"/>
  <c r="BN11" i="24"/>
  <c r="BX11" i="24"/>
  <c r="BZ11" i="24" s="1"/>
  <c r="CA11" i="24" s="1"/>
  <c r="BN57" i="24"/>
  <c r="BX57" i="24"/>
  <c r="BZ57" i="24" s="1"/>
  <c r="CA57" i="24" s="1"/>
  <c r="BN12" i="24"/>
  <c r="BX12" i="24"/>
  <c r="BZ12" i="24" s="1"/>
  <c r="CA12" i="24" s="1"/>
  <c r="BN47" i="24"/>
  <c r="BX47" i="24"/>
  <c r="BZ47" i="24" s="1"/>
  <c r="BN99" i="24"/>
  <c r="BX99" i="24"/>
  <c r="BZ99" i="24" s="1"/>
  <c r="CA99" i="24" s="1"/>
  <c r="BN61" i="24"/>
  <c r="BX61" i="24"/>
  <c r="BZ61" i="24" s="1"/>
  <c r="BN45" i="24"/>
  <c r="BX45" i="24"/>
  <c r="BZ45" i="24" s="1"/>
  <c r="CE45" i="24" s="1"/>
  <c r="BX66" i="24"/>
  <c r="BZ66" i="24" s="1"/>
  <c r="BN66" i="24"/>
  <c r="BX44" i="24"/>
  <c r="BZ44" i="24" s="1"/>
  <c r="CA44" i="24" s="1"/>
  <c r="BN44" i="24"/>
  <c r="BX90" i="24"/>
  <c r="BZ90" i="24" s="1"/>
  <c r="BN90" i="24"/>
  <c r="BN52" i="24"/>
  <c r="BX52" i="24"/>
  <c r="BZ52" i="24" s="1"/>
  <c r="BN67" i="24"/>
  <c r="BX67" i="24"/>
  <c r="BZ67" i="24" s="1"/>
  <c r="BN39" i="24"/>
  <c r="BX39" i="24"/>
  <c r="BZ39" i="24" s="1"/>
  <c r="BN26" i="24"/>
  <c r="BX26" i="24"/>
  <c r="BZ26" i="24" s="1"/>
  <c r="CA26" i="24" s="1"/>
  <c r="BN80" i="24"/>
  <c r="BX80" i="24"/>
  <c r="BZ80" i="24" s="1"/>
  <c r="BN62" i="24"/>
  <c r="BX62" i="24"/>
  <c r="BZ62" i="24" s="1"/>
  <c r="BN77" i="24"/>
  <c r="BX77" i="24"/>
  <c r="BZ77" i="24" s="1"/>
  <c r="BN9" i="24"/>
  <c r="BX9" i="24"/>
  <c r="BZ9" i="24" s="1"/>
  <c r="CA9" i="24" s="1"/>
  <c r="BN17" i="24"/>
  <c r="BX17" i="24"/>
  <c r="BZ17" i="24" s="1"/>
  <c r="CA17" i="24" s="1"/>
  <c r="BN76" i="24"/>
  <c r="BX76" i="24"/>
  <c r="BZ76" i="24" s="1"/>
  <c r="CA76" i="24" s="1"/>
  <c r="BN30" i="24"/>
  <c r="BX30" i="24"/>
  <c r="BZ30" i="24" s="1"/>
  <c r="CA30" i="24" s="1"/>
  <c r="BN16" i="24"/>
  <c r="BX16" i="24"/>
  <c r="BZ16" i="24" s="1"/>
  <c r="CA16" i="24" s="1"/>
  <c r="BN7" i="24"/>
  <c r="BX7" i="24"/>
  <c r="BZ7" i="24" s="1"/>
  <c r="CA7" i="24" s="1"/>
  <c r="BN6" i="24"/>
  <c r="BX6" i="24"/>
  <c r="BZ6" i="24" s="1"/>
  <c r="CA6" i="24" s="1"/>
  <c r="B226" i="2"/>
  <c r="D45" i="16" s="1"/>
  <c r="E33" i="1"/>
  <c r="A226" i="2"/>
  <c r="CA84" i="24" l="1"/>
  <c r="CE84" i="24"/>
  <c r="CA38" i="24"/>
  <c r="CE38" i="24"/>
  <c r="CA90" i="24"/>
  <c r="CE90" i="24"/>
  <c r="CA80" i="24"/>
  <c r="CE80" i="24"/>
  <c r="CA77" i="24"/>
  <c r="CE77" i="24"/>
  <c r="CA102" i="24"/>
  <c r="CE102" i="24"/>
  <c r="CA39" i="24"/>
  <c r="CE39" i="24"/>
  <c r="CA48" i="24"/>
  <c r="CE48" i="24"/>
  <c r="CA61" i="24"/>
  <c r="CE61" i="24"/>
  <c r="CA62" i="24"/>
  <c r="CE62" i="24"/>
  <c r="CA52" i="24"/>
  <c r="CE52" i="24"/>
  <c r="CA75" i="24"/>
  <c r="CE75" i="24"/>
  <c r="CA103" i="24"/>
  <c r="CE103" i="24"/>
  <c r="CA71" i="24"/>
  <c r="CE71" i="24"/>
  <c r="CA66" i="24"/>
  <c r="CE66" i="24"/>
  <c r="CA93" i="24"/>
  <c r="CE93" i="24"/>
  <c r="CA47" i="24"/>
  <c r="CE47" i="24"/>
  <c r="CA98" i="24"/>
  <c r="CE98" i="24"/>
  <c r="CA20" i="24"/>
  <c r="CE20" i="24"/>
  <c r="CF211" i="24"/>
  <c r="CA67" i="24"/>
  <c r="CE67" i="24"/>
  <c r="CA45"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Timothy Hegarty</author>
    <author>Hegarty, Timothy</author>
  </authors>
  <commentList>
    <comment ref="A3" authorId="0" shapeId="0" xr:uid="{00000000-0006-0000-0000-000001000000}">
      <text>
        <r>
          <rPr>
            <b/>
            <sz val="11"/>
            <color indexed="10"/>
            <rFont val="Tahoma"/>
            <family val="2"/>
          </rPr>
          <t>Welcome to the LM25183/4-Q1 Design Tool</t>
        </r>
        <r>
          <rPr>
            <sz val="9"/>
            <color indexed="81"/>
            <rFont val="Tahoma"/>
            <family val="2"/>
          </rPr>
          <t xml:space="preserve">
This stand-alone tool facilitates and assists the power supply engineer with design of an isolated DC/DC regulator based on the </t>
        </r>
        <r>
          <rPr>
            <b/>
            <sz val="9"/>
            <color indexed="81"/>
            <rFont val="Tahoma"/>
            <family val="2"/>
          </rPr>
          <t>LM25183/4-Q1 low I</t>
        </r>
        <r>
          <rPr>
            <b/>
            <vertAlign val="subscript"/>
            <sz val="9"/>
            <color indexed="81"/>
            <rFont val="Tahoma"/>
            <family val="2"/>
          </rPr>
          <t>Q</t>
        </r>
        <r>
          <rPr>
            <b/>
            <sz val="9"/>
            <color indexed="81"/>
            <rFont val="Tahoma"/>
            <family val="2"/>
          </rPr>
          <t xml:space="preserve"> PSR flyback converter</t>
        </r>
        <r>
          <rPr>
            <sz val="9"/>
            <color indexed="81"/>
            <rFont val="Tahoma"/>
            <family val="2"/>
          </rPr>
          <t xml:space="preserve">. As such, the user can expeditiously arrive at an optimized design by virtue of the following:
- Select transformer parameters including turns ratio and mag inductance
- Determine input and output capacitances for specified ripple requirements (1% Vout and 5% Vin)
- Select components for feedback, soft-start, input UVLO, and temperature compensation
- Advise componnets (usually optional) for SW voltage clamp and and flyback diode snubber
- Optimize the design using efficiency and solution size as key performance metrics
- Inspect converter efficiency and switching frequency over load and line
- Analyze efficiency based on selected component parameters
- Review auto-generated schematic and BOM list
</t>
        </r>
        <r>
          <rPr>
            <b/>
            <sz val="9"/>
            <color indexed="81"/>
            <rFont val="Tahoma"/>
            <family val="2"/>
          </rPr>
          <t>IMPORTANT:</t>
        </r>
        <r>
          <rPr>
            <sz val="9"/>
            <color indexed="81"/>
            <rFont val="Tahoma"/>
            <family val="2"/>
          </rPr>
          <t xml:space="preserve"> You must enable macros if Microsoft EXCEL asks as the file is being opened.
U.S. English notation is used throughout.
</t>
        </r>
        <r>
          <rPr>
            <u/>
            <sz val="9"/>
            <color indexed="12"/>
            <rFont val="Tahoma"/>
            <family val="2"/>
          </rPr>
          <t>http://www.ti.com/widevin/</t>
        </r>
        <r>
          <rPr>
            <sz val="9"/>
            <color indexed="81"/>
            <rFont val="Tahoma"/>
            <family val="2"/>
          </rPr>
          <t xml:space="preserve">
</t>
        </r>
        <r>
          <rPr>
            <b/>
            <sz val="9"/>
            <color indexed="81"/>
            <rFont val="Tahoma"/>
            <family val="2"/>
          </rPr>
          <t xml:space="preserve">
Rev A, Timothy Hegarty, Texas Instruments, Inc.</t>
        </r>
      </text>
    </comment>
    <comment ref="U3" authorId="0" shapeId="0" xr:uid="{00000000-0006-0000-0000-000002000000}">
      <text>
        <r>
          <rPr>
            <b/>
            <u/>
            <sz val="11"/>
            <color indexed="10"/>
            <rFont val="Tahoma"/>
            <family val="2"/>
          </rPr>
          <t>Texas Instruments</t>
        </r>
        <r>
          <rPr>
            <sz val="11"/>
            <color indexed="10"/>
            <rFont val="Tahoma"/>
            <family val="2"/>
          </rPr>
          <t>:</t>
        </r>
        <r>
          <rPr>
            <sz val="9"/>
            <color indexed="81"/>
            <rFont val="Tahoma"/>
            <family val="2"/>
          </rPr>
          <t xml:space="preserve">
</t>
        </r>
        <r>
          <rPr>
            <b/>
            <sz val="9"/>
            <color indexed="81"/>
            <rFont val="Tahoma"/>
            <family val="2"/>
          </rPr>
          <t>Limited Use Policy</t>
        </r>
        <r>
          <rPr>
            <sz val="9"/>
            <color indexed="81"/>
            <rFont val="Tahoma"/>
            <family val="2"/>
          </rPr>
          <t xml:space="preserve">
You must treat this software and documentation like any other copyrighted material.
</t>
        </r>
        <r>
          <rPr>
            <b/>
            <sz val="9"/>
            <color indexed="81"/>
            <rFont val="Tahoma"/>
            <family val="2"/>
          </rPr>
          <t>You may not:</t>
        </r>
        <r>
          <rPr>
            <sz val="9"/>
            <color indexed="81"/>
            <rFont val="Tahoma"/>
            <family val="2"/>
          </rPr>
          <t xml:space="preserve">
- Copy documentation of the software
- Copy this software except to make archival or backup copies
- Reverse engineer, disassemble, decompile or make any attempt to discover the source code of the software 
- Place the software onto a server so that it is accessible via a public network such as the internet 
- Sublicense, rent, lease or lend any portion of the software or documentation.
Texas Instruments is not responsible for the validity of any design created with this design tool and recommends that all designs be fully tested and carefully verified. Refer to the LM25183/4 product datasheet and EVM user's guide for more details.
</t>
        </r>
        <r>
          <rPr>
            <b/>
            <sz val="9"/>
            <color indexed="81"/>
            <rFont val="Tahoma"/>
            <family val="2"/>
          </rPr>
          <t>Rev A, Timothy Hegarty, Texas Instruments, Inc.</t>
        </r>
      </text>
    </comment>
    <comment ref="F6" authorId="0" shapeId="0" xr:uid="{00000000-0006-0000-0000-000003000000}">
      <text>
        <r>
          <rPr>
            <b/>
            <u/>
            <sz val="9"/>
            <color indexed="81"/>
            <rFont val="Tahoma"/>
            <family val="2"/>
          </rPr>
          <t>Minimum Input Voltage</t>
        </r>
        <r>
          <rPr>
            <b/>
            <sz val="9"/>
            <color indexed="81"/>
            <rFont val="Tahoma"/>
            <family val="2"/>
          </rPr>
          <t>:</t>
        </r>
        <r>
          <rPr>
            <sz val="9"/>
            <color indexed="81"/>
            <rFont val="Tahoma"/>
            <family val="2"/>
          </rPr>
          <t xml:space="preserve">
Enter the minimum input operating voltage.
The LM25183/4 input voltage operating range is 4.5V to 42V.
</t>
        </r>
        <r>
          <rPr>
            <b/>
            <sz val="9"/>
            <color indexed="81"/>
            <rFont val="Tahoma"/>
            <family val="2"/>
          </rPr>
          <t>The text in this cell is red if:</t>
        </r>
        <r>
          <rPr>
            <sz val="9"/>
            <color indexed="81"/>
            <rFont val="Tahoma"/>
            <family val="2"/>
          </rPr>
          <t xml:space="preserve">
-The input voltage is above </t>
        </r>
        <r>
          <rPr>
            <b/>
            <sz val="9"/>
            <color indexed="10"/>
            <rFont val="Tahoma"/>
            <family val="2"/>
          </rPr>
          <t>42V</t>
        </r>
        <r>
          <rPr>
            <sz val="9"/>
            <color indexed="81"/>
            <rFont val="Tahoma"/>
            <family val="2"/>
          </rPr>
          <t xml:space="preserve">
-The input voltage is below </t>
        </r>
        <r>
          <rPr>
            <b/>
            <sz val="9"/>
            <color indexed="10"/>
            <rFont val="Tahoma"/>
            <family val="2"/>
          </rPr>
          <t>4.5V</t>
        </r>
      </text>
    </comment>
    <comment ref="M6" authorId="0" shapeId="0" xr:uid="{00000000-0006-0000-0000-000004000000}">
      <text>
        <r>
          <rPr>
            <b/>
            <u/>
            <sz val="9"/>
            <color indexed="81"/>
            <rFont val="Tahoma"/>
            <family val="2"/>
          </rPr>
          <t>Minimum Magnetizing Inductance</t>
        </r>
        <r>
          <rPr>
            <b/>
            <sz val="9"/>
            <color indexed="81"/>
            <rFont val="Tahoma"/>
            <family val="2"/>
          </rPr>
          <t xml:space="preserve">:
</t>
        </r>
        <r>
          <rPr>
            <sz val="9"/>
            <color indexed="81"/>
            <rFont val="Tahoma"/>
            <family val="2"/>
          </rPr>
          <t>The minimum magnetizing inductance is set by the off-time constraint at light loads (in FFM). The requirement is that the magnetizing current must not decrease to zero in less than 500ns.</t>
        </r>
      </text>
    </comment>
    <comment ref="F7" authorId="0" shapeId="0" xr:uid="{00000000-0006-0000-0000-000005000000}">
      <text>
        <r>
          <rPr>
            <b/>
            <u/>
            <sz val="9"/>
            <color indexed="81"/>
            <rFont val="Tahoma"/>
            <family val="2"/>
          </rPr>
          <t>Nominal Input Voltage</t>
        </r>
        <r>
          <rPr>
            <b/>
            <sz val="9"/>
            <color indexed="81"/>
            <rFont val="Tahoma"/>
            <family val="2"/>
          </rPr>
          <t>:</t>
        </r>
        <r>
          <rPr>
            <sz val="9"/>
            <color indexed="81"/>
            <rFont val="Tahoma"/>
            <family val="2"/>
          </rPr>
          <t xml:space="preserve">
Enter the nominal input operating voltage.
The LM25183/4 input voltage operating range is 4.5V to 42V.
</t>
        </r>
        <r>
          <rPr>
            <b/>
            <sz val="9"/>
            <color indexed="81"/>
            <rFont val="Tahoma"/>
            <family val="2"/>
          </rPr>
          <t>The text in this cell is red if:</t>
        </r>
        <r>
          <rPr>
            <sz val="9"/>
            <color indexed="81"/>
            <rFont val="Tahoma"/>
            <family val="2"/>
          </rPr>
          <t xml:space="preserve">
-The input voltage is above </t>
        </r>
        <r>
          <rPr>
            <b/>
            <sz val="9"/>
            <color indexed="10"/>
            <rFont val="Tahoma"/>
            <family val="2"/>
          </rPr>
          <t>42V</t>
        </r>
        <r>
          <rPr>
            <sz val="9"/>
            <color indexed="81"/>
            <rFont val="Tahoma"/>
            <family val="2"/>
          </rPr>
          <t xml:space="preserve">
-The input voltage is below </t>
        </r>
        <r>
          <rPr>
            <b/>
            <sz val="9"/>
            <color indexed="10"/>
            <rFont val="Tahoma"/>
            <family val="2"/>
          </rPr>
          <t>4.5V</t>
        </r>
      </text>
    </comment>
    <comment ref="M7" authorId="0" shapeId="0" xr:uid="{00000000-0006-0000-0000-000006000000}">
      <text>
        <r>
          <rPr>
            <b/>
            <u/>
            <sz val="9"/>
            <color indexed="81"/>
            <rFont val="Tahoma"/>
            <family val="2"/>
          </rPr>
          <t>Magnetizing Inductance</t>
        </r>
        <r>
          <rPr>
            <b/>
            <sz val="9"/>
            <color indexed="81"/>
            <rFont val="Tahoma"/>
            <family val="2"/>
          </rPr>
          <t xml:space="preserve">:
</t>
        </r>
        <r>
          <rPr>
            <sz val="9"/>
            <color indexed="81"/>
            <rFont val="Tahoma"/>
            <family val="2"/>
          </rPr>
          <t xml:space="preserve">Enter the transformer mag inductance here. </t>
        </r>
        <r>
          <rPr>
            <b/>
            <sz val="9"/>
            <color indexed="81"/>
            <rFont val="Tahoma"/>
            <family val="2"/>
          </rPr>
          <t>Use a value greater than the minimum mag inductance</t>
        </r>
        <r>
          <rPr>
            <sz val="9"/>
            <color indexed="81"/>
            <rFont val="Tahoma"/>
            <family val="2"/>
          </rPr>
          <t xml:space="preserve"> calculated above.
A lower mag inductance value provides an earlier transition from FFM to DCM but pushes out (or entirely eliminates) BCM operation. The main priviso is that the rated output current is achieved at nominal input voltage, and this is primarily set by the peak current limit and the transformer turns ratio.
</t>
        </r>
        <r>
          <rPr>
            <b/>
            <sz val="9"/>
            <color indexed="81"/>
            <rFont val="Tahoma"/>
            <family val="2"/>
          </rPr>
          <t xml:space="preserve">This cell is flagged </t>
        </r>
        <r>
          <rPr>
            <b/>
            <sz val="9"/>
            <color indexed="10"/>
            <rFont val="Tahoma"/>
            <family val="2"/>
          </rPr>
          <t>RED</t>
        </r>
        <r>
          <rPr>
            <b/>
            <sz val="9"/>
            <color indexed="81"/>
            <rFont val="Tahoma"/>
            <family val="2"/>
          </rPr>
          <t xml:space="preserve"> if:</t>
        </r>
        <r>
          <rPr>
            <b/>
            <sz val="9"/>
            <color indexed="39"/>
            <rFont val="Tahoma"/>
            <family val="2"/>
          </rPr>
          <t xml:space="preserve">
</t>
        </r>
        <r>
          <rPr>
            <b/>
            <sz val="9"/>
            <color indexed="10"/>
            <rFont val="Tahoma"/>
            <family val="2"/>
          </rPr>
          <t>-The chosen inductance is less than the minimum requirement.</t>
        </r>
      </text>
    </comment>
    <comment ref="F8" authorId="0" shapeId="0" xr:uid="{00000000-0006-0000-0000-000007000000}">
      <text>
        <r>
          <rPr>
            <b/>
            <u/>
            <sz val="9"/>
            <color indexed="81"/>
            <rFont val="Tahoma"/>
            <family val="2"/>
          </rPr>
          <t>Maximum Input Voltage</t>
        </r>
        <r>
          <rPr>
            <b/>
            <sz val="9"/>
            <color indexed="81"/>
            <rFont val="Tahoma"/>
            <family val="2"/>
          </rPr>
          <t>:</t>
        </r>
        <r>
          <rPr>
            <sz val="9"/>
            <color indexed="81"/>
            <rFont val="Tahoma"/>
            <family val="2"/>
          </rPr>
          <t xml:space="preserve">
Enter the maximum input operating voltage.
The LM25183/4 input voltage operating range is 4.5V to 42V.
</t>
        </r>
        <r>
          <rPr>
            <b/>
            <sz val="9"/>
            <color indexed="81"/>
            <rFont val="Tahoma"/>
            <family val="2"/>
          </rPr>
          <t>The text in this cell is red if:</t>
        </r>
        <r>
          <rPr>
            <sz val="9"/>
            <color indexed="81"/>
            <rFont val="Tahoma"/>
            <family val="2"/>
          </rPr>
          <t xml:space="preserve">
-The input voltage is above </t>
        </r>
        <r>
          <rPr>
            <b/>
            <sz val="9"/>
            <color indexed="10"/>
            <rFont val="Tahoma"/>
            <family val="2"/>
          </rPr>
          <t>42V</t>
        </r>
        <r>
          <rPr>
            <sz val="9"/>
            <color indexed="81"/>
            <rFont val="Tahoma"/>
            <family val="2"/>
          </rPr>
          <t xml:space="preserve">
-The input voltage is below </t>
        </r>
        <r>
          <rPr>
            <b/>
            <sz val="9"/>
            <color indexed="10"/>
            <rFont val="Tahoma"/>
            <family val="2"/>
          </rPr>
          <t>4.5V</t>
        </r>
      </text>
    </comment>
    <comment ref="M8" authorId="0" shapeId="0" xr:uid="{00000000-0006-0000-0000-000008000000}">
      <text>
        <r>
          <rPr>
            <b/>
            <u/>
            <sz val="9"/>
            <color indexed="81"/>
            <rFont val="Tahoma"/>
            <family val="2"/>
          </rPr>
          <t>Primary Winding DCR</t>
        </r>
        <r>
          <rPr>
            <b/>
            <sz val="9"/>
            <color indexed="81"/>
            <rFont val="Tahoma"/>
            <family val="2"/>
          </rPr>
          <t xml:space="preserve">:
</t>
        </r>
        <r>
          <rPr>
            <sz val="9"/>
            <color indexed="81"/>
            <rFont val="Tahoma"/>
            <family val="2"/>
          </rPr>
          <t>Enter the primary winding DC resistance (DCR) here. This is typically specified in the transformer datasheet at 25°C copper temperature.</t>
        </r>
      </text>
    </comment>
    <comment ref="M9" authorId="0" shapeId="0" xr:uid="{00000000-0006-0000-0000-000009000000}">
      <text>
        <r>
          <rPr>
            <b/>
            <u/>
            <sz val="9"/>
            <color indexed="81"/>
            <rFont val="Tahoma"/>
            <family val="2"/>
          </rPr>
          <t>Secondary Winding DCR</t>
        </r>
        <r>
          <rPr>
            <b/>
            <sz val="9"/>
            <color indexed="81"/>
            <rFont val="Tahoma"/>
            <family val="2"/>
          </rPr>
          <t xml:space="preserve">:
</t>
        </r>
        <r>
          <rPr>
            <sz val="9"/>
            <color indexed="81"/>
            <rFont val="Tahoma"/>
            <family val="2"/>
          </rPr>
          <t>Enter the secondary winding DCR here. This is typically specified in the transformer datasheet at 25°C copper temperature.</t>
        </r>
      </text>
    </comment>
    <comment ref="F10" authorId="0" shapeId="0" xr:uid="{00000000-0006-0000-0000-00000A000000}">
      <text>
        <r>
          <rPr>
            <b/>
            <u/>
            <sz val="9"/>
            <color indexed="81"/>
            <rFont val="Tahoma"/>
            <family val="2"/>
          </rPr>
          <t>Output Voltage</t>
        </r>
        <r>
          <rPr>
            <b/>
            <sz val="9"/>
            <color indexed="81"/>
            <rFont val="Tahoma"/>
            <family val="2"/>
          </rPr>
          <t xml:space="preserve">:
</t>
        </r>
        <r>
          <rPr>
            <sz val="9"/>
            <color indexed="81"/>
            <rFont val="Tahoma"/>
            <family val="2"/>
          </rPr>
          <t xml:space="preserve">Enter the desired </t>
        </r>
        <r>
          <rPr>
            <sz val="9"/>
            <color indexed="8"/>
            <rFont val="Tahoma"/>
            <family val="2"/>
          </rPr>
          <t>output</t>
        </r>
        <r>
          <rPr>
            <sz val="9"/>
            <color indexed="81"/>
            <rFont val="Tahoma"/>
            <family val="2"/>
          </rPr>
          <t xml:space="preserve"> voltage here.</t>
        </r>
      </text>
    </comment>
    <comment ref="F11" authorId="0" shapeId="0" xr:uid="{00000000-0006-0000-0000-00000B000000}">
      <text>
        <r>
          <rPr>
            <b/>
            <u/>
            <sz val="9"/>
            <color indexed="81"/>
            <rFont val="Tahoma"/>
            <family val="2"/>
          </rPr>
          <t>Output Current</t>
        </r>
        <r>
          <rPr>
            <b/>
            <sz val="9"/>
            <color indexed="81"/>
            <rFont val="Tahoma"/>
            <family val="2"/>
          </rPr>
          <t xml:space="preserve">:
</t>
        </r>
        <r>
          <rPr>
            <sz val="9"/>
            <color indexed="81"/>
            <rFont val="Tahoma"/>
            <family val="2"/>
          </rPr>
          <t>Enter the desired output current here.</t>
        </r>
        <r>
          <rPr>
            <b/>
            <sz val="9"/>
            <color indexed="81"/>
            <rFont val="Tahoma"/>
            <family val="2"/>
          </rPr>
          <t xml:space="preserve">
</t>
        </r>
        <r>
          <rPr>
            <b/>
            <sz val="9"/>
            <color indexed="10"/>
            <rFont val="Tahoma"/>
            <family val="2"/>
          </rPr>
          <t xml:space="preserve">
</t>
        </r>
      </text>
    </comment>
    <comment ref="M14" authorId="0" shapeId="0" xr:uid="{00000000-0006-0000-0000-00000C000000}">
      <text>
        <r>
          <rPr>
            <b/>
            <u/>
            <sz val="9"/>
            <color indexed="81"/>
            <rFont val="Tahoma"/>
            <family val="2"/>
          </rPr>
          <t>Max Duty Cycle</t>
        </r>
        <r>
          <rPr>
            <b/>
            <sz val="9"/>
            <color indexed="81"/>
            <rFont val="Tahoma"/>
            <family val="2"/>
          </rPr>
          <t xml:space="preserve">:
</t>
        </r>
        <r>
          <rPr>
            <sz val="9"/>
            <color indexed="81"/>
            <rFont val="Tahoma"/>
            <family val="2"/>
          </rPr>
          <t>The max operating duty cycle is preferably kept below 75% to prevent high peak/rms currents in the flyback diode(s) and secondary winding(s).</t>
        </r>
      </text>
    </comment>
    <comment ref="M15" authorId="0" shapeId="0" xr:uid="{00000000-0006-0000-0000-00000D000000}">
      <text>
        <r>
          <rPr>
            <b/>
            <u/>
            <sz val="9"/>
            <color indexed="81"/>
            <rFont val="Tahoma"/>
            <family val="2"/>
          </rPr>
          <t>Max Output Current at VIN(min)</t>
        </r>
        <r>
          <rPr>
            <b/>
            <sz val="9"/>
            <color indexed="81"/>
            <rFont val="Tahoma"/>
            <family val="2"/>
          </rPr>
          <t xml:space="preserve">:
</t>
        </r>
        <r>
          <rPr>
            <sz val="9"/>
            <color indexed="81"/>
            <rFont val="Tahoma"/>
            <family val="2"/>
          </rPr>
          <t>The output power is most limited at minimum input operating voltage. Adjust the transformer turns ratio if needed.</t>
        </r>
      </text>
    </comment>
    <comment ref="F16" authorId="0" shapeId="0" xr:uid="{00000000-0006-0000-0000-00000E000000}">
      <text>
        <r>
          <rPr>
            <b/>
            <u/>
            <sz val="9"/>
            <color indexed="81"/>
            <rFont val="Tahoma"/>
            <family val="2"/>
          </rPr>
          <t>Minimum Recommended Cin</t>
        </r>
        <r>
          <rPr>
            <b/>
            <sz val="9"/>
            <color indexed="81"/>
            <rFont val="Tahoma"/>
            <family val="2"/>
          </rPr>
          <t xml:space="preserve">:
</t>
        </r>
        <r>
          <rPr>
            <sz val="9"/>
            <color indexed="81"/>
            <rFont val="Tahoma"/>
            <family val="2"/>
          </rPr>
          <t xml:space="preserve">This is the minimum input cap based on 10% pk-pk voltage ripple at the input.
</t>
        </r>
        <r>
          <rPr>
            <sz val="9"/>
            <color indexed="39"/>
            <rFont val="Tahoma"/>
            <family val="2"/>
          </rPr>
          <t xml:space="preserve">
</t>
        </r>
        <r>
          <rPr>
            <b/>
            <sz val="9"/>
            <color indexed="39"/>
            <rFont val="Tahoma"/>
            <family val="2"/>
          </rPr>
          <t>This condition is derived at VIN(nom).</t>
        </r>
        <r>
          <rPr>
            <b/>
            <sz val="9"/>
            <color indexed="81"/>
            <rFont val="Tahoma"/>
            <family val="2"/>
          </rPr>
          <t xml:space="preserve">
</t>
        </r>
      </text>
    </comment>
    <comment ref="F17" authorId="0" shapeId="0" xr:uid="{00000000-0006-0000-0000-00000F000000}">
      <text>
        <r>
          <rPr>
            <b/>
            <u/>
            <sz val="9"/>
            <color indexed="81"/>
            <rFont val="Tahoma"/>
            <family val="2"/>
          </rPr>
          <t>Input Capacitance</t>
        </r>
        <r>
          <rPr>
            <b/>
            <sz val="9"/>
            <color indexed="81"/>
            <rFont val="Tahoma"/>
            <family val="2"/>
          </rPr>
          <t xml:space="preserve">:
</t>
        </r>
        <r>
          <rPr>
            <sz val="9"/>
            <color indexed="81"/>
            <rFont val="Tahoma"/>
            <family val="2"/>
          </rPr>
          <t xml:space="preserve">Enter the input capacitance here based on the minimum calculated result. Ensure that the nominal capacitance is appropriately derated for applied voltage.
</t>
        </r>
        <r>
          <rPr>
            <b/>
            <sz val="9"/>
            <color indexed="81"/>
            <rFont val="Tahoma"/>
            <family val="2"/>
          </rPr>
          <t xml:space="preserve">The text in this cell is flagged </t>
        </r>
        <r>
          <rPr>
            <b/>
            <sz val="9"/>
            <color indexed="10"/>
            <rFont val="Tahoma"/>
            <family val="2"/>
          </rPr>
          <t>red</t>
        </r>
        <r>
          <rPr>
            <b/>
            <sz val="9"/>
            <color indexed="81"/>
            <rFont val="Tahoma"/>
            <family val="2"/>
          </rPr>
          <t xml:space="preserve"> if:
</t>
        </r>
        <r>
          <rPr>
            <b/>
            <sz val="9"/>
            <color indexed="10"/>
            <rFont val="Tahoma"/>
            <family val="2"/>
          </rPr>
          <t>-The chosen input capacitor is smaller than the minimum ideal capacitance.</t>
        </r>
      </text>
    </comment>
    <comment ref="F18" authorId="0" shapeId="0" xr:uid="{00000000-0006-0000-0000-000010000000}">
      <text>
        <r>
          <rPr>
            <b/>
            <u/>
            <sz val="9"/>
            <color indexed="81"/>
            <rFont val="Tahoma"/>
            <family val="2"/>
          </rPr>
          <t>Input Capacitor ESR</t>
        </r>
        <r>
          <rPr>
            <b/>
            <sz val="9"/>
            <color indexed="81"/>
            <rFont val="Tahoma"/>
            <family val="2"/>
          </rPr>
          <t xml:space="preserve">:
</t>
        </r>
        <r>
          <rPr>
            <sz val="9"/>
            <color indexed="81"/>
            <rFont val="Tahoma"/>
            <family val="2"/>
          </rPr>
          <t>Enter the input capacitor ESR here based on the maximum allowed input capacitor ESR to meet the ripple voltage specification.</t>
        </r>
        <r>
          <rPr>
            <b/>
            <sz val="9"/>
            <color indexed="81"/>
            <rFont val="Tahoma"/>
            <family val="2"/>
          </rPr>
          <t xml:space="preserve">
The text in this cell will be </t>
        </r>
        <r>
          <rPr>
            <b/>
            <sz val="9"/>
            <color indexed="10"/>
            <rFont val="Tahoma"/>
            <family val="2"/>
          </rPr>
          <t>red</t>
        </r>
        <r>
          <rPr>
            <b/>
            <sz val="9"/>
            <color indexed="81"/>
            <rFont val="Tahoma"/>
            <family val="2"/>
          </rPr>
          <t xml:space="preserve"> if:
</t>
        </r>
        <r>
          <rPr>
            <b/>
            <sz val="9"/>
            <color indexed="10"/>
            <rFont val="Tahoma"/>
            <family val="2"/>
          </rPr>
          <t>-ESR is zero, or
-ESR exceeds maximum allowable ESR to meet the voltage ripple specification.</t>
        </r>
        <r>
          <rPr>
            <sz val="11"/>
            <color indexed="81"/>
            <rFont val="Tahoma"/>
            <family val="2"/>
          </rPr>
          <t xml:space="preserve">
</t>
        </r>
      </text>
    </comment>
    <comment ref="F20" authorId="0" shapeId="0" xr:uid="{00000000-0006-0000-0000-000011000000}">
      <text>
        <r>
          <rPr>
            <b/>
            <u/>
            <sz val="9"/>
            <color indexed="81"/>
            <rFont val="Tahoma"/>
            <family val="2"/>
          </rPr>
          <t>Minimum Recommneded Cout</t>
        </r>
        <r>
          <rPr>
            <b/>
            <sz val="9"/>
            <color indexed="81"/>
            <rFont val="Tahoma"/>
            <family val="2"/>
          </rPr>
          <t xml:space="preserve">:
</t>
        </r>
        <r>
          <rPr>
            <sz val="9"/>
            <color indexed="81"/>
            <rFont val="Tahoma"/>
            <family val="2"/>
          </rPr>
          <t xml:space="preserve">This is the minimum "effective" output capacitance based on 1% ripple at Vin(min), max load (near current limit).
</t>
        </r>
        <r>
          <rPr>
            <sz val="9"/>
            <color indexed="39"/>
            <rFont val="Tahoma"/>
            <family val="2"/>
          </rPr>
          <t xml:space="preserve">
</t>
        </r>
        <r>
          <rPr>
            <b/>
            <sz val="9"/>
            <color indexed="39"/>
            <rFont val="Tahoma"/>
            <family val="2"/>
          </rPr>
          <t>NB: this condition is derived at VIN(min).</t>
        </r>
        <r>
          <rPr>
            <b/>
            <sz val="9"/>
            <color indexed="81"/>
            <rFont val="Tahoma"/>
            <family val="2"/>
          </rPr>
          <t xml:space="preserve">
</t>
        </r>
      </text>
    </comment>
    <comment ref="F21" authorId="0" shapeId="0" xr:uid="{00000000-0006-0000-0000-000012000000}">
      <text>
        <r>
          <rPr>
            <b/>
            <u/>
            <sz val="9"/>
            <color indexed="81"/>
            <rFont val="Tahoma"/>
            <family val="2"/>
          </rPr>
          <t>Output Capacitance</t>
        </r>
        <r>
          <rPr>
            <b/>
            <sz val="9"/>
            <color indexed="81"/>
            <rFont val="Tahoma"/>
            <family val="2"/>
          </rPr>
          <t>:</t>
        </r>
        <r>
          <rPr>
            <sz val="9"/>
            <color indexed="81"/>
            <rFont val="Tahoma"/>
            <family val="2"/>
          </rPr>
          <t xml:space="preserve">
Enter the output capacitance here based on the minimum calculated result. Make sure that the nominal capacitance is appropriately derated for applied voltage, particularly with </t>
        </r>
        <r>
          <rPr>
            <sz val="9"/>
            <color indexed="39"/>
            <rFont val="Tahoma"/>
            <family val="2"/>
          </rPr>
          <t>ceramics</t>
        </r>
        <r>
          <rPr>
            <sz val="9"/>
            <color indexed="81"/>
            <rFont val="Tahoma"/>
            <family val="2"/>
          </rPr>
          <t xml:space="preserve">.
</t>
        </r>
        <r>
          <rPr>
            <b/>
            <sz val="9"/>
            <color indexed="81"/>
            <rFont val="Tahoma"/>
            <family val="2"/>
          </rPr>
          <t>The text in this cell is flagged red if:</t>
        </r>
        <r>
          <rPr>
            <sz val="9"/>
            <color indexed="81"/>
            <rFont val="Tahoma"/>
            <family val="2"/>
          </rPr>
          <t xml:space="preserve">
</t>
        </r>
        <r>
          <rPr>
            <b/>
            <sz val="9"/>
            <color indexed="10"/>
            <rFont val="Tahoma"/>
            <family val="2"/>
          </rPr>
          <t>-The chosen output capacitor is smaller than the minimum ideal capacitance.</t>
        </r>
      </text>
    </comment>
    <comment ref="F22" authorId="0" shapeId="0" xr:uid="{00000000-0006-0000-0000-000013000000}">
      <text>
        <r>
          <rPr>
            <b/>
            <u/>
            <sz val="9"/>
            <color indexed="81"/>
            <rFont val="Tahoma"/>
            <family val="2"/>
          </rPr>
          <t>Output Capacitor ESR</t>
        </r>
        <r>
          <rPr>
            <b/>
            <sz val="9"/>
            <color indexed="81"/>
            <rFont val="Tahoma"/>
            <family val="2"/>
          </rPr>
          <t xml:space="preserve">:
</t>
        </r>
        <r>
          <rPr>
            <sz val="9"/>
            <color indexed="81"/>
            <rFont val="Tahoma"/>
            <family val="2"/>
          </rPr>
          <t>Enter the output capacitor ESR here based on the maximum allowed output capacitor ESR to meet the ripple voltage specification.</t>
        </r>
        <r>
          <rPr>
            <b/>
            <sz val="9"/>
            <color indexed="81"/>
            <rFont val="Tahoma"/>
            <family val="2"/>
          </rPr>
          <t xml:space="preserve">
The text in this cell will be </t>
        </r>
        <r>
          <rPr>
            <b/>
            <sz val="9"/>
            <color indexed="10"/>
            <rFont val="Tahoma"/>
            <family val="2"/>
          </rPr>
          <t>red</t>
        </r>
        <r>
          <rPr>
            <b/>
            <sz val="9"/>
            <color indexed="81"/>
            <rFont val="Tahoma"/>
            <family val="2"/>
          </rPr>
          <t xml:space="preserve"> if:
</t>
        </r>
        <r>
          <rPr>
            <b/>
            <sz val="9"/>
            <color indexed="10"/>
            <rFont val="Tahoma"/>
            <family val="2"/>
          </rPr>
          <t>-ESR is zero, or
-ESR exceeds maximum allowable ESR to meet the voltage ripple specification.</t>
        </r>
        <r>
          <rPr>
            <sz val="11"/>
            <color indexed="81"/>
            <rFont val="Tahoma"/>
            <family val="2"/>
          </rPr>
          <t xml:space="preserve">
</t>
        </r>
      </text>
    </comment>
    <comment ref="F28" authorId="0" shapeId="0" xr:uid="{00000000-0006-0000-0000-000014000000}">
      <text>
        <r>
          <rPr>
            <b/>
            <u/>
            <sz val="9"/>
            <color indexed="81"/>
            <rFont val="Tahoma"/>
            <family val="2"/>
          </rPr>
          <t>Soft-Start Time</t>
        </r>
        <r>
          <rPr>
            <b/>
            <sz val="9"/>
            <color indexed="81"/>
            <rFont val="Tahoma"/>
            <family val="2"/>
          </rPr>
          <t xml:space="preserve">:
</t>
        </r>
        <r>
          <rPr>
            <sz val="9"/>
            <color indexed="81"/>
            <rFont val="Tahoma"/>
            <family val="2"/>
          </rPr>
          <t xml:space="preserve">Enter the </t>
        </r>
        <r>
          <rPr>
            <b/>
            <sz val="9"/>
            <color indexed="39"/>
            <rFont val="Tahoma"/>
            <family val="2"/>
          </rPr>
          <t>desired soft-start time</t>
        </r>
        <r>
          <rPr>
            <sz val="9"/>
            <color indexed="81"/>
            <rFont val="Tahoma"/>
            <family val="2"/>
          </rPr>
          <t xml:space="preserve"> as required (must be greater than 6ms).
Leave the </t>
        </r>
        <r>
          <rPr>
            <b/>
            <sz val="9"/>
            <color indexed="39"/>
            <rFont val="Tahoma"/>
            <family val="2"/>
          </rPr>
          <t>SS/BIAS pin open circuit</t>
        </r>
        <r>
          <rPr>
            <sz val="9"/>
            <color indexed="81"/>
            <rFont val="Tahoma"/>
            <family val="2"/>
          </rPr>
          <t xml:space="preserve"> to provide a soft-start time of </t>
        </r>
        <r>
          <rPr>
            <b/>
            <sz val="9"/>
            <color indexed="81"/>
            <rFont val="Tahoma"/>
            <family val="2"/>
          </rPr>
          <t>6ms</t>
        </r>
        <r>
          <rPr>
            <sz val="9"/>
            <color indexed="81"/>
            <rFont val="Tahoma"/>
            <family val="2"/>
          </rPr>
          <t>.
Connect an auxiliary bias rail to SS/BIAS to reduce quiescent current and bias power dissipation.</t>
        </r>
        <r>
          <rPr>
            <b/>
            <sz val="9"/>
            <color indexed="81"/>
            <rFont val="Tahoma"/>
            <family val="2"/>
          </rPr>
          <t xml:space="preserve">
The text in the cell below becomes red if:
</t>
        </r>
        <r>
          <rPr>
            <b/>
            <sz val="9"/>
            <color indexed="10"/>
            <rFont val="Tahoma"/>
            <family val="2"/>
          </rPr>
          <t>-The specified programmable soft-start time is less than 6ms.</t>
        </r>
        <r>
          <rPr>
            <sz val="9"/>
            <color indexed="81"/>
            <rFont val="Tahoma"/>
            <family val="2"/>
          </rPr>
          <t xml:space="preserve">
</t>
        </r>
      </text>
    </comment>
    <comment ref="F34" authorId="0" shapeId="0" xr:uid="{00000000-0006-0000-0000-000015000000}">
      <text>
        <r>
          <rPr>
            <b/>
            <u/>
            <sz val="9"/>
            <color indexed="81"/>
            <rFont val="Tahoma"/>
            <family val="2"/>
          </rPr>
          <t>Nominal Input UVLO Turn-On/Off Threshold Levels</t>
        </r>
        <r>
          <rPr>
            <b/>
            <sz val="9"/>
            <color indexed="81"/>
            <rFont val="Tahoma"/>
            <family val="2"/>
          </rPr>
          <t>:</t>
        </r>
        <r>
          <rPr>
            <sz val="9"/>
            <color indexed="81"/>
            <rFont val="Tahoma"/>
            <family val="2"/>
          </rPr>
          <t xml:space="preserve">
Enter the nominal input voltages for UVLO turn-on and turn-off. 
Note that the LM25183/4 input operating voltage range is</t>
        </r>
        <r>
          <rPr>
            <b/>
            <sz val="9"/>
            <color indexed="81"/>
            <rFont val="Tahoma"/>
            <family val="2"/>
          </rPr>
          <t xml:space="preserve"> 4.5V to 42V</t>
        </r>
        <r>
          <rPr>
            <sz val="9"/>
            <color indexed="81"/>
            <rFont val="Tahoma"/>
            <family val="2"/>
          </rPr>
          <t xml:space="preserve">.
</t>
        </r>
        <r>
          <rPr>
            <b/>
            <sz val="9"/>
            <color indexed="81"/>
            <rFont val="Tahoma"/>
            <family val="2"/>
          </rPr>
          <t>The text in the cell below becomes red if:</t>
        </r>
        <r>
          <rPr>
            <sz val="9"/>
            <color indexed="81"/>
            <rFont val="Tahoma"/>
            <family val="2"/>
          </rPr>
          <t xml:space="preserve">
-The input voltage UVLO turn-on is above </t>
        </r>
        <r>
          <rPr>
            <b/>
            <sz val="9"/>
            <color indexed="10"/>
            <rFont val="Tahoma"/>
            <family val="2"/>
          </rPr>
          <t>42V</t>
        </r>
        <r>
          <rPr>
            <sz val="9"/>
            <color indexed="81"/>
            <rFont val="Tahoma"/>
            <family val="2"/>
          </rPr>
          <t xml:space="preserve">
-The input voltage UVLO turn-on/off is below </t>
        </r>
        <r>
          <rPr>
            <b/>
            <sz val="9"/>
            <color indexed="10"/>
            <rFont val="Tahoma"/>
            <family val="2"/>
          </rPr>
          <t xml:space="preserve">4.5V/3.8V
</t>
        </r>
        <r>
          <rPr>
            <b/>
            <sz val="9"/>
            <color indexed="39"/>
            <rFont val="Tahoma"/>
            <family val="2"/>
          </rPr>
          <t>If the internal UVLO is sufficient, connect EN to logic high or VIN.</t>
        </r>
      </text>
    </comment>
    <comment ref="F41" authorId="1" shapeId="0" xr:uid="{00000000-0006-0000-0000-000016000000}">
      <text>
        <r>
          <rPr>
            <b/>
            <u/>
            <sz val="9"/>
            <color indexed="81"/>
            <rFont val="Tahoma"/>
            <family val="2"/>
          </rPr>
          <t>Diode Drop</t>
        </r>
        <r>
          <rPr>
            <b/>
            <sz val="9"/>
            <color indexed="81"/>
            <rFont val="Tahoma"/>
            <family val="2"/>
          </rPr>
          <t>:</t>
        </r>
        <r>
          <rPr>
            <sz val="9"/>
            <color indexed="81"/>
            <rFont val="Tahoma"/>
            <family val="2"/>
          </rPr>
          <t xml:space="preserve">
Enter the voltage drop of the flyback diode at no load, 25°C (used for turns ratio calculations)</t>
        </r>
      </text>
    </comment>
    <comment ref="F42" authorId="1" shapeId="0" xr:uid="{00000000-0006-0000-0000-000017000000}">
      <text>
        <r>
          <rPr>
            <b/>
            <u/>
            <sz val="9"/>
            <color indexed="81"/>
            <rFont val="Tahoma"/>
            <family val="2"/>
          </rPr>
          <t>Diode Drop</t>
        </r>
        <r>
          <rPr>
            <b/>
            <sz val="9"/>
            <color indexed="81"/>
            <rFont val="Tahoma"/>
            <family val="2"/>
          </rPr>
          <t>:</t>
        </r>
        <r>
          <rPr>
            <sz val="9"/>
            <color indexed="81"/>
            <rFont val="Tahoma"/>
            <family val="2"/>
          </rPr>
          <t xml:space="preserve">
Enter the voltage drop of the flyback diode at full load, 25°C (used for power loss calculations)</t>
        </r>
      </text>
    </comment>
    <comment ref="F43" authorId="0" shapeId="0" xr:uid="{00000000-0006-0000-0000-000018000000}">
      <text>
        <r>
          <rPr>
            <b/>
            <u/>
            <sz val="9"/>
            <color indexed="81"/>
            <rFont val="Tahoma"/>
            <family val="2"/>
          </rPr>
          <t>Estimated Thermal Impedance</t>
        </r>
        <r>
          <rPr>
            <b/>
            <sz val="9"/>
            <color indexed="81"/>
            <rFont val="Tahoma"/>
            <family val="2"/>
          </rPr>
          <t xml:space="preserve">:
</t>
        </r>
        <r>
          <rPr>
            <sz val="9"/>
            <color indexed="81"/>
            <rFont val="Tahoma"/>
            <family val="2"/>
          </rPr>
          <t xml:space="preserve">Enter the LM25183/4's junction-to-ambient thermal impedance, which relates to PCB copper weight and area for heatsinking, local ariflow rate, and other factors.
</t>
        </r>
      </text>
    </comment>
    <comment ref="F44" authorId="0" shapeId="0" xr:uid="{00000000-0006-0000-0000-000019000000}">
      <text>
        <r>
          <rPr>
            <b/>
            <u/>
            <sz val="9"/>
            <color indexed="81"/>
            <rFont val="Tahoma"/>
            <family val="2"/>
          </rPr>
          <t>Ambient Operating Temperature</t>
        </r>
        <r>
          <rPr>
            <b/>
            <sz val="9"/>
            <color indexed="81"/>
            <rFont val="Tahoma"/>
            <family val="2"/>
          </rPr>
          <t xml:space="preserve">:
</t>
        </r>
        <r>
          <rPr>
            <sz val="9"/>
            <color indexed="81"/>
            <rFont val="Tahoma"/>
            <family val="2"/>
          </rPr>
          <t>Enter the LM25183/4's local ambient temperature (T</t>
        </r>
        <r>
          <rPr>
            <vertAlign val="subscript"/>
            <sz val="9"/>
            <color indexed="81"/>
            <rFont val="Tahoma"/>
            <family val="2"/>
          </rPr>
          <t>A</t>
        </r>
        <r>
          <rPr>
            <sz val="9"/>
            <color indexed="81"/>
            <rFont val="Tahoma"/>
            <family val="2"/>
          </rPr>
          <t xml:space="preserve">) here.
</t>
        </r>
        <r>
          <rPr>
            <b/>
            <sz val="9"/>
            <color indexed="81"/>
            <rFont val="Tahoma"/>
            <family val="2"/>
          </rPr>
          <t xml:space="preserve">The text in this cell is flagged </t>
        </r>
        <r>
          <rPr>
            <b/>
            <sz val="9"/>
            <color indexed="10"/>
            <rFont val="Tahoma"/>
            <family val="2"/>
          </rPr>
          <t>red</t>
        </r>
        <r>
          <rPr>
            <b/>
            <sz val="9"/>
            <color indexed="81"/>
            <rFont val="Tahoma"/>
            <family val="2"/>
          </rPr>
          <t xml:space="preserve"> if:
</t>
        </r>
        <r>
          <rPr>
            <b/>
            <sz val="9"/>
            <color indexed="10"/>
            <rFont val="Tahoma"/>
            <family val="2"/>
          </rPr>
          <t>-The chosen ambient temperature is below -40°C or above 150°C.</t>
        </r>
      </text>
    </comment>
    <comment ref="F46" authorId="0" shapeId="0" xr:uid="{00000000-0006-0000-0000-00001A000000}">
      <text>
        <r>
          <rPr>
            <b/>
            <u/>
            <sz val="9"/>
            <color indexed="81"/>
            <rFont val="Tahoma"/>
            <family val="2"/>
          </rPr>
          <t>Operating Junction Temperature</t>
        </r>
        <r>
          <rPr>
            <b/>
            <sz val="9"/>
            <color indexed="81"/>
            <rFont val="Tahoma"/>
            <family val="2"/>
          </rPr>
          <t xml:space="preserve">:
</t>
        </r>
        <r>
          <rPr>
            <sz val="9"/>
            <color indexed="81"/>
            <rFont val="Tahoma"/>
            <family val="2"/>
          </rPr>
          <t>Here is an estimate of the LM25183/4's opertaing junction temperature (T</t>
        </r>
        <r>
          <rPr>
            <vertAlign val="subscript"/>
            <sz val="9"/>
            <color indexed="81"/>
            <rFont val="Tahoma"/>
            <family val="2"/>
          </rPr>
          <t>J</t>
        </r>
        <r>
          <rPr>
            <sz val="9"/>
            <color indexed="81"/>
            <rFont val="Tahoma"/>
            <family val="2"/>
          </rPr>
          <t xml:space="preserve">) at full load and nominal input voltage.
</t>
        </r>
        <r>
          <rPr>
            <b/>
            <sz val="9"/>
            <color indexed="81"/>
            <rFont val="Tahoma"/>
            <family val="2"/>
          </rPr>
          <t xml:space="preserve">The text in this cell is flagged </t>
        </r>
        <r>
          <rPr>
            <b/>
            <sz val="9"/>
            <color indexed="10"/>
            <rFont val="Tahoma"/>
            <family val="2"/>
          </rPr>
          <t>red</t>
        </r>
        <r>
          <rPr>
            <b/>
            <sz val="9"/>
            <color indexed="81"/>
            <rFont val="Tahoma"/>
            <family val="2"/>
          </rPr>
          <t xml:space="preserve"> if:
</t>
        </r>
        <r>
          <rPr>
            <b/>
            <sz val="9"/>
            <color indexed="10"/>
            <rFont val="Tahoma"/>
            <family val="2"/>
          </rPr>
          <t>-The calculated junction temperature is below -40°C or above 150°C.</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Timothy Hegarty</author>
  </authors>
  <commentList>
    <comment ref="A1" authorId="0" shapeId="0" xr:uid="{00000000-0006-0000-0700-000001000000}">
      <text>
        <r>
          <rPr>
            <sz val="11"/>
            <color indexed="81"/>
            <rFont val="Tahoma"/>
            <family val="2"/>
          </rPr>
          <t>This efficiency calculator is aimed towards low current, COT-type architectures. Specifically, the "On Time" is programmed by the timing resistor, Rt. Meanwhile, the "Off Time" is determined by zero crossing of the inductor current crosses (in DCM) or when FB touches VREF (in CCM). In the DCM configuration, it is assumed that the effective switching frequency is proportional to output current.</t>
        </r>
      </text>
    </comment>
    <comment ref="G2" authorId="0" shapeId="0" xr:uid="{00000000-0006-0000-0700-000002000000}">
      <text>
        <r>
          <rPr>
            <b/>
            <u/>
            <sz val="11"/>
            <color indexed="10"/>
            <rFont val="Tahoma"/>
            <family val="2"/>
          </rPr>
          <t>Texas Instruments</t>
        </r>
        <r>
          <rPr>
            <sz val="11"/>
            <color indexed="10"/>
            <rFont val="Tahoma"/>
            <family val="2"/>
          </rPr>
          <t>:</t>
        </r>
        <r>
          <rPr>
            <sz val="9"/>
            <color indexed="81"/>
            <rFont val="Tahoma"/>
            <family val="2"/>
          </rPr>
          <t xml:space="preserve">
</t>
        </r>
        <r>
          <rPr>
            <b/>
            <sz val="9"/>
            <color indexed="81"/>
            <rFont val="Tahoma"/>
            <family val="2"/>
          </rPr>
          <t>Limited Use Policy</t>
        </r>
        <r>
          <rPr>
            <sz val="9"/>
            <color indexed="81"/>
            <rFont val="Tahoma"/>
            <family val="2"/>
          </rPr>
          <t xml:space="preserve">
You must treat this software and documentation like any other copyrighted material.
</t>
        </r>
        <r>
          <rPr>
            <b/>
            <sz val="9"/>
            <color indexed="81"/>
            <rFont val="Tahoma"/>
            <family val="2"/>
          </rPr>
          <t>You may not:</t>
        </r>
        <r>
          <rPr>
            <sz val="9"/>
            <color indexed="81"/>
            <rFont val="Tahoma"/>
            <family val="2"/>
          </rPr>
          <t xml:space="preserve">
- Copy documentation of the software
- Copy this software except to make archival or backup copies
- Reverse engineer, disassemble, decompile or make any attempt to discover the source code of the Software 
- Place the software onto a server so that it is accessible via a public network such as the internet 
- Sublicense, rent, lease or lend any portion of the software or documentation.
Texas Instruments is not responsible for the validity of any design created with this software and urges all designs to be fully tested and carefully verified. Refer to the LM5165 product datasheet and EVM user guides for more details.
</t>
        </r>
        <r>
          <rPr>
            <b/>
            <sz val="9"/>
            <color indexed="81"/>
            <rFont val="Tahoma"/>
            <family val="2"/>
          </rPr>
          <t>Rev. 1, Timothy Hegarty, Texas Instruments, Inc.</t>
        </r>
      </text>
    </comment>
  </commentList>
</comments>
</file>

<file path=xl/sharedStrings.xml><?xml version="1.0" encoding="utf-8"?>
<sst xmlns="http://schemas.openxmlformats.org/spreadsheetml/2006/main" count="1316" uniqueCount="724">
  <si>
    <t>V</t>
  </si>
  <si>
    <t>A</t>
  </si>
  <si>
    <t>kHz</t>
  </si>
  <si>
    <t>Vin</t>
  </si>
  <si>
    <t>Vout</t>
  </si>
  <si>
    <t>Iout</t>
  </si>
  <si>
    <t>Value</t>
  </si>
  <si>
    <t>STD Units</t>
  </si>
  <si>
    <t>Hz</t>
  </si>
  <si>
    <t>Notes</t>
  </si>
  <si>
    <t>Nominal input voltage</t>
  </si>
  <si>
    <t>H</t>
  </si>
  <si>
    <t>Coutmin</t>
  </si>
  <si>
    <t>F</t>
  </si>
  <si>
    <t>Cout</t>
  </si>
  <si>
    <t>pF</t>
  </si>
  <si>
    <t>Pi</t>
  </si>
  <si>
    <t>Rfb2</t>
  </si>
  <si>
    <t>Vref</t>
  </si>
  <si>
    <t>Variable Name</t>
  </si>
  <si>
    <t>mΩ</t>
  </si>
  <si>
    <t>kΩ</t>
  </si>
  <si>
    <t>TERMS OF USE</t>
  </si>
  <si>
    <t>Currents</t>
  </si>
  <si>
    <t>IQ</t>
  </si>
  <si>
    <t>Step</t>
  </si>
  <si>
    <t>Design</t>
  </si>
  <si>
    <t>L</t>
  </si>
  <si>
    <t>Cin</t>
  </si>
  <si>
    <t>Components</t>
  </si>
  <si>
    <t>mA</t>
  </si>
  <si>
    <t>nC</t>
  </si>
  <si>
    <t>ns</t>
  </si>
  <si>
    <t>Units</t>
  </si>
  <si>
    <t>Outputs</t>
  </si>
  <si>
    <t>LTc</t>
  </si>
  <si>
    <t>Ta</t>
  </si>
  <si>
    <t>RCinEsr</t>
  </si>
  <si>
    <t>Tr</t>
  </si>
  <si>
    <t>Tf</t>
  </si>
  <si>
    <t>Ambient Temperature</t>
  </si>
  <si>
    <t>Description</t>
  </si>
  <si>
    <t>Input Parameters</t>
  </si>
  <si>
    <t>Input Value</t>
  </si>
  <si>
    <t>Power Dis</t>
  </si>
  <si>
    <t>W</t>
  </si>
  <si>
    <t>Temp rise</t>
  </si>
  <si>
    <t>Efficiency</t>
  </si>
  <si>
    <t>Duty Cycle</t>
  </si>
  <si>
    <t xml:space="preserve">IQ </t>
  </si>
  <si>
    <t>Quiescent Current Of Controller (Not Switching!)</t>
  </si>
  <si>
    <t>s</t>
  </si>
  <si>
    <t>Part Characteristics</t>
  </si>
  <si>
    <t>Rfb2_u</t>
  </si>
  <si>
    <t>CoutEsr</t>
  </si>
  <si>
    <t>Step 5: Input Capacitor</t>
  </si>
  <si>
    <t>nF</t>
  </si>
  <si>
    <t>VIN</t>
  </si>
  <si>
    <t>Icinrms</t>
  </si>
  <si>
    <t>= Input Box</t>
  </si>
  <si>
    <t>Input capacitance</t>
  </si>
  <si>
    <t>Step 1: Operational Specs</t>
  </si>
  <si>
    <t>Step 6: Soft Start</t>
  </si>
  <si>
    <t>ms</t>
  </si>
  <si>
    <t>Tss</t>
  </si>
  <si>
    <t>Iss</t>
  </si>
  <si>
    <t>Css</t>
  </si>
  <si>
    <t>Part Number</t>
  </si>
  <si>
    <t>Capacitors</t>
  </si>
  <si>
    <t>(pF)</t>
  </si>
  <si>
    <t>Standard Result</t>
  </si>
  <si>
    <t>Inputs</t>
  </si>
  <si>
    <t>Css_u</t>
  </si>
  <si>
    <t>Resistors</t>
  </si>
  <si>
    <t>inputs</t>
  </si>
  <si>
    <t>Cb</t>
  </si>
  <si>
    <t>Rs</t>
  </si>
  <si>
    <t xml:space="preserve">                </t>
  </si>
  <si>
    <t xml:space="preserve"> </t>
  </si>
  <si>
    <t>Rc1ea</t>
  </si>
  <si>
    <t>Blank out</t>
  </si>
  <si>
    <t>Input from user =</t>
  </si>
  <si>
    <t>Constant</t>
  </si>
  <si>
    <t>Step 8: Efficiency</t>
  </si>
  <si>
    <t>°C/W</t>
  </si>
  <si>
    <t>SCHEMATIC LABELS</t>
  </si>
  <si>
    <t>OUTPUT CURRENT</t>
  </si>
  <si>
    <t>Current (switching)</t>
  </si>
  <si>
    <t>Qrr Current</t>
  </si>
  <si>
    <t>Diode Current</t>
  </si>
  <si>
    <t>Std Units</t>
  </si>
  <si>
    <t>Total Application Switching IQ</t>
  </si>
  <si>
    <t>GND</t>
  </si>
  <si>
    <t>FB</t>
  </si>
  <si>
    <t>SW</t>
  </si>
  <si>
    <t>CIN</t>
  </si>
  <si>
    <t>µH</t>
  </si>
  <si>
    <t>µF</t>
  </si>
  <si>
    <t>Cinmin</t>
  </si>
  <si>
    <t>CinEsrMax</t>
  </si>
  <si>
    <t>Output =</t>
  </si>
  <si>
    <t>Step 1: Operating Specifications</t>
  </si>
  <si>
    <t>°C</t>
  </si>
  <si>
    <r>
      <t>mV</t>
    </r>
    <r>
      <rPr>
        <vertAlign val="subscript"/>
        <sz val="10"/>
        <rFont val="Arial"/>
        <family val="2"/>
      </rPr>
      <t>pk-pk</t>
    </r>
  </si>
  <si>
    <t xml:space="preserve">Input Capacitor ESR </t>
  </si>
  <si>
    <t>About</t>
  </si>
  <si>
    <t>xx</t>
  </si>
  <si>
    <t>Max ESR before ripple exceeds Vripple1</t>
  </si>
  <si>
    <t>Chosen ESR</t>
  </si>
  <si>
    <t>Input capacitance series resistance (ESR)</t>
  </si>
  <si>
    <r>
      <t>VIN</t>
    </r>
    <r>
      <rPr>
        <vertAlign val="subscript"/>
        <sz val="10"/>
        <rFont val="Arial"/>
        <family val="2"/>
      </rPr>
      <t>UVLO_ON</t>
    </r>
  </si>
  <si>
    <t>Rising UVLO/EN Threshold</t>
  </si>
  <si>
    <t>Falling UVLO/EN Threshold</t>
  </si>
  <si>
    <t>kΩ</t>
  </si>
  <si>
    <r>
      <t>VIN</t>
    </r>
    <r>
      <rPr>
        <vertAlign val="subscript"/>
        <sz val="10"/>
        <rFont val="Arial"/>
        <family val="2"/>
      </rPr>
      <t>UVLO_ON_ACTUAL</t>
    </r>
  </si>
  <si>
    <r>
      <t>VIN</t>
    </r>
    <r>
      <rPr>
        <vertAlign val="subscript"/>
        <sz val="10"/>
        <rFont val="Arial"/>
        <family val="2"/>
      </rPr>
      <t>UVLO_OFF_ACTUAL</t>
    </r>
  </si>
  <si>
    <t>Size</t>
  </si>
  <si>
    <t>MFR</t>
  </si>
  <si>
    <t>Std</t>
  </si>
  <si>
    <t>0603</t>
  </si>
  <si>
    <r>
      <t>C</t>
    </r>
    <r>
      <rPr>
        <vertAlign val="subscript"/>
        <sz val="10"/>
        <rFont val="Arial"/>
        <family val="2"/>
      </rPr>
      <t>IN</t>
    </r>
  </si>
  <si>
    <r>
      <t>C</t>
    </r>
    <r>
      <rPr>
        <vertAlign val="subscript"/>
        <sz val="10"/>
        <rFont val="Arial"/>
        <family val="2"/>
      </rPr>
      <t>OUT</t>
    </r>
  </si>
  <si>
    <t>Ref Des</t>
  </si>
  <si>
    <t>Count</t>
  </si>
  <si>
    <t>Various</t>
  </si>
  <si>
    <t>-</t>
  </si>
  <si>
    <r>
      <t>R</t>
    </r>
    <r>
      <rPr>
        <vertAlign val="subscript"/>
        <sz val="10"/>
        <rFont val="Arial"/>
        <family val="2"/>
      </rPr>
      <t>UV1</t>
    </r>
  </si>
  <si>
    <r>
      <t>R</t>
    </r>
    <r>
      <rPr>
        <vertAlign val="subscript"/>
        <sz val="10"/>
        <rFont val="Arial"/>
        <family val="2"/>
      </rPr>
      <t>UV2</t>
    </r>
  </si>
  <si>
    <r>
      <t>U</t>
    </r>
    <r>
      <rPr>
        <b/>
        <vertAlign val="subscript"/>
        <sz val="10"/>
        <rFont val="Arial"/>
        <family val="2"/>
      </rPr>
      <t>1</t>
    </r>
  </si>
  <si>
    <t>Rpgood</t>
  </si>
  <si>
    <t>Ruv1</t>
  </si>
  <si>
    <t>Ruv2</t>
  </si>
  <si>
    <t># of input caps</t>
  </si>
  <si>
    <t>Capacitance per component (Cin)</t>
  </si>
  <si>
    <t>Capacitance per component (Cout)</t>
  </si>
  <si>
    <t># of output caps</t>
  </si>
  <si>
    <t>Ω</t>
  </si>
  <si>
    <r>
      <rPr>
        <b/>
        <u/>
        <sz val="10"/>
        <rFont val="Arial"/>
        <family val="2"/>
      </rPr>
      <t>NOTES</t>
    </r>
    <r>
      <rPr>
        <b/>
        <sz val="10"/>
        <rFont val="Arial"/>
        <family val="2"/>
      </rPr>
      <t>:</t>
    </r>
  </si>
  <si>
    <t>%/°C</t>
  </si>
  <si>
    <t>Rt</t>
  </si>
  <si>
    <r>
      <t>Output Capacitance, C</t>
    </r>
    <r>
      <rPr>
        <b/>
        <vertAlign val="subscript"/>
        <sz val="10"/>
        <rFont val="Arial"/>
        <family val="2"/>
      </rPr>
      <t>OUT</t>
    </r>
    <r>
      <rPr>
        <b/>
        <sz val="10"/>
        <rFont val="Arial"/>
        <family val="2"/>
      </rPr>
      <t xml:space="preserve"> </t>
    </r>
  </si>
  <si>
    <r>
      <t>Input Capacitance, C</t>
    </r>
    <r>
      <rPr>
        <b/>
        <vertAlign val="subscript"/>
        <sz val="10"/>
        <color theme="1"/>
        <rFont val="Arial"/>
        <family val="2"/>
      </rPr>
      <t>IN</t>
    </r>
    <r>
      <rPr>
        <b/>
        <sz val="10"/>
        <color theme="1"/>
        <rFont val="Arial"/>
        <family val="2"/>
      </rPr>
      <t xml:space="preserve"> </t>
    </r>
  </si>
  <si>
    <r>
      <t>Soft-Start Capacitance, C</t>
    </r>
    <r>
      <rPr>
        <vertAlign val="subscript"/>
        <sz val="10"/>
        <rFont val="Arial"/>
        <family val="2"/>
      </rPr>
      <t>SS</t>
    </r>
    <r>
      <rPr>
        <sz val="10"/>
        <rFont val="Arial"/>
        <family val="2"/>
      </rPr>
      <t xml:space="preserve"> </t>
    </r>
  </si>
  <si>
    <t>VIN_nom</t>
  </si>
  <si>
    <t>VIN_max</t>
  </si>
  <si>
    <t>VIN_min</t>
  </si>
  <si>
    <t>Minimum input voltage</t>
  </si>
  <si>
    <t>Maximum input voltage</t>
  </si>
  <si>
    <t>Voltage Hysteresis</t>
  </si>
  <si>
    <t>mV</t>
  </si>
  <si>
    <t>Don_Vinmin</t>
  </si>
  <si>
    <t>Don_Vinmax</t>
  </si>
  <si>
    <t>Lf</t>
  </si>
  <si>
    <t>Pout</t>
  </si>
  <si>
    <t>Iin_Vinmin</t>
  </si>
  <si>
    <t>Iin_Vinnom</t>
  </si>
  <si>
    <t>Iin_Vinmax</t>
  </si>
  <si>
    <t>Pin</t>
  </si>
  <si>
    <t>Don_Vinnom</t>
  </si>
  <si>
    <t>Output power</t>
  </si>
  <si>
    <t>Input currents at min, nom, max Vin</t>
  </si>
  <si>
    <t>Cslope_ideal</t>
  </si>
  <si>
    <t>mΩ</t>
  </si>
  <si>
    <t>Rshunt</t>
  </si>
  <si>
    <t>Output Cap RMS current</t>
  </si>
  <si>
    <t>Icoutrms_VINmin</t>
  </si>
  <si>
    <t>Icoutrms_VINnom</t>
  </si>
  <si>
    <t>Icoutrms_VINmax</t>
  </si>
  <si>
    <t>Chosen Output Capacitance</t>
  </si>
  <si>
    <t>Rout</t>
  </si>
  <si>
    <t>Load resistance</t>
  </si>
  <si>
    <t>p</t>
  </si>
  <si>
    <t>EXCEL Variables Names/Calculations</t>
  </si>
  <si>
    <t>IC Power Disipation</t>
  </si>
  <si>
    <t>Iteration</t>
  </si>
  <si>
    <t>Output Ripple Spec (pk-pk)</t>
  </si>
  <si>
    <t>Estimate of efficiency</t>
  </si>
  <si>
    <t>Soft-start time</t>
  </si>
  <si>
    <r>
      <rPr>
        <sz val="10"/>
        <rFont val="Calibri"/>
        <family val="2"/>
      </rPr>
      <t>θ</t>
    </r>
    <r>
      <rPr>
        <vertAlign val="subscript"/>
        <sz val="10"/>
        <rFont val="Arial"/>
        <family val="2"/>
      </rPr>
      <t>CA</t>
    </r>
  </si>
  <si>
    <t>Input Capacitor ESR</t>
  </si>
  <si>
    <t>RESULTS</t>
  </si>
  <si>
    <t>Reported Cinmin</t>
  </si>
  <si>
    <t>Reported Cout ESR max</t>
  </si>
  <si>
    <t>Reported Cin ESR max</t>
  </si>
  <si>
    <t>Full-load efficiency</t>
  </si>
  <si>
    <t>sec</t>
  </si>
  <si>
    <t>Toff_Vinmax</t>
  </si>
  <si>
    <t>Ton_Vinmin</t>
  </si>
  <si>
    <t>VIN range</t>
  </si>
  <si>
    <t>Current Limit</t>
  </si>
  <si>
    <t>Miscellaneous</t>
  </si>
  <si>
    <t>Inductor</t>
  </si>
  <si>
    <t xml:space="preserve">High-side MOSFET Losses </t>
  </si>
  <si>
    <t xml:space="preserve">Low-side MOSFET Losses </t>
  </si>
  <si>
    <t>Diode</t>
  </si>
  <si>
    <t>Iout (A)</t>
  </si>
  <si>
    <t>Ripple Current pk-pk (A)</t>
  </si>
  <si>
    <t>Off Time (sec)</t>
  </si>
  <si>
    <t>Switching Frequency (Hz)</t>
  </si>
  <si>
    <t>Active Mode Duration (sec)</t>
  </si>
  <si>
    <t>Sleep Mode Duration (sec)</t>
  </si>
  <si>
    <t>Irms (A)</t>
  </si>
  <si>
    <t>Inductor DCR Loss @ 25°C (W)</t>
  </si>
  <si>
    <t>Inductor Core Loss  (W)</t>
  </si>
  <si>
    <t>Total Inductor Loss (W)</t>
  </si>
  <si>
    <t>Cout ESR Loss (W)</t>
  </si>
  <si>
    <t>Total Cout Loss (W)</t>
  </si>
  <si>
    <t>Cin ESR Loss (W)</t>
  </si>
  <si>
    <t>Total Cin Loss (W)</t>
  </si>
  <si>
    <t>Rdson HS Loss @ 25°C (W)</t>
  </si>
  <si>
    <t xml:space="preserve">HS Gate Qg Loss (W)     </t>
  </si>
  <si>
    <t>HS Switching  Loss (W)</t>
  </si>
  <si>
    <t>Coss Loss (W)</t>
  </si>
  <si>
    <t>Total HS FET Loss (W)</t>
  </si>
  <si>
    <t>Rdson LS Loss @ 25°C (W)</t>
  </si>
  <si>
    <t>LS Gate Qg Loss (W)</t>
  </si>
  <si>
    <t>Reverse Recovery &amp; Leakage Losses</t>
  </si>
  <si>
    <t>DeadTime Loss @ 25°C (W)</t>
  </si>
  <si>
    <t>Total LS FET Loss (W)</t>
  </si>
  <si>
    <t>Quiescent Loss (W)</t>
  </si>
  <si>
    <t>LDO + Quiescent Loss (W)</t>
  </si>
  <si>
    <t>Total Gate Drive Loss (W)</t>
  </si>
  <si>
    <t>Total Power Loss in IC (W)</t>
  </si>
  <si>
    <t>Total Converter Power Loss (W)</t>
  </si>
  <si>
    <t>Pout (W)</t>
  </si>
  <si>
    <t>EFF (%)</t>
  </si>
  <si>
    <t>High-side MOSFET Rdson %</t>
  </si>
  <si>
    <t>Low-side MOSFET Rdson %</t>
  </si>
  <si>
    <t>Gate Drive (Qg) Loss from Vin %</t>
  </si>
  <si>
    <t>High-side MOSFET Switching Loss %</t>
  </si>
  <si>
    <t>Reverse Recovery &amp; Leakage Loss %</t>
  </si>
  <si>
    <t>Deadtime Loss %</t>
  </si>
  <si>
    <t>Inductor Cu Loss %</t>
  </si>
  <si>
    <t>Inductor Core Loss %</t>
  </si>
  <si>
    <t>Cin Cout ESR %</t>
  </si>
  <si>
    <t>Quiescent Current Loss %</t>
  </si>
  <si>
    <t>Total Loss %</t>
  </si>
  <si>
    <t>Overall Eff</t>
  </si>
  <si>
    <t>Current (mA)</t>
  </si>
  <si>
    <t>Keep for "previous" data series</t>
  </si>
  <si>
    <t>Frequency (kHz)</t>
  </si>
  <si>
    <t>Coss</t>
  </si>
  <si>
    <t>Iout(max)</t>
  </si>
  <si>
    <r>
      <rPr>
        <sz val="10"/>
        <rFont val="Arial"/>
        <family val="2"/>
      </rPr>
      <t>k</t>
    </r>
    <r>
      <rPr>
        <sz val="10"/>
        <rFont val="Symbol"/>
        <family val="1"/>
        <charset val="2"/>
      </rPr>
      <t>W</t>
    </r>
  </si>
  <si>
    <t>Tamb</t>
  </si>
  <si>
    <t>Ambient temperature</t>
  </si>
  <si>
    <t>VDD</t>
  </si>
  <si>
    <t>On-Time</t>
  </si>
  <si>
    <t>µs</t>
  </si>
  <si>
    <t>On Time - fixed</t>
  </si>
  <si>
    <t>Off Time</t>
  </si>
  <si>
    <t>Off Time - depends on Vout, L, Iout, DCR, etc.</t>
  </si>
  <si>
    <r>
      <rPr>
        <sz val="10"/>
        <rFont val="Symbol"/>
        <family val="1"/>
        <charset val="2"/>
      </rPr>
      <t>D</t>
    </r>
    <r>
      <rPr>
        <sz val="10"/>
        <rFont val="Arial"/>
        <family val="2"/>
      </rPr>
      <t>I</t>
    </r>
    <r>
      <rPr>
        <vertAlign val="subscript"/>
        <sz val="10"/>
        <rFont val="Arial"/>
        <family val="2"/>
      </rPr>
      <t>L</t>
    </r>
  </si>
  <si>
    <t>Inductor pk-pk ripple current in CCM</t>
  </si>
  <si>
    <t>CCM Freq</t>
  </si>
  <si>
    <t>Frequency in CCM</t>
  </si>
  <si>
    <t>Switch rise time</t>
  </si>
  <si>
    <t>Switch fall time</t>
  </si>
  <si>
    <t>Filter inductance</t>
  </si>
  <si>
    <r>
      <rPr>
        <sz val="10"/>
        <rFont val="Arial"/>
        <family val="2"/>
      </rPr>
      <t>m</t>
    </r>
    <r>
      <rPr>
        <sz val="10"/>
        <rFont val="Symbol"/>
        <family val="1"/>
        <charset val="2"/>
      </rPr>
      <t>W</t>
    </r>
  </si>
  <si>
    <t>Kcore</t>
  </si>
  <si>
    <t>RCinESR</t>
  </si>
  <si>
    <t>Input capacitor ESR</t>
  </si>
  <si>
    <t>Output capacitance</t>
  </si>
  <si>
    <t>RCoutESR</t>
  </si>
  <si>
    <t>Output capacitor ESR</t>
  </si>
  <si>
    <t>µA</t>
  </si>
  <si>
    <t>FOM</t>
  </si>
  <si>
    <r>
      <t>m</t>
    </r>
    <r>
      <rPr>
        <sz val="10"/>
        <rFont val="Times New Roman"/>
        <family val="1"/>
      </rPr>
      <t>Ω*</t>
    </r>
    <r>
      <rPr>
        <sz val="10"/>
        <rFont val="Arial"/>
        <family val="2"/>
      </rPr>
      <t>nC</t>
    </r>
  </si>
  <si>
    <t>BDserR</t>
  </si>
  <si>
    <t>Series resistance of body diode</t>
  </si>
  <si>
    <t>Reverse recovery charge of body diode at 100mA</t>
  </si>
  <si>
    <t>Reverse recovery time of body diode (not used)</t>
  </si>
  <si>
    <t>μA</t>
  </si>
  <si>
    <t>Leakage current of low-side device</t>
  </si>
  <si>
    <t>Eff (%)</t>
  </si>
  <si>
    <t>Iout (mA)</t>
  </si>
  <si>
    <t>min_I</t>
  </si>
  <si>
    <t>max_I</t>
  </si>
  <si>
    <t>100mA</t>
  </si>
  <si>
    <t>rr</t>
  </si>
  <si>
    <t>1mA</t>
  </si>
  <si>
    <t>Overall Eff %</t>
  </si>
  <si>
    <t>Total Inductor Loss (mW)</t>
  </si>
  <si>
    <t>Total Power Loss in IC (mW)</t>
  </si>
  <si>
    <t>LDO + Quiescent Loss (mW)</t>
  </si>
  <si>
    <t>Vdd</t>
  </si>
  <si>
    <t>MODE</t>
  </si>
  <si>
    <t>MODE_ILIM</t>
  </si>
  <si>
    <t>MODE_SS</t>
  </si>
  <si>
    <t>COT / PFM Overall Eff</t>
  </si>
  <si>
    <t>COT / PFM Total Inductor Loss (mW)</t>
  </si>
  <si>
    <t>COT / PFM LDO + Quiescent Loss (mW)</t>
  </si>
  <si>
    <t>Soft-Start Configuration</t>
  </si>
  <si>
    <t>mW</t>
  </si>
  <si>
    <r>
      <t>Lower UVLO Resistor, R</t>
    </r>
    <r>
      <rPr>
        <vertAlign val="subscript"/>
        <sz val="10"/>
        <rFont val="Arial"/>
        <family val="2"/>
      </rPr>
      <t>UV2</t>
    </r>
  </si>
  <si>
    <r>
      <t>VIN</t>
    </r>
    <r>
      <rPr>
        <vertAlign val="subscript"/>
        <sz val="10"/>
        <rFont val="Arial"/>
        <family val="2"/>
      </rPr>
      <t>UVLO_OFF</t>
    </r>
  </si>
  <si>
    <t>Rhys</t>
  </si>
  <si>
    <t>Soft Start</t>
  </si>
  <si>
    <t>Step 3: Input &amp; Output Capacitors</t>
  </si>
  <si>
    <t>PLOT_TYPE</t>
  </si>
  <si>
    <t>FB resistor ref des shown or not?</t>
  </si>
  <si>
    <t>SHORT_ILIM</t>
  </si>
  <si>
    <t>ILIM pin shorted if 240mA selected</t>
  </si>
  <si>
    <t>ILIM resistor needed (60/120/180mA)</t>
  </si>
  <si>
    <t>Show Rt resistor ref des?</t>
  </si>
  <si>
    <r>
      <t xml:space="preserve">Estimated Thermal Impedance, </t>
    </r>
    <r>
      <rPr>
        <b/>
        <sz val="11"/>
        <rFont val="Symbol"/>
        <family val="1"/>
        <charset val="2"/>
      </rPr>
      <t>J</t>
    </r>
    <r>
      <rPr>
        <b/>
        <vertAlign val="subscript"/>
        <sz val="10"/>
        <rFont val="Arial"/>
        <family val="2"/>
      </rPr>
      <t>JA</t>
    </r>
  </si>
  <si>
    <t>Input UVLO Configuration</t>
  </si>
  <si>
    <t>MODE_UVLO</t>
  </si>
  <si>
    <t>Adjustable UVLO?</t>
  </si>
  <si>
    <t>Soft-start current</t>
  </si>
  <si>
    <t>10% load efficiency</t>
  </si>
  <si>
    <t>Required soft-start cap</t>
  </si>
  <si>
    <t>User selected SS cap</t>
  </si>
  <si>
    <t>100kΩ</t>
  </si>
  <si>
    <t>1% load efficiency</t>
  </si>
  <si>
    <t>linear scale only</t>
  </si>
  <si>
    <t>log scale only</t>
  </si>
  <si>
    <t xml:space="preserve">Minimum Input Capacitance </t>
  </si>
  <si>
    <t>Terms Of Use</t>
  </si>
  <si>
    <r>
      <rPr>
        <b/>
        <sz val="10"/>
        <rFont val="Arial"/>
        <family val="2"/>
      </rPr>
      <t>Iout</t>
    </r>
    <r>
      <rPr>
        <sz val="10"/>
        <rFont val="Arial"/>
        <family val="2"/>
      </rPr>
      <t xml:space="preserve"> Linear Axis</t>
    </r>
  </si>
  <si>
    <r>
      <rPr>
        <b/>
        <sz val="10"/>
        <rFont val="Arial"/>
        <family val="2"/>
      </rPr>
      <t>Iout</t>
    </r>
    <r>
      <rPr>
        <sz val="10"/>
        <rFont val="Arial"/>
        <family val="2"/>
      </rPr>
      <t xml:space="preserve"> Log Axis</t>
    </r>
  </si>
  <si>
    <t>UVLO</t>
  </si>
  <si>
    <t>n</t>
  </si>
  <si>
    <r>
      <t>Pk-to-Pk Ripple Current at V</t>
    </r>
    <r>
      <rPr>
        <vertAlign val="subscript"/>
        <sz val="10"/>
        <rFont val="Arial"/>
        <family val="2"/>
      </rPr>
      <t>IN(nom)</t>
    </r>
    <r>
      <rPr>
        <sz val="10"/>
        <rFont val="Arial"/>
        <family val="2"/>
      </rPr>
      <t xml:space="preserve">, </t>
    </r>
    <r>
      <rPr>
        <sz val="10"/>
        <rFont val="Symbol"/>
        <family val="1"/>
        <charset val="2"/>
      </rPr>
      <t>D</t>
    </r>
    <r>
      <rPr>
        <sz val="10"/>
        <rFont val="Arial"/>
        <family val="2"/>
      </rPr>
      <t>IL</t>
    </r>
  </si>
  <si>
    <t>SW Fall Time (ns)</t>
  </si>
  <si>
    <t>Peak Current (A)</t>
  </si>
  <si>
    <t>Valley Current (A)</t>
  </si>
  <si>
    <t>SW Rise Time (ns)</t>
  </si>
  <si>
    <t>Csw</t>
  </si>
  <si>
    <t>Capacitance (Coss)</t>
  </si>
  <si>
    <t>Operating Quiescent Current (A)</t>
  </si>
  <si>
    <t>6.3V</t>
  </si>
  <si>
    <t>10V</t>
  </si>
  <si>
    <t>16V</t>
  </si>
  <si>
    <t>25V</t>
  </si>
  <si>
    <t>Cout Voltage Rating</t>
  </si>
  <si>
    <t>Vout&lt;=5V</t>
  </si>
  <si>
    <t>Vout&lt;=20V</t>
  </si>
  <si>
    <t>Vout&lt;=8V</t>
  </si>
  <si>
    <t>Vout&lt;=12V</t>
  </si>
  <si>
    <t>50V</t>
  </si>
  <si>
    <t>Vout&gt;20V</t>
  </si>
  <si>
    <t>BOM display</t>
  </si>
  <si>
    <t>COT / PFM Total Power Loss in IC (mW)</t>
  </si>
  <si>
    <t>0402</t>
  </si>
  <si>
    <t>0805</t>
  </si>
  <si>
    <t>1206</t>
  </si>
  <si>
    <t>1210</t>
  </si>
  <si>
    <t>Component Size</t>
  </si>
  <si>
    <t>Footprint (mm)</t>
  </si>
  <si>
    <t>1.0 x 0.5</t>
  </si>
  <si>
    <t>6mm x 6mm</t>
  </si>
  <si>
    <t>7mm x 7mm</t>
  </si>
  <si>
    <t>3.2 x 1.6</t>
  </si>
  <si>
    <t>1.6 x 0.8</t>
  </si>
  <si>
    <t>2.0 x 1.25</t>
  </si>
  <si>
    <t>3.2 x 2.5</t>
  </si>
  <si>
    <t>4.0 x 4.0</t>
  </si>
  <si>
    <r>
      <t>Area (mm</t>
    </r>
    <r>
      <rPr>
        <b/>
        <vertAlign val="superscript"/>
        <sz val="10"/>
        <color theme="0"/>
        <rFont val="Arial"/>
        <family val="2"/>
      </rPr>
      <t>2</t>
    </r>
    <r>
      <rPr>
        <b/>
        <sz val="10"/>
        <color theme="0"/>
        <rFont val="Arial"/>
        <family val="2"/>
      </rPr>
      <t>)</t>
    </r>
  </si>
  <si>
    <t>TI</t>
  </si>
  <si>
    <r>
      <t>in</t>
    </r>
    <r>
      <rPr>
        <b/>
        <vertAlign val="superscript"/>
        <sz val="12"/>
        <color rgb="FFFF0000"/>
        <rFont val="Arial"/>
        <family val="2"/>
      </rPr>
      <t>2</t>
    </r>
  </si>
  <si>
    <t>Total Solution Size (buffered by 25%)</t>
  </si>
  <si>
    <t>** Appropriately derate effective input and output capacitances for applied voltage and temperature, particularly with ceramics **</t>
  </si>
  <si>
    <r>
      <t>mm</t>
    </r>
    <r>
      <rPr>
        <b/>
        <vertAlign val="superscript"/>
        <sz val="12"/>
        <color rgb="FFFF0000"/>
        <rFont val="Arial"/>
        <family val="2"/>
      </rPr>
      <t>2</t>
    </r>
    <r>
      <rPr>
        <b/>
        <sz val="12"/>
        <color rgb="FFFF0000"/>
        <rFont val="Arial"/>
        <family val="2"/>
      </rPr>
      <t xml:space="preserve">  =</t>
    </r>
  </si>
  <si>
    <t>Std Value Lower Feedback Resistance</t>
  </si>
  <si>
    <t>Step 2: Flyback Transformer</t>
  </si>
  <si>
    <t>SINGLE/DUAL OUTPUT</t>
  </si>
  <si>
    <t>SINGLE</t>
  </si>
  <si>
    <t>DUAL</t>
  </si>
  <si>
    <t>YES</t>
  </si>
  <si>
    <t>NO</t>
  </si>
  <si>
    <r>
      <t>Magnetizing Inductance, L</t>
    </r>
    <r>
      <rPr>
        <b/>
        <vertAlign val="subscript"/>
        <sz val="10"/>
        <color theme="1"/>
        <rFont val="Arial"/>
        <family val="2"/>
      </rPr>
      <t>MAG</t>
    </r>
    <r>
      <rPr>
        <b/>
        <sz val="10"/>
        <color theme="1"/>
        <rFont val="Arial"/>
        <family val="2"/>
      </rPr>
      <t xml:space="preserve"> </t>
    </r>
  </si>
  <si>
    <t>Single Output or Dual Outputs</t>
  </si>
  <si>
    <r>
      <t>Input Voltage – Min, V</t>
    </r>
    <r>
      <rPr>
        <b/>
        <vertAlign val="subscript"/>
        <sz val="10"/>
        <color theme="1"/>
        <rFont val="Arial"/>
        <family val="2"/>
      </rPr>
      <t>IN(min)</t>
    </r>
    <r>
      <rPr>
        <b/>
        <sz val="10"/>
        <color theme="1"/>
        <rFont val="Arial"/>
        <family val="2"/>
      </rPr>
      <t xml:space="preserve"> </t>
    </r>
  </si>
  <si>
    <r>
      <t>Input Voltage – Nom, V</t>
    </r>
    <r>
      <rPr>
        <b/>
        <vertAlign val="subscript"/>
        <sz val="10"/>
        <color theme="1"/>
        <rFont val="Arial"/>
        <family val="2"/>
      </rPr>
      <t>IN(nom)</t>
    </r>
  </si>
  <si>
    <r>
      <t>Input Voltage – Max, V</t>
    </r>
    <r>
      <rPr>
        <b/>
        <vertAlign val="subscript"/>
        <sz val="10"/>
        <color theme="1"/>
        <rFont val="Arial"/>
        <family val="2"/>
      </rPr>
      <t>IN(max)</t>
    </r>
  </si>
  <si>
    <r>
      <t>Selected Feedback Resistor, R</t>
    </r>
    <r>
      <rPr>
        <b/>
        <vertAlign val="subscript"/>
        <sz val="10"/>
        <rFont val="Arial"/>
        <family val="2"/>
      </rPr>
      <t>FB</t>
    </r>
  </si>
  <si>
    <t>Recommended Feedback Resistor</t>
  </si>
  <si>
    <t>Current Hysteresis</t>
  </si>
  <si>
    <t>Current after UVLO (rising)</t>
  </si>
  <si>
    <t>Current before UVLO (rising)</t>
  </si>
  <si>
    <r>
      <t>Upper UVLO Resistor, R</t>
    </r>
    <r>
      <rPr>
        <vertAlign val="subscript"/>
        <sz val="10"/>
        <rFont val="Arial"/>
        <family val="2"/>
      </rPr>
      <t>UV1</t>
    </r>
  </si>
  <si>
    <t>12.1 kΩ</t>
  </si>
  <si>
    <t>Show TC resistor ref des?</t>
  </si>
  <si>
    <t>TC YES/NO</t>
  </si>
  <si>
    <t>MODE_TC</t>
  </si>
  <si>
    <t>Rtc</t>
  </si>
  <si>
    <t>RSET resistor</t>
  </si>
  <si>
    <t>SS Cap</t>
  </si>
  <si>
    <t>mV/°C</t>
  </si>
  <si>
    <t>VOUT Thermal Compensation</t>
  </si>
  <si>
    <r>
      <t>Thermal Compensation Resistor, R</t>
    </r>
    <r>
      <rPr>
        <vertAlign val="subscript"/>
        <sz val="10"/>
        <rFont val="Arial"/>
        <family val="2"/>
      </rPr>
      <t>TC</t>
    </r>
  </si>
  <si>
    <t>Step 4: Feedback, Soft-start, TC, UVLO</t>
  </si>
  <si>
    <t>FB resistor</t>
  </si>
  <si>
    <t>Turns Ratio</t>
  </si>
  <si>
    <t>Rdcr_pri</t>
  </si>
  <si>
    <t>Rfb</t>
  </si>
  <si>
    <r>
      <t>Internal P</t>
    </r>
    <r>
      <rPr>
        <vertAlign val="subscript"/>
        <sz val="10"/>
        <rFont val="Arial"/>
        <family val="2"/>
      </rPr>
      <t>DISS</t>
    </r>
    <r>
      <rPr>
        <sz val="10"/>
        <rFont val="Arial"/>
        <family val="2"/>
      </rPr>
      <t xml:space="preserve"> at Full Load</t>
    </r>
  </si>
  <si>
    <t>Turns_Ratio</t>
  </si>
  <si>
    <t>Transformer Turns Ratio</t>
  </si>
  <si>
    <t>Schematic variable defined:</t>
  </si>
  <si>
    <t>Flyback MOSFET</t>
  </si>
  <si>
    <t>Rdson</t>
  </si>
  <si>
    <t>Qg</t>
  </si>
  <si>
    <t>Converter</t>
  </si>
  <si>
    <t>Gate charge of MOSFET @ VDD</t>
  </si>
  <si>
    <t>Drain-source resistance of MOSFET @ VDD, 25°C</t>
  </si>
  <si>
    <t>Flyback Diode</t>
  </si>
  <si>
    <t>Peak switch current</t>
  </si>
  <si>
    <t>Isw_max</t>
  </si>
  <si>
    <t>Qrr_Dfly</t>
  </si>
  <si>
    <t>Trr_Dfly</t>
  </si>
  <si>
    <t>Pout-max (W)</t>
  </si>
  <si>
    <t>Iout-max (A)</t>
  </si>
  <si>
    <t>Pout-max (W) at Vin-nom</t>
  </si>
  <si>
    <t>Iout-max (A) at Vin-nom</t>
  </si>
  <si>
    <t>Vsw-max (V) at Vin-nom</t>
  </si>
  <si>
    <t>Isw_min</t>
  </si>
  <si>
    <t>Min peak switch current</t>
  </si>
  <si>
    <t>Efficiency estimate</t>
  </si>
  <si>
    <t>Fsw_max</t>
  </si>
  <si>
    <t>Max Fsw</t>
  </si>
  <si>
    <t>Vin (V)</t>
  </si>
  <si>
    <t>Vsw-max (V)</t>
  </si>
  <si>
    <t>Isw (A)</t>
  </si>
  <si>
    <t>Ton-BCM (us)</t>
  </si>
  <si>
    <t>Toff-BCM (us)</t>
  </si>
  <si>
    <t>Ipri-min-BCM (A)</t>
  </si>
  <si>
    <t>Vout-Reflected (V)</t>
  </si>
  <si>
    <t>Fsw-BCM (kHz) at Iout-max</t>
  </si>
  <si>
    <t>Fsw-max-BCM (kHz)</t>
  </si>
  <si>
    <t>Voltages</t>
  </si>
  <si>
    <t>Toff-min-BCM (us)</t>
  </si>
  <si>
    <t>Iout-min-BCM (A)</t>
  </si>
  <si>
    <t>Toff-FFB (us)</t>
  </si>
  <si>
    <t xml:space="preserve">Fsw-BCM (kHz) </t>
  </si>
  <si>
    <t>Fsw-FFB (kHz)</t>
  </si>
  <si>
    <t>Iout-max-FFB (A)</t>
  </si>
  <si>
    <t>Fsw_DCM</t>
  </si>
  <si>
    <t>Ipri-DCM (A)</t>
  </si>
  <si>
    <t>Ipri (A)</t>
  </si>
  <si>
    <t>COMP (V)</t>
  </si>
  <si>
    <t>Fsw (kHz)</t>
  </si>
  <si>
    <t>Vout-actual (V)</t>
  </si>
  <si>
    <t>VIN-min</t>
  </si>
  <si>
    <t>VIN-max</t>
  </si>
  <si>
    <t>Vout_ripple</t>
  </si>
  <si>
    <t>Actual Output Ripple</t>
  </si>
  <si>
    <t>Ton at Full Load, Vin-nom</t>
  </si>
  <si>
    <t>Input voltage ripple spec (pk-pk) at Vin(nom) = 5%</t>
  </si>
  <si>
    <t>Input voltage ripple - Vinripple2</t>
  </si>
  <si>
    <t>Input current, full load, Vin(nom)</t>
  </si>
  <si>
    <t>Toff, Vin(nom)</t>
  </si>
  <si>
    <t>mVpk-pk</t>
  </si>
  <si>
    <t>Vpk-pk</t>
  </si>
  <si>
    <t>Peak primary current, full load, Vin(nom)</t>
  </si>
  <si>
    <t>Vinripple2</t>
  </si>
  <si>
    <t>Nps</t>
  </si>
  <si>
    <t>Rdcr_sec</t>
  </si>
  <si>
    <t>Rdcr_sec2</t>
  </si>
  <si>
    <t>Primary winding DCR</t>
  </si>
  <si>
    <t>Secondary winding DCR</t>
  </si>
  <si>
    <t>Chosen mag inductance</t>
  </si>
  <si>
    <t>Transformer Size</t>
  </si>
  <si>
    <t>1% Vout ripple spec</t>
  </si>
  <si>
    <t>Calculate input power assuming initial efficiency estimate</t>
  </si>
  <si>
    <t>Ipri-rms (A)</t>
  </si>
  <si>
    <t>Isec-rms (A)</t>
  </si>
  <si>
    <t>PCu-pri (W)</t>
  </si>
  <si>
    <t>PCu-sec (W)</t>
  </si>
  <si>
    <t>On/Off Times and Eff Duty Cycle</t>
  </si>
  <si>
    <t>Ton (µs)</t>
  </si>
  <si>
    <t>Toff (µs)</t>
  </si>
  <si>
    <t>Toff-FFB (µs)</t>
  </si>
  <si>
    <t>Toff-min-BCM (µs)</t>
  </si>
  <si>
    <t>Toff-BCM (µs)</t>
  </si>
  <si>
    <t>Ton-BCM (µs)</t>
  </si>
  <si>
    <t>Tsw (µs)</t>
  </si>
  <si>
    <t>Core Loss (W)</t>
  </si>
  <si>
    <t>P-FET-Coss (W)</t>
  </si>
  <si>
    <t>Cin / Cout</t>
  </si>
  <si>
    <t>RMS Currents</t>
  </si>
  <si>
    <t>Effective SW node capacitance (Ctr + Cdiode_refl)</t>
  </si>
  <si>
    <t>P-FET-Qg (W)</t>
  </si>
  <si>
    <t>P-FET-Cond (W)</t>
  </si>
  <si>
    <t>P-FET-Sw (W)</t>
  </si>
  <si>
    <t>P-Diode-Cond (W)</t>
  </si>
  <si>
    <t>P-Diode-Leak (W)</t>
  </si>
  <si>
    <r>
      <t>P-I</t>
    </r>
    <r>
      <rPr>
        <b/>
        <vertAlign val="subscript"/>
        <sz val="10"/>
        <rFont val="Arial"/>
        <family val="2"/>
      </rPr>
      <t>Q</t>
    </r>
    <r>
      <rPr>
        <b/>
        <sz val="10"/>
        <rFont val="Arial"/>
        <family val="2"/>
      </rPr>
      <t xml:space="preserve"> (W)</t>
    </r>
  </si>
  <si>
    <t>Core loss constant - consult transformer vendor</t>
  </si>
  <si>
    <t>Transformer primary winding DCR at 25°C</t>
  </si>
  <si>
    <t>LM5180 quiescent current</t>
  </si>
  <si>
    <t>Cout (µF) for 1% ripple</t>
  </si>
  <si>
    <t>P-Loss-Total (W)</t>
  </si>
  <si>
    <t>P-Diode-Snubber (W)</t>
  </si>
  <si>
    <t>P-LeakL-Clamp/Snub (W)</t>
  </si>
  <si>
    <t>Efficiency (%)</t>
  </si>
  <si>
    <t>P-Trans-Total (W)</t>
  </si>
  <si>
    <t>P-Diode-Total (W)</t>
  </si>
  <si>
    <t>I_LEAK</t>
  </si>
  <si>
    <t>Flyback Diode Loss</t>
  </si>
  <si>
    <t>Transformer Loss</t>
  </si>
  <si>
    <t>P-IC-Total (mW)</t>
  </si>
  <si>
    <t>Half-load efficiency</t>
  </si>
  <si>
    <t>IC Loss</t>
  </si>
  <si>
    <t>Nps1</t>
  </si>
  <si>
    <t>Nps2</t>
  </si>
  <si>
    <t>Step 5: Power Losses &amp; Thermals</t>
  </si>
  <si>
    <t xml:space="preserve">Resulting Input Voltage Ripple </t>
  </si>
  <si>
    <t>Check Iout-max</t>
  </si>
  <si>
    <t>Iout2</t>
  </si>
  <si>
    <t>Rout2</t>
  </si>
  <si>
    <t>Pout2</t>
  </si>
  <si>
    <t>Load resistance #2</t>
  </si>
  <si>
    <t>Output power #2</t>
  </si>
  <si>
    <t xml:space="preserve">Total Output Power </t>
  </si>
  <si>
    <t>Total power</t>
  </si>
  <si>
    <r>
      <t>Ambient Temperature, T</t>
    </r>
    <r>
      <rPr>
        <b/>
        <vertAlign val="subscript"/>
        <sz val="10"/>
        <rFont val="Arial"/>
        <family val="2"/>
      </rPr>
      <t>A</t>
    </r>
  </si>
  <si>
    <t>BIPOLAR</t>
  </si>
  <si>
    <t>Vinripple1 - Input ripple spec</t>
  </si>
  <si>
    <t>OUTPUT CURRENT #2 - BIPOLAR</t>
  </si>
  <si>
    <t>OUTPUT CURRENT #2 - DUAL</t>
  </si>
  <si>
    <t>Output Cap(s)</t>
  </si>
  <si>
    <t>Input Cap(s)</t>
  </si>
  <si>
    <t>Diode Ref Des</t>
  </si>
  <si>
    <r>
      <t>D</t>
    </r>
    <r>
      <rPr>
        <vertAlign val="subscript"/>
        <sz val="10"/>
        <rFont val="Arial"/>
        <family val="2"/>
      </rPr>
      <t>FLY1</t>
    </r>
  </si>
  <si>
    <t>Cin (µF) for 5% ripple</t>
  </si>
  <si>
    <t>Calculations are performed at Vin(nom), Vin(min) and Vin(max) below</t>
  </si>
  <si>
    <r>
      <t>R</t>
    </r>
    <r>
      <rPr>
        <vertAlign val="subscript"/>
        <sz val="10"/>
        <rFont val="Arial"/>
        <family val="2"/>
      </rPr>
      <t>TC</t>
    </r>
  </si>
  <si>
    <t>Feedback Resistance - chosen by user</t>
  </si>
  <si>
    <t>Step 8: FB and TC Resistors</t>
  </si>
  <si>
    <t>Selected Rfb</t>
  </si>
  <si>
    <t>Feedback Resistance - recommneded to user</t>
  </si>
  <si>
    <t>Diode TC</t>
  </si>
  <si>
    <t>Standard Value RTC</t>
  </si>
  <si>
    <t>WSON-8</t>
  </si>
  <si>
    <r>
      <t>Low I</t>
    </r>
    <r>
      <rPr>
        <b/>
        <vertAlign val="subscript"/>
        <sz val="16"/>
        <rFont val="Arial"/>
        <family val="2"/>
      </rPr>
      <t>Q</t>
    </r>
    <r>
      <rPr>
        <b/>
        <sz val="16"/>
        <rFont val="Arial"/>
        <family val="2"/>
      </rPr>
      <t>, High Efficiency, PSR Flyback Converter BOM</t>
    </r>
  </si>
  <si>
    <r>
      <t>T</t>
    </r>
    <r>
      <rPr>
        <vertAlign val="subscript"/>
        <sz val="10"/>
        <rFont val="Arial"/>
        <family val="2"/>
      </rPr>
      <t>1</t>
    </r>
  </si>
  <si>
    <r>
      <t>R</t>
    </r>
    <r>
      <rPr>
        <vertAlign val="subscript"/>
        <sz val="10"/>
        <rFont val="Arial"/>
        <family val="2"/>
      </rPr>
      <t>FB</t>
    </r>
  </si>
  <si>
    <t>Primary Winding DCR</t>
  </si>
  <si>
    <t>FUNCTIONAL</t>
  </si>
  <si>
    <t>BASIC</t>
  </si>
  <si>
    <t>REINFORCED</t>
  </si>
  <si>
    <t>Isolation Grade</t>
  </si>
  <si>
    <t>Output #1</t>
  </si>
  <si>
    <t>Output #2</t>
  </si>
  <si>
    <t>12.1kΩ</t>
  </si>
  <si>
    <r>
      <t>Output Capacitance, C</t>
    </r>
    <r>
      <rPr>
        <b/>
        <vertAlign val="subscript"/>
        <sz val="10"/>
        <rFont val="Arial"/>
        <family val="2"/>
      </rPr>
      <t>OUT2</t>
    </r>
    <r>
      <rPr>
        <b/>
        <sz val="10"/>
        <rFont val="Arial"/>
        <family val="2"/>
      </rPr>
      <t xml:space="preserve"> </t>
    </r>
  </si>
  <si>
    <t>Output Capacitor ESR</t>
  </si>
  <si>
    <t>Adjustable</t>
  </si>
  <si>
    <t>Internal</t>
  </si>
  <si>
    <t>Primary winding DCR at hot</t>
  </si>
  <si>
    <t>Secondary winding DCR at hot</t>
  </si>
  <si>
    <t>Secondary winding #2 DCR at hot</t>
  </si>
  <si>
    <t>Temp - Hot</t>
  </si>
  <si>
    <t>Secondary winding #2 DCR</t>
  </si>
  <si>
    <t>Output Ripple Spec (pk-pk) #2</t>
  </si>
  <si>
    <t>Cout2</t>
  </si>
  <si>
    <t>Coutmin2</t>
  </si>
  <si>
    <t>Reported Cout ESR max #2</t>
  </si>
  <si>
    <t>CoutEsr2</t>
  </si>
  <si>
    <t>1% Vout2 ripple spec</t>
  </si>
  <si>
    <t>Vout_ripple2</t>
  </si>
  <si>
    <t>Check min Ton and Toff times</t>
  </si>
  <si>
    <t>Transformer DCR Temp Co</t>
  </si>
  <si>
    <t>Transformer Core-to-Ambient Thermal Resistance</t>
  </si>
  <si>
    <r>
      <t>D</t>
    </r>
    <r>
      <rPr>
        <vertAlign val="subscript"/>
        <sz val="10"/>
        <rFont val="Arial"/>
        <family val="2"/>
      </rPr>
      <t>FLY2</t>
    </r>
    <r>
      <rPr>
        <sz val="11"/>
        <color theme="1"/>
        <rFont val="Arial"/>
        <family val="2"/>
      </rPr>
      <t/>
    </r>
  </si>
  <si>
    <t>EN/UVLO</t>
  </si>
  <si>
    <t>SS/BIAS</t>
  </si>
  <si>
    <t>TC</t>
  </si>
  <si>
    <t>RSET</t>
  </si>
  <si>
    <t>Step 7: UVLO Resistors</t>
  </si>
  <si>
    <t>Step 2: Circuit Configuration for Single/Dual Output, Int/Adj UVLO, Int/Adj SS, Yes/No TC</t>
  </si>
  <si>
    <t>Step 3: Flyback Transformer</t>
  </si>
  <si>
    <t>Step 3: Output Capacitor(s)</t>
  </si>
  <si>
    <t>DUAL OUTPUT</t>
  </si>
  <si>
    <t>check Ton for dual output…</t>
  </si>
  <si>
    <t>check Vripple variable name…</t>
  </si>
  <si>
    <t>Output voltage</t>
  </si>
  <si>
    <t>Maximum output current #2</t>
  </si>
  <si>
    <t>Output voltage #2</t>
  </si>
  <si>
    <t>DCM switching frequency</t>
  </si>
  <si>
    <t>Reference voltage</t>
  </si>
  <si>
    <t>Feedback resistor</t>
  </si>
  <si>
    <t>Power dissipation</t>
  </si>
  <si>
    <t>check…</t>
  </si>
  <si>
    <t>Turns_Ratio2</t>
  </si>
  <si>
    <t>Single Output or Dual 1st Output</t>
  </si>
  <si>
    <t>SEC1 to SEC2</t>
  </si>
  <si>
    <t>Nsec1sec2</t>
  </si>
  <si>
    <t>Scale</t>
  </si>
  <si>
    <t>PRI : SEC1 : SEC2</t>
  </si>
  <si>
    <t>Turns Ratio, PRI : SEC2</t>
  </si>
  <si>
    <t>TR primary-secondary2 (dual output) = Np/Nsec2</t>
  </si>
  <si>
    <t>TR sec1-sec2 (dual output) = Nsec1/Nsec2</t>
  </si>
  <si>
    <t>Iout2 (A)</t>
  </si>
  <si>
    <t>Iout1 (A)</t>
  </si>
  <si>
    <t>Pout1 (W)</t>
  </si>
  <si>
    <t>Pout2 (W)</t>
  </si>
  <si>
    <t>Iout1-max (A)</t>
  </si>
  <si>
    <t>Iout2-max (A)</t>
  </si>
  <si>
    <t>Vout1-actual (V)</t>
  </si>
  <si>
    <t>Vout1-Reflected (V)</t>
  </si>
  <si>
    <t>Iout1-min-BCM (A)</t>
  </si>
  <si>
    <t>Iout1-max-FFB (A)</t>
  </si>
  <si>
    <t>Turns Ratio, SEC1 : SEC2</t>
  </si>
  <si>
    <t>Pout1-max (W)</t>
  </si>
  <si>
    <t>Cout1 (µF) for 1% ripple</t>
  </si>
  <si>
    <t>Cout2 (µF) for 1% ripple</t>
  </si>
  <si>
    <t>Min 1uF</t>
  </si>
  <si>
    <t>Vripple1_spec</t>
  </si>
  <si>
    <t>Vripple2_actual</t>
  </si>
  <si>
    <t>Vripple1_actual</t>
  </si>
  <si>
    <t>Vripple2_spec</t>
  </si>
  <si>
    <t>Isec2-rms (A)</t>
  </si>
  <si>
    <t>Isec1-rms (A)</t>
  </si>
  <si>
    <t>P-Diode2-Cond (W)</t>
  </si>
  <si>
    <t>P-Diode1-Cond (W)</t>
  </si>
  <si>
    <t>PCu-sec2 (W)</t>
  </si>
  <si>
    <t>PCu-sec1 (W)</t>
  </si>
  <si>
    <t>Iout1 (%)</t>
  </si>
  <si>
    <t>Pout2-max (W)</t>
  </si>
  <si>
    <t>Max Pout at Vin-min</t>
  </si>
  <si>
    <t>Vout2 - absolute value</t>
  </si>
  <si>
    <t>Vout2 - with polarity</t>
  </si>
  <si>
    <t xml:space="preserve">Diode reverse voltage </t>
  </si>
  <si>
    <t>8mm x 8mm</t>
  </si>
  <si>
    <t>9mm x 9mm</t>
  </si>
  <si>
    <t>10mm x 10mm</t>
  </si>
  <si>
    <t>10mm x 12mm</t>
  </si>
  <si>
    <t>11mm x 13mm</t>
  </si>
  <si>
    <t>10 x 12</t>
  </si>
  <si>
    <t>10 x 10</t>
  </si>
  <si>
    <t>9 x 9</t>
  </si>
  <si>
    <t>8 x 8</t>
  </si>
  <si>
    <t>7 x 7</t>
  </si>
  <si>
    <t>6 x 6</t>
  </si>
  <si>
    <t>11 x 13</t>
  </si>
  <si>
    <r>
      <t>D</t>
    </r>
    <r>
      <rPr>
        <vertAlign val="subscript"/>
        <sz val="10"/>
        <rFont val="Arial"/>
        <family val="2"/>
      </rPr>
      <t>CLAMP</t>
    </r>
  </si>
  <si>
    <t>24V</t>
  </si>
  <si>
    <r>
      <t>C</t>
    </r>
    <r>
      <rPr>
        <vertAlign val="subscript"/>
        <sz val="10"/>
        <rFont val="Arial"/>
        <family val="2"/>
      </rPr>
      <t>OUT2</t>
    </r>
  </si>
  <si>
    <r>
      <t>D</t>
    </r>
    <r>
      <rPr>
        <vertAlign val="subscript"/>
        <sz val="10"/>
        <rFont val="Arial"/>
        <family val="2"/>
      </rPr>
      <t>FLY2</t>
    </r>
  </si>
  <si>
    <r>
      <t>D</t>
    </r>
    <r>
      <rPr>
        <vertAlign val="subscript"/>
        <sz val="10"/>
        <rFont val="Arial"/>
        <family val="2"/>
      </rPr>
      <t>FLY</t>
    </r>
  </si>
  <si>
    <r>
      <t>D</t>
    </r>
    <r>
      <rPr>
        <vertAlign val="subscript"/>
        <sz val="10"/>
        <rFont val="Arial"/>
        <family val="2"/>
      </rPr>
      <t>F</t>
    </r>
    <r>
      <rPr>
        <sz val="11"/>
        <color theme="1"/>
        <rFont val="Arial"/>
        <family val="2"/>
      </rPr>
      <t/>
    </r>
  </si>
  <si>
    <r>
      <t>R</t>
    </r>
    <r>
      <rPr>
        <vertAlign val="subscript"/>
        <sz val="10"/>
        <rFont val="Arial"/>
        <family val="2"/>
      </rPr>
      <t>SET</t>
    </r>
  </si>
  <si>
    <t>*** Use primary-side RC snubber from SW to VIN to dampen leakage inductance spike ***</t>
  </si>
  <si>
    <t>**** Use flyback diode RC snubber to dampen ringing if needed ****</t>
  </si>
  <si>
    <t>SOD323</t>
  </si>
  <si>
    <t>SOD123</t>
  </si>
  <si>
    <t>SMA</t>
  </si>
  <si>
    <t>Footprint</t>
  </si>
  <si>
    <t>Area</t>
  </si>
  <si>
    <t>Diode Size</t>
  </si>
  <si>
    <r>
      <t>D</t>
    </r>
    <r>
      <rPr>
        <vertAlign val="subscript"/>
        <sz val="10"/>
        <rFont val="Arial"/>
        <family val="2"/>
      </rPr>
      <t>OUT</t>
    </r>
  </si>
  <si>
    <t>3.6 x 1.8</t>
  </si>
  <si>
    <t>2.5 x 1.25</t>
  </si>
  <si>
    <t>SOD523</t>
  </si>
  <si>
    <t>Flyback Diode - forward current rating</t>
  </si>
  <si>
    <t>Flyback Diode - reverse voltage rating</t>
  </si>
  <si>
    <t>***** Use output zener to clamp the output at no load *****</t>
  </si>
  <si>
    <r>
      <t>Flyback Diode Voltage Drop, V</t>
    </r>
    <r>
      <rPr>
        <b/>
        <vertAlign val="subscript"/>
        <sz val="10"/>
        <rFont val="Arial"/>
        <family val="2"/>
      </rPr>
      <t>D(no-load)</t>
    </r>
  </si>
  <si>
    <r>
      <t>Flyback Diode Voltage Drop, V</t>
    </r>
    <r>
      <rPr>
        <b/>
        <vertAlign val="subscript"/>
        <sz val="10"/>
        <rFont val="Arial"/>
        <family val="2"/>
      </rPr>
      <t>D(full-load)</t>
    </r>
  </si>
  <si>
    <t>Flyback diode forward voltage at full load</t>
  </si>
  <si>
    <t>Flyback diode forward voltage at no load</t>
  </si>
  <si>
    <t>Vfwd1</t>
  </si>
  <si>
    <t>Vfwd2</t>
  </si>
  <si>
    <t>Transformer secondary winding DCR at 25°C</t>
  </si>
  <si>
    <t>Iout2_actual</t>
  </si>
  <si>
    <t>Maximum output current #1</t>
  </si>
  <si>
    <t>6ms Fixed</t>
  </si>
  <si>
    <t>Iout actual (A)</t>
  </si>
  <si>
    <t>Pout actual (W)</t>
  </si>
  <si>
    <t>Vout actual (V)</t>
  </si>
  <si>
    <t>Ton-diode (µs)</t>
  </si>
  <si>
    <t>Iout-actual</t>
  </si>
  <si>
    <t>Vout-actual -?</t>
  </si>
  <si>
    <t>Pout-actual (W)</t>
  </si>
  <si>
    <t>Vout-calc?</t>
  </si>
  <si>
    <r>
      <t>Duty Cycle at V</t>
    </r>
    <r>
      <rPr>
        <vertAlign val="subscript"/>
        <sz val="10"/>
        <rFont val="Arial"/>
        <family val="2"/>
      </rPr>
      <t>IN(min)</t>
    </r>
  </si>
  <si>
    <t>%</t>
  </si>
  <si>
    <t>Minimum Magnetizing Inductance</t>
  </si>
  <si>
    <t>Lmin</t>
  </si>
  <si>
    <t>Lleak</t>
  </si>
  <si>
    <t>nH</t>
  </si>
  <si>
    <t>Pri-Sec Leakage Inductance</t>
  </si>
  <si>
    <t>Check Fsw at  Iout-max</t>
  </si>
  <si>
    <t>Check Pout-max at  Iout-max</t>
  </si>
  <si>
    <t>LM5181 Parameters</t>
  </si>
  <si>
    <t>* Choose a transformer with saturation current rating higher than the peak current limit setting (5A) for all operating temperatures *</t>
  </si>
  <si>
    <t>LM25184-Q1</t>
  </si>
  <si>
    <t>VARIANT</t>
  </si>
  <si>
    <t>LM25184</t>
  </si>
  <si>
    <t>LM25183</t>
  </si>
  <si>
    <t xml:space="preserve">                      LM25183/4-Q1 PSR Flyback Converter Design Tool  </t>
  </si>
  <si>
    <r>
      <t>LM25183/4 Power Dissipation at Full Load, P</t>
    </r>
    <r>
      <rPr>
        <vertAlign val="subscript"/>
        <sz val="10"/>
        <rFont val="Arial"/>
        <family val="2"/>
      </rPr>
      <t>D</t>
    </r>
  </si>
  <si>
    <r>
      <t>LM25183/4 Junction Temperature at Full Load, T</t>
    </r>
    <r>
      <rPr>
        <vertAlign val="subscript"/>
        <sz val="10"/>
        <rFont val="Arial"/>
        <family val="2"/>
      </rPr>
      <t>J</t>
    </r>
  </si>
  <si>
    <t>SMB</t>
  </si>
  <si>
    <t>SMC</t>
  </si>
  <si>
    <t>TO-277</t>
  </si>
  <si>
    <t>5.0 x 2.7</t>
  </si>
  <si>
    <t>5.3 x 3.6</t>
  </si>
  <si>
    <t>8.1 x 6.2</t>
  </si>
  <si>
    <t>6.5 x 4.3</t>
  </si>
  <si>
    <r>
      <t>D</t>
    </r>
    <r>
      <rPr>
        <vertAlign val="subscript"/>
        <sz val="10"/>
        <rFont val="Arial"/>
        <family val="2"/>
      </rPr>
      <t>OUT2</t>
    </r>
  </si>
  <si>
    <t>uH</t>
  </si>
  <si>
    <t xml:space="preserve"> LM25183/4/-Q1 PSR Flyback Converter Design Tool</t>
  </si>
  <si>
    <t>LM25184EVM-S12 PCB Design, 2.2" x 1.4" (56mm x 36mm)</t>
  </si>
  <si>
    <t>toff-min LM25183</t>
  </si>
  <si>
    <t>toff-min LM25184</t>
  </si>
  <si>
    <t>toff_min1</t>
  </si>
  <si>
    <t>toff_min2</t>
  </si>
  <si>
    <r>
      <t>Primary Winding DCR Loss at Vin</t>
    </r>
    <r>
      <rPr>
        <vertAlign val="subscript"/>
        <sz val="10"/>
        <color theme="1"/>
        <rFont val="Arial"/>
        <family val="2"/>
      </rPr>
      <t>(nom)</t>
    </r>
  </si>
  <si>
    <r>
      <t>Secondary Winding DCR Loss at Vin</t>
    </r>
    <r>
      <rPr>
        <vertAlign val="subscript"/>
        <sz val="10"/>
        <color theme="1"/>
        <rFont val="Arial"/>
        <family val="2"/>
      </rPr>
      <t>(nom)</t>
    </r>
  </si>
  <si>
    <r>
      <t>Peak Primary Current at Vin</t>
    </r>
    <r>
      <rPr>
        <vertAlign val="subscript"/>
        <sz val="10"/>
        <color theme="1"/>
        <rFont val="Arial"/>
        <family val="2"/>
      </rPr>
      <t>(nom)</t>
    </r>
  </si>
  <si>
    <r>
      <t>Peak Secondary Current at Vin</t>
    </r>
    <r>
      <rPr>
        <vertAlign val="subscript"/>
        <sz val="10"/>
        <color theme="1"/>
        <rFont val="Arial"/>
        <family val="2"/>
      </rPr>
      <t>(nom)</t>
    </r>
  </si>
  <si>
    <t>Assume BCM</t>
  </si>
  <si>
    <t>Output Pk-Pk Ripple (mV)</t>
  </si>
  <si>
    <t>Fsw-FFM (kHz)</t>
  </si>
  <si>
    <t>Iout-max-FFM (A)</t>
  </si>
  <si>
    <t xml:space="preserve">Fsw-DCM/BCM (kHz) </t>
  </si>
  <si>
    <t>Output #1 Pk-Pk Ripple (mV)</t>
  </si>
  <si>
    <t>Output #2 Pk-Pk Ripple (mV)</t>
  </si>
  <si>
    <t>Input Pk-Pk Ripple (mV)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</si>
</sst>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64" formatCode="_(* #,##0.00_);_(* \(#,##0.00\);_(* &quot;-&quot;??_);_(@_)"/>
    <numFmt numFmtId="165" formatCode="0.00000"/>
    <numFmt numFmtId="166" formatCode="0.0000"/>
    <numFmt numFmtId="167" formatCode="0.000"/>
    <numFmt numFmtId="168" formatCode="0.0"/>
    <numFmt numFmtId="169" formatCode="0.000E+00"/>
    <numFmt numFmtId="170" formatCode="#0.0#"/>
    <numFmt numFmtId="171" formatCode="General&quot;k&quot;"/>
    <numFmt numFmtId="172" formatCode="General&quot;µF&quot;"/>
    <numFmt numFmtId="173" formatCode="General&quot;µH&quot;"/>
    <numFmt numFmtId="174" formatCode="&quot;Inductor, &quot;General&quot;-µH, 10%&quot;"/>
    <numFmt numFmtId="175" formatCode="&quot;Resistor, Chip, &quot;General&quot;-kΩ, 1/16W, 1%&quot;"/>
    <numFmt numFmtId="176" formatCode="0.E+00"/>
    <numFmt numFmtId="177" formatCode="0.0E+00"/>
    <numFmt numFmtId="178" formatCode="&quot;Capacitor, Ceramic, &quot;General&quot;-µF, 100V, X7R, 20%&quot;"/>
    <numFmt numFmtId="179" formatCode="0.000%"/>
    <numFmt numFmtId="180" formatCode="&quot;Capacitor, Ceramic, &quot;General&quot;-µF, 16V, X7R, 20%&quot;"/>
    <numFmt numFmtId="181" formatCode="&quot;Resistor, Chip, &quot;General&quot; kΩ, 1/16W, 1%&quot;"/>
    <numFmt numFmtId="182" formatCode="General&quot;M&quot;"/>
    <numFmt numFmtId="183" formatCode="&quot;Resistor, Chip, &quot;General&quot;kΩ, 1/16W, 1%&quot;"/>
    <numFmt numFmtId="184" formatCode="0E+00"/>
  </numFmts>
  <fonts count="83" x14ac:knownFonts="1">
    <font>
      <sz val="10"/>
      <name val="Arial"/>
    </font>
    <font>
      <sz val="11"/>
      <color theme="1"/>
      <name val="Arial"/>
      <family val="2"/>
    </font>
    <font>
      <sz val="11"/>
      <color theme="1"/>
      <name val="Calibri"/>
      <family val="2"/>
      <scheme val="minor"/>
    </font>
    <font>
      <sz val="10"/>
      <name val="Arial"/>
      <family val="2"/>
    </font>
    <font>
      <b/>
      <sz val="10"/>
      <name val="Arial"/>
      <family val="2"/>
    </font>
    <font>
      <b/>
      <sz val="22"/>
      <color indexed="44"/>
      <name val="Arial"/>
      <family val="2"/>
    </font>
    <font>
      <sz val="8"/>
      <name val="Arial"/>
      <family val="2"/>
    </font>
    <font>
      <b/>
      <i/>
      <sz val="10"/>
      <name val="Arial"/>
      <family val="2"/>
    </font>
    <font>
      <sz val="10"/>
      <name val="Arial"/>
      <family val="2"/>
    </font>
    <font>
      <vertAlign val="subscript"/>
      <sz val="10"/>
      <name val="Arial"/>
      <family val="2"/>
    </font>
    <font>
      <u/>
      <sz val="10"/>
      <color indexed="12"/>
      <name val="Arial"/>
      <family val="2"/>
    </font>
    <font>
      <b/>
      <sz val="16"/>
      <name val="Arial"/>
      <family val="2"/>
    </font>
    <font>
      <sz val="10"/>
      <color indexed="44"/>
      <name val="Arial"/>
      <family val="2"/>
    </font>
    <font>
      <b/>
      <sz val="28"/>
      <color indexed="44"/>
      <name val="Arial"/>
      <family val="2"/>
    </font>
    <font>
      <b/>
      <sz val="10"/>
      <color indexed="44"/>
      <name val="Arial"/>
      <family val="2"/>
    </font>
    <font>
      <sz val="10"/>
      <color indexed="8"/>
      <name val="Arial"/>
      <family val="2"/>
    </font>
    <font>
      <b/>
      <sz val="24"/>
      <color indexed="44"/>
      <name val="Arial"/>
      <family val="2"/>
    </font>
    <font>
      <sz val="10"/>
      <name val="Calibri"/>
      <family val="2"/>
    </font>
    <font>
      <b/>
      <sz val="10"/>
      <name val="Calibri"/>
      <family val="2"/>
    </font>
    <font>
      <sz val="10"/>
      <color indexed="55"/>
      <name val="Calibri"/>
      <family val="2"/>
    </font>
    <font>
      <b/>
      <sz val="10"/>
      <color indexed="9"/>
      <name val="Calibri"/>
      <family val="2"/>
    </font>
    <font>
      <b/>
      <sz val="12"/>
      <color indexed="48"/>
      <name val="Arial"/>
      <family val="2"/>
    </font>
    <font>
      <b/>
      <sz val="12"/>
      <color indexed="12"/>
      <name val="Arial"/>
      <family val="2"/>
    </font>
    <font>
      <b/>
      <sz val="12"/>
      <color indexed="9"/>
      <name val="Calibri"/>
      <family val="2"/>
    </font>
    <font>
      <b/>
      <sz val="22"/>
      <color indexed="9"/>
      <name val="Calibri"/>
      <family val="2"/>
    </font>
    <font>
      <b/>
      <sz val="10"/>
      <color indexed="13"/>
      <name val="Calibri"/>
      <family val="2"/>
    </font>
    <font>
      <sz val="10"/>
      <color indexed="56"/>
      <name val="Calibri"/>
      <family val="2"/>
    </font>
    <font>
      <sz val="10"/>
      <color indexed="8"/>
      <name val="Arial"/>
      <family val="2"/>
    </font>
    <font>
      <b/>
      <sz val="14"/>
      <color indexed="9"/>
      <name val="Calibri"/>
      <family val="2"/>
    </font>
    <font>
      <sz val="11"/>
      <color indexed="81"/>
      <name val="Tahoma"/>
      <family val="2"/>
    </font>
    <font>
      <b/>
      <i/>
      <sz val="14"/>
      <color indexed="12"/>
      <name val="Calibri"/>
      <family val="2"/>
    </font>
    <font>
      <b/>
      <sz val="9"/>
      <color indexed="81"/>
      <name val="Tahoma"/>
      <family val="2"/>
    </font>
    <font>
      <sz val="9"/>
      <color indexed="81"/>
      <name val="Tahoma"/>
      <family val="2"/>
    </font>
    <font>
      <b/>
      <u/>
      <sz val="9"/>
      <color indexed="81"/>
      <name val="Tahoma"/>
      <family val="2"/>
    </font>
    <font>
      <sz val="11"/>
      <color indexed="10"/>
      <name val="Tahoma"/>
      <family val="2"/>
    </font>
    <font>
      <b/>
      <sz val="11"/>
      <color indexed="10"/>
      <name val="Tahoma"/>
      <family val="2"/>
    </font>
    <font>
      <b/>
      <sz val="9"/>
      <color indexed="10"/>
      <name val="Tahoma"/>
      <family val="2"/>
    </font>
    <font>
      <sz val="9"/>
      <color indexed="39"/>
      <name val="Tahoma"/>
      <family val="2"/>
    </font>
    <font>
      <b/>
      <sz val="9"/>
      <color indexed="39"/>
      <name val="Tahoma"/>
      <family val="2"/>
    </font>
    <font>
      <b/>
      <vertAlign val="subscript"/>
      <sz val="9"/>
      <color indexed="81"/>
      <name val="Tahoma"/>
      <family val="2"/>
    </font>
    <font>
      <sz val="36"/>
      <color rgb="FFFF0000"/>
      <name val="Arial"/>
      <family val="2"/>
    </font>
    <font>
      <b/>
      <u/>
      <sz val="11"/>
      <color indexed="10"/>
      <name val="Tahoma"/>
      <family val="2"/>
    </font>
    <font>
      <sz val="16"/>
      <color theme="0"/>
      <name val="Arial"/>
      <family val="2"/>
    </font>
    <font>
      <b/>
      <vertAlign val="subscript"/>
      <sz val="10"/>
      <name val="Arial"/>
      <family val="2"/>
    </font>
    <font>
      <sz val="10"/>
      <color indexed="23"/>
      <name val="Arial"/>
      <family val="2"/>
    </font>
    <font>
      <sz val="10"/>
      <color indexed="55"/>
      <name val="Arial"/>
      <family val="2"/>
    </font>
    <font>
      <b/>
      <i/>
      <sz val="10"/>
      <color indexed="55"/>
      <name val="Arial"/>
      <family val="2"/>
    </font>
    <font>
      <b/>
      <i/>
      <sz val="14"/>
      <color indexed="12"/>
      <name val="Arial"/>
      <family val="2"/>
    </font>
    <font>
      <b/>
      <sz val="10"/>
      <color rgb="FFFF0000"/>
      <name val="Arial"/>
      <family val="2"/>
    </font>
    <font>
      <sz val="10"/>
      <color theme="1"/>
      <name val="Arial"/>
      <family val="2"/>
    </font>
    <font>
      <b/>
      <sz val="10"/>
      <color theme="1"/>
      <name val="Arial"/>
      <family val="2"/>
    </font>
    <font>
      <b/>
      <vertAlign val="subscript"/>
      <sz val="10"/>
      <color theme="1"/>
      <name val="Arial"/>
      <family val="2"/>
    </font>
    <font>
      <b/>
      <sz val="12"/>
      <color rgb="FF003366"/>
      <name val="Calibri"/>
      <family val="2"/>
    </font>
    <font>
      <sz val="10"/>
      <name val="Symbol"/>
      <family val="1"/>
      <charset val="2"/>
    </font>
    <font>
      <b/>
      <sz val="10"/>
      <color indexed="9"/>
      <name val="Arial"/>
      <family val="2"/>
    </font>
    <font>
      <b/>
      <sz val="12"/>
      <color rgb="FF0000FF"/>
      <name val="Arial"/>
      <family val="2"/>
    </font>
    <font>
      <b/>
      <u/>
      <sz val="10"/>
      <name val="Arial"/>
      <family val="2"/>
    </font>
    <font>
      <u/>
      <sz val="9"/>
      <color indexed="12"/>
      <name val="Tahoma"/>
      <family val="2"/>
    </font>
    <font>
      <sz val="10"/>
      <color rgb="FFFF0000"/>
      <name val="Arial"/>
      <family val="2"/>
    </font>
    <font>
      <sz val="10"/>
      <color theme="0"/>
      <name val="Arial"/>
      <family val="2"/>
    </font>
    <font>
      <sz val="30"/>
      <color theme="0"/>
      <name val="Arial"/>
      <family val="2"/>
    </font>
    <font>
      <sz val="10"/>
      <name val="Cambria"/>
      <family val="1"/>
      <scheme val="major"/>
    </font>
    <font>
      <b/>
      <sz val="10"/>
      <color indexed="8"/>
      <name val="Arial"/>
      <family val="2"/>
    </font>
    <font>
      <sz val="10"/>
      <name val="Times New Roman"/>
      <family val="1"/>
    </font>
    <font>
      <sz val="18"/>
      <name val="Arial"/>
      <family val="2"/>
    </font>
    <font>
      <b/>
      <sz val="11"/>
      <name val="Symbol"/>
      <family val="1"/>
      <charset val="2"/>
    </font>
    <font>
      <b/>
      <sz val="10"/>
      <color rgb="FF0000FF"/>
      <name val="Arial"/>
      <family val="2"/>
    </font>
    <font>
      <u/>
      <sz val="10"/>
      <color theme="0" tint="-0.499984740745262"/>
      <name val="Arial"/>
      <family val="2"/>
    </font>
    <font>
      <vertAlign val="subscript"/>
      <sz val="9"/>
      <color indexed="81"/>
      <name val="Tahoma"/>
      <family val="2"/>
    </font>
    <font>
      <b/>
      <vertAlign val="subscript"/>
      <sz val="16"/>
      <name val="Arial"/>
      <family val="2"/>
    </font>
    <font>
      <b/>
      <sz val="10"/>
      <color rgb="FF33CC33"/>
      <name val="Arial"/>
      <family val="2"/>
    </font>
    <font>
      <sz val="10"/>
      <name val="Arial"/>
      <family val="2"/>
    </font>
    <font>
      <sz val="9"/>
      <color indexed="8"/>
      <name val="Tahoma"/>
      <family val="2"/>
    </font>
    <font>
      <b/>
      <sz val="10"/>
      <color theme="0"/>
      <name val="Arial"/>
      <family val="2"/>
    </font>
    <font>
      <b/>
      <vertAlign val="superscript"/>
      <sz val="10"/>
      <color theme="0"/>
      <name val="Arial"/>
      <family val="2"/>
    </font>
    <font>
      <b/>
      <sz val="11"/>
      <color rgb="FFFF0000"/>
      <name val="Arial"/>
      <family val="2"/>
    </font>
    <font>
      <b/>
      <sz val="12"/>
      <color rgb="FFFF0000"/>
      <name val="Arial"/>
      <family val="2"/>
    </font>
    <font>
      <b/>
      <vertAlign val="superscript"/>
      <sz val="12"/>
      <color rgb="FFFF0000"/>
      <name val="Arial"/>
      <family val="2"/>
    </font>
    <font>
      <sz val="34"/>
      <color theme="0"/>
      <name val="Arial"/>
      <family val="2"/>
    </font>
    <font>
      <b/>
      <sz val="10"/>
      <color theme="6" tint="-0.249977111117893"/>
      <name val="Arial"/>
      <family val="2"/>
    </font>
    <font>
      <sz val="10"/>
      <color rgb="FF0000FF"/>
      <name val="Arial"/>
      <family val="2"/>
    </font>
    <font>
      <b/>
      <sz val="10"/>
      <color theme="9" tint="-0.249977111117893"/>
      <name val="Arial"/>
      <family val="2"/>
    </font>
    <font>
      <vertAlign val="subscript"/>
      <sz val="10"/>
      <color theme="1"/>
      <name val="Arial"/>
      <family val="2"/>
    </font>
  </fonts>
  <fills count="29">
    <fill>
      <patternFill patternType="none"/>
    </fill>
    <fill>
      <patternFill patternType="gray125"/>
    </fill>
    <fill>
      <patternFill patternType="solid">
        <fgColor indexed="44"/>
        <bgColor indexed="64"/>
      </patternFill>
    </fill>
    <fill>
      <patternFill patternType="solid">
        <fgColor indexed="8"/>
        <bgColor indexed="64"/>
      </patternFill>
    </fill>
    <fill>
      <patternFill patternType="solid">
        <fgColor indexed="22"/>
        <bgColor indexed="64"/>
      </patternFill>
    </fill>
    <fill>
      <patternFill patternType="solid">
        <fgColor indexed="55"/>
        <bgColor indexed="64"/>
      </patternFill>
    </fill>
    <fill>
      <patternFill patternType="solid">
        <fgColor indexed="45"/>
        <bgColor indexed="64"/>
      </patternFill>
    </fill>
    <fill>
      <patternFill patternType="solid">
        <fgColor indexed="46"/>
        <bgColor indexed="64"/>
      </patternFill>
    </fill>
    <fill>
      <patternFill patternType="solid">
        <fgColor indexed="9"/>
        <bgColor indexed="64"/>
      </patternFill>
    </fill>
    <fill>
      <patternFill patternType="solid">
        <fgColor indexed="13"/>
        <bgColor indexed="64"/>
      </patternFill>
    </fill>
    <fill>
      <patternFill patternType="solid">
        <fgColor indexed="52"/>
        <bgColor indexed="64"/>
      </patternFill>
    </fill>
    <fill>
      <patternFill patternType="solid">
        <fgColor indexed="50"/>
        <bgColor indexed="64"/>
      </patternFill>
    </fill>
    <fill>
      <patternFill patternType="solid">
        <fgColor theme="0"/>
        <bgColor indexed="64"/>
      </patternFill>
    </fill>
    <fill>
      <patternFill patternType="solid">
        <fgColor rgb="FFFF0000"/>
        <bgColor indexed="64"/>
      </patternFill>
    </fill>
    <fill>
      <patternFill patternType="solid">
        <fgColor theme="1"/>
        <bgColor indexed="64"/>
      </patternFill>
    </fill>
    <fill>
      <patternFill patternType="solid">
        <fgColor rgb="FFFFFF00"/>
        <bgColor indexed="64"/>
      </patternFill>
    </fill>
    <fill>
      <patternFill patternType="solid">
        <fgColor indexed="43"/>
        <bgColor indexed="64"/>
      </patternFill>
    </fill>
    <fill>
      <patternFill patternType="solid">
        <fgColor rgb="FFFFFF99"/>
        <bgColor indexed="64"/>
      </patternFill>
    </fill>
    <fill>
      <patternFill patternType="solid">
        <fgColor rgb="FFFF9900"/>
        <bgColor indexed="64"/>
      </patternFill>
    </fill>
    <fill>
      <patternFill patternType="solid">
        <fgColor rgb="FF99CC00"/>
        <bgColor indexed="64"/>
      </patternFill>
    </fill>
    <fill>
      <patternFill patternType="solid">
        <fgColor rgb="FFC0C0C0"/>
        <bgColor indexed="64"/>
      </patternFill>
    </fill>
    <fill>
      <patternFill patternType="solid">
        <fgColor rgb="FFFFC000"/>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rgb="FF33CC33"/>
        <bgColor indexed="64"/>
      </patternFill>
    </fill>
    <fill>
      <patternFill patternType="solid">
        <fgColor rgb="FF00B0F0"/>
        <bgColor indexed="64"/>
      </patternFill>
    </fill>
    <fill>
      <patternFill patternType="solid">
        <fgColor theme="3" tint="0.79998168889431442"/>
        <bgColor indexed="64"/>
      </patternFill>
    </fill>
    <fill>
      <patternFill patternType="solid">
        <fgColor rgb="FFFF00FF"/>
        <bgColor indexed="64"/>
      </patternFill>
    </fill>
  </fills>
  <borders count="7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55"/>
      </top>
      <bottom/>
      <diagonal/>
    </border>
    <border>
      <left/>
      <right/>
      <top/>
      <bottom style="medium">
        <color indexed="55"/>
      </bottom>
      <diagonal/>
    </border>
    <border>
      <left/>
      <right style="medium">
        <color indexed="55"/>
      </right>
      <top style="medium">
        <color indexed="55"/>
      </top>
      <bottom/>
      <diagonal/>
    </border>
    <border>
      <left/>
      <right style="medium">
        <color indexed="55"/>
      </right>
      <top/>
      <bottom/>
      <diagonal/>
    </border>
    <border>
      <left/>
      <right style="medium">
        <color indexed="55"/>
      </right>
      <top/>
      <bottom style="medium">
        <color indexed="55"/>
      </bottom>
      <diagonal/>
    </border>
    <border>
      <left style="medium">
        <color indexed="55"/>
      </left>
      <right/>
      <top style="medium">
        <color indexed="55"/>
      </top>
      <bottom/>
      <diagonal/>
    </border>
    <border>
      <left style="medium">
        <color indexed="55"/>
      </left>
      <right/>
      <top/>
      <bottom/>
      <diagonal/>
    </border>
    <border>
      <left style="medium">
        <color indexed="55"/>
      </left>
      <right/>
      <top/>
      <bottom style="medium">
        <color indexed="55"/>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indexed="64"/>
      </top>
      <bottom style="medium">
        <color indexed="64"/>
      </bottom>
      <diagonal/>
    </border>
    <border>
      <left/>
      <right/>
      <top style="medium">
        <color auto="1"/>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55"/>
      </top>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double">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s>
  <cellStyleXfs count="8">
    <xf numFmtId="0" fontId="0" fillId="0" borderId="0"/>
    <xf numFmtId="0" fontId="4" fillId="0" borderId="0" applyNumberFormat="0" applyFill="0" applyBorder="0" applyAlignment="0" applyProtection="0"/>
    <xf numFmtId="164" fontId="3" fillId="0" borderId="0" applyFont="0" applyFill="0" applyBorder="0" applyAlignment="0" applyProtection="0"/>
    <xf numFmtId="0" fontId="10" fillId="0" borderId="0" applyNumberFormat="0" applyFill="0" applyBorder="0" applyAlignment="0" applyProtection="0">
      <alignment vertical="top"/>
      <protection locked="0"/>
    </xf>
    <xf numFmtId="0" fontId="3" fillId="0" borderId="0"/>
    <xf numFmtId="0" fontId="2" fillId="0" borderId="0"/>
    <xf numFmtId="164" fontId="2" fillId="0" borderId="0" applyFont="0" applyFill="0" applyBorder="0" applyAlignment="0" applyProtection="0"/>
    <xf numFmtId="9" fontId="71" fillId="0" borderId="0" applyFont="0" applyFill="0" applyBorder="0" applyAlignment="0" applyProtection="0"/>
  </cellStyleXfs>
  <cellXfs count="711">
    <xf numFmtId="0" fontId="0" fillId="0" borderId="0" xfId="0"/>
    <xf numFmtId="0" fontId="23" fillId="24" borderId="0" xfId="0" applyFont="1" applyFill="1" applyBorder="1" applyAlignment="1" applyProtection="1">
      <alignment horizontal="center" vertical="center"/>
    </xf>
    <xf numFmtId="0" fontId="7" fillId="0" borderId="0" xfId="0" applyFont="1"/>
    <xf numFmtId="0" fontId="4" fillId="0" borderId="0" xfId="0" applyFont="1"/>
    <xf numFmtId="0" fontId="8" fillId="0" borderId="0" xfId="0" applyFont="1"/>
    <xf numFmtId="2" fontId="0" fillId="0" borderId="0" xfId="0" applyNumberFormat="1"/>
    <xf numFmtId="0" fontId="4" fillId="2" borderId="0" xfId="0" applyFont="1" applyFill="1"/>
    <xf numFmtId="0" fontId="0" fillId="0" borderId="0" xfId="0" applyBorder="1"/>
    <xf numFmtId="2" fontId="0" fillId="0" borderId="0" xfId="0" applyNumberFormat="1" applyBorder="1"/>
    <xf numFmtId="0" fontId="0" fillId="4" borderId="2" xfId="0" applyFill="1" applyBorder="1"/>
    <xf numFmtId="0" fontId="0" fillId="4" borderId="0" xfId="0" applyFill="1" applyBorder="1"/>
    <xf numFmtId="0" fontId="0" fillId="0" borderId="0" xfId="0" applyFill="1"/>
    <xf numFmtId="0" fontId="0" fillId="0" borderId="0" xfId="0" applyFill="1" applyBorder="1"/>
    <xf numFmtId="0" fontId="15" fillId="0" borderId="0" xfId="0" applyFont="1" applyFill="1" applyBorder="1"/>
    <xf numFmtId="0" fontId="4" fillId="0" borderId="0" xfId="0" applyFont="1" applyFill="1" applyBorder="1"/>
    <xf numFmtId="0" fontId="0" fillId="9" borderId="0" xfId="0" applyFill="1"/>
    <xf numFmtId="0" fontId="0" fillId="0" borderId="0" xfId="0" applyAlignment="1">
      <alignment horizontal="right"/>
    </xf>
    <xf numFmtId="0" fontId="17" fillId="0" borderId="0" xfId="0" applyFont="1"/>
    <xf numFmtId="11" fontId="7" fillId="0" borderId="0" xfId="0" applyNumberFormat="1" applyFont="1"/>
    <xf numFmtId="0" fontId="4" fillId="0" borderId="0" xfId="0" applyFont="1" applyFill="1" applyAlignment="1">
      <alignment horizontal="center"/>
    </xf>
    <xf numFmtId="0" fontId="4" fillId="4" borderId="0" xfId="0" applyFont="1" applyFill="1" applyAlignment="1">
      <alignment horizontal="center"/>
    </xf>
    <xf numFmtId="0" fontId="4" fillId="10" borderId="0" xfId="0" applyFont="1" applyFill="1" applyAlignment="1">
      <alignment horizontal="center"/>
    </xf>
    <xf numFmtId="0" fontId="4" fillId="11" borderId="0" xfId="0" applyFont="1" applyFill="1" applyAlignment="1">
      <alignment horizontal="center"/>
    </xf>
    <xf numFmtId="170" fontId="17" fillId="3" borderId="0" xfId="0" applyNumberFormat="1" applyFont="1" applyFill="1" applyBorder="1" applyAlignment="1" applyProtection="1">
      <alignment horizontal="center"/>
    </xf>
    <xf numFmtId="0" fontId="0" fillId="0" borderId="22" xfId="0" applyBorder="1"/>
    <xf numFmtId="0" fontId="0" fillId="0" borderId="23" xfId="0" applyBorder="1"/>
    <xf numFmtId="0" fontId="8" fillId="0" borderId="22" xfId="0" applyFont="1" applyBorder="1"/>
    <xf numFmtId="0" fontId="0" fillId="11" borderId="0" xfId="0" applyFill="1" applyBorder="1"/>
    <xf numFmtId="0" fontId="0" fillId="0" borderId="24" xfId="0" applyBorder="1"/>
    <xf numFmtId="0" fontId="0" fillId="0" borderId="25" xfId="0" applyBorder="1"/>
    <xf numFmtId="0" fontId="0" fillId="0" borderId="26" xfId="0" applyBorder="1"/>
    <xf numFmtId="0" fontId="0" fillId="0" borderId="2" xfId="0" applyBorder="1"/>
    <xf numFmtId="0" fontId="0" fillId="0" borderId="3" xfId="0" applyBorder="1"/>
    <xf numFmtId="0" fontId="7" fillId="0" borderId="22" xfId="0" applyFont="1" applyBorder="1"/>
    <xf numFmtId="0" fontId="4" fillId="0" borderId="22" xfId="0" applyFont="1" applyBorder="1"/>
    <xf numFmtId="11" fontId="0" fillId="11" borderId="0" xfId="0" applyNumberFormat="1" applyFill="1" applyBorder="1"/>
    <xf numFmtId="0" fontId="0" fillId="10" borderId="0" xfId="0" applyFill="1" applyBorder="1"/>
    <xf numFmtId="0" fontId="0" fillId="0" borderId="0" xfId="0" applyBorder="1" applyAlignment="1">
      <alignment horizontal="right"/>
    </xf>
    <xf numFmtId="0" fontId="0" fillId="0" borderId="25" xfId="0" applyBorder="1" applyAlignment="1">
      <alignment horizontal="right"/>
    </xf>
    <xf numFmtId="0" fontId="4" fillId="0" borderId="0" xfId="0" applyFont="1" applyBorder="1"/>
    <xf numFmtId="11" fontId="7" fillId="0" borderId="25" xfId="0" applyNumberFormat="1" applyFont="1" applyBorder="1"/>
    <xf numFmtId="11" fontId="0" fillId="4" borderId="0" xfId="0" applyNumberFormat="1" applyFill="1" applyBorder="1"/>
    <xf numFmtId="0" fontId="4" fillId="0" borderId="0" xfId="0" applyFont="1" applyFill="1" applyBorder="1" applyAlignment="1"/>
    <xf numFmtId="0" fontId="8" fillId="0" borderId="0" xfId="0" applyFont="1" applyFill="1" applyBorder="1" applyAlignment="1"/>
    <xf numFmtId="0" fontId="8" fillId="0" borderId="0" xfId="0" applyFont="1" applyFill="1" applyBorder="1"/>
    <xf numFmtId="0" fontId="17" fillId="3" borderId="0" xfId="0" applyFont="1" applyFill="1" applyBorder="1" applyProtection="1"/>
    <xf numFmtId="0" fontId="17" fillId="3" borderId="0" xfId="0" applyFont="1" applyFill="1" applyProtection="1"/>
    <xf numFmtId="0" fontId="18" fillId="8" borderId="0" xfId="0" applyFont="1" applyFill="1" applyBorder="1" applyAlignment="1" applyProtection="1"/>
    <xf numFmtId="0" fontId="18" fillId="8" borderId="0" xfId="0" applyFont="1" applyFill="1" applyBorder="1" applyAlignment="1" applyProtection="1">
      <alignment horizontal="right"/>
    </xf>
    <xf numFmtId="0" fontId="17" fillId="8" borderId="0" xfId="0" applyFont="1" applyFill="1" applyBorder="1" applyProtection="1"/>
    <xf numFmtId="0" fontId="21" fillId="0" borderId="0" xfId="0" applyFont="1" applyBorder="1"/>
    <xf numFmtId="0" fontId="4" fillId="0" borderId="0" xfId="0" applyFont="1" applyBorder="1" applyAlignment="1">
      <alignment horizontal="center"/>
    </xf>
    <xf numFmtId="0" fontId="0" fillId="0" borderId="1" xfId="0" applyBorder="1"/>
    <xf numFmtId="0" fontId="0" fillId="0" borderId="2" xfId="0" applyBorder="1" applyAlignment="1">
      <alignment horizontal="right"/>
    </xf>
    <xf numFmtId="0" fontId="22" fillId="0" borderId="0" xfId="0" applyFont="1" applyBorder="1"/>
    <xf numFmtId="0" fontId="4" fillId="0" borderId="22" xfId="0" applyFont="1" applyFill="1" applyBorder="1"/>
    <xf numFmtId="0" fontId="8" fillId="0" borderId="22" xfId="0" applyFont="1" applyFill="1" applyBorder="1"/>
    <xf numFmtId="0" fontId="0" fillId="0" borderId="2" xfId="0" applyBorder="1" applyAlignment="1"/>
    <xf numFmtId="0" fontId="27" fillId="0" borderId="0" xfId="0" applyFont="1" applyBorder="1"/>
    <xf numFmtId="0" fontId="27" fillId="4" borderId="0" xfId="0" applyFont="1" applyFill="1" applyBorder="1"/>
    <xf numFmtId="0" fontId="0" fillId="0" borderId="0" xfId="0" applyFont="1" applyFill="1" applyBorder="1"/>
    <xf numFmtId="0" fontId="21" fillId="0" borderId="32" xfId="0" applyFont="1" applyBorder="1"/>
    <xf numFmtId="0" fontId="0" fillId="0" borderId="27" xfId="0" applyBorder="1"/>
    <xf numFmtId="0" fontId="0" fillId="0" borderId="29" xfId="0" applyBorder="1"/>
    <xf numFmtId="0" fontId="8" fillId="0" borderId="33" xfId="0" applyFont="1" applyBorder="1"/>
    <xf numFmtId="0" fontId="0" fillId="0" borderId="30" xfId="0" applyBorder="1"/>
    <xf numFmtId="0" fontId="27" fillId="0" borderId="33" xfId="0" applyFont="1" applyBorder="1"/>
    <xf numFmtId="0" fontId="27" fillId="0" borderId="33" xfId="0" applyFont="1" applyFill="1" applyBorder="1"/>
    <xf numFmtId="0" fontId="27" fillId="0" borderId="34" xfId="0" applyFont="1" applyBorder="1"/>
    <xf numFmtId="0" fontId="27" fillId="0" borderId="28" xfId="0" applyFont="1" applyBorder="1"/>
    <xf numFmtId="0" fontId="0" fillId="0" borderId="28" xfId="0" applyBorder="1"/>
    <xf numFmtId="0" fontId="0" fillId="0" borderId="31" xfId="0" applyBorder="1"/>
    <xf numFmtId="0" fontId="19" fillId="8" borderId="0" xfId="0" applyFont="1" applyFill="1" applyBorder="1" applyProtection="1"/>
    <xf numFmtId="2" fontId="17" fillId="8" borderId="0" xfId="0" applyNumberFormat="1" applyFont="1" applyFill="1" applyBorder="1" applyProtection="1"/>
    <xf numFmtId="166" fontId="17" fillId="8" borderId="0" xfId="0" applyNumberFormat="1" applyFont="1" applyFill="1" applyBorder="1" applyProtection="1"/>
    <xf numFmtId="0" fontId="17" fillId="12" borderId="0" xfId="0" applyFont="1" applyFill="1" applyProtection="1"/>
    <xf numFmtId="0" fontId="3" fillId="0" borderId="0" xfId="0" applyFont="1"/>
    <xf numFmtId="0" fontId="3" fillId="0" borderId="0" xfId="0" applyFont="1" applyBorder="1"/>
    <xf numFmtId="0" fontId="0" fillId="0" borderId="0" xfId="0" applyBorder="1" applyAlignment="1">
      <alignment horizontal="left"/>
    </xf>
    <xf numFmtId="0" fontId="3" fillId="0" borderId="2" xfId="0" applyFont="1" applyBorder="1"/>
    <xf numFmtId="0" fontId="3" fillId="0" borderId="25" xfId="0" applyFont="1" applyBorder="1"/>
    <xf numFmtId="0" fontId="30" fillId="8" borderId="0" xfId="0" applyFont="1" applyFill="1" applyBorder="1" applyAlignment="1" applyProtection="1"/>
    <xf numFmtId="0" fontId="17" fillId="12" borderId="0" xfId="0" applyFont="1" applyFill="1" applyBorder="1" applyProtection="1"/>
    <xf numFmtId="0" fontId="20" fillId="15" borderId="0" xfId="0" applyFont="1" applyFill="1" applyBorder="1" applyAlignment="1" applyProtection="1">
      <alignment vertical="center"/>
    </xf>
    <xf numFmtId="0" fontId="0" fillId="14" borderId="0" xfId="0" applyFill="1"/>
    <xf numFmtId="0" fontId="42" fillId="14" borderId="0" xfId="0" applyFont="1" applyFill="1"/>
    <xf numFmtId="0" fontId="4" fillId="8" borderId="0" xfId="0" applyFont="1" applyFill="1" applyBorder="1" applyAlignment="1" applyProtection="1">
      <alignment horizontal="right"/>
    </xf>
    <xf numFmtId="0" fontId="3" fillId="8" borderId="0" xfId="0" applyFont="1" applyFill="1" applyBorder="1" applyAlignment="1" applyProtection="1">
      <alignment horizontal="right"/>
    </xf>
    <xf numFmtId="0" fontId="3" fillId="8" borderId="22" xfId="0" applyFont="1" applyFill="1" applyBorder="1" applyProtection="1"/>
    <xf numFmtId="0" fontId="3" fillId="8" borderId="0" xfId="0" applyFont="1" applyFill="1" applyBorder="1" applyProtection="1"/>
    <xf numFmtId="0" fontId="45" fillId="8" borderId="0" xfId="0" applyFont="1" applyFill="1" applyBorder="1" applyProtection="1"/>
    <xf numFmtId="0" fontId="46" fillId="8" borderId="0" xfId="0" applyFont="1" applyFill="1" applyBorder="1" applyProtection="1"/>
    <xf numFmtId="0" fontId="47" fillId="8" borderId="0" xfId="0" applyFont="1" applyFill="1" applyBorder="1" applyAlignment="1" applyProtection="1"/>
    <xf numFmtId="0" fontId="4" fillId="8" borderId="0" xfId="0" applyFont="1" applyFill="1" applyBorder="1" applyAlignment="1" applyProtection="1"/>
    <xf numFmtId="168" fontId="4" fillId="8" borderId="0" xfId="0" applyNumberFormat="1" applyFont="1" applyFill="1" applyBorder="1" applyAlignment="1" applyProtection="1"/>
    <xf numFmtId="0" fontId="47" fillId="8" borderId="0" xfId="0" applyFont="1" applyFill="1" applyBorder="1" applyProtection="1"/>
    <xf numFmtId="0" fontId="4" fillId="8" borderId="0" xfId="0" applyFont="1" applyFill="1" applyBorder="1" applyProtection="1"/>
    <xf numFmtId="0" fontId="4" fillId="8" borderId="22" xfId="0" applyFont="1" applyFill="1" applyBorder="1" applyProtection="1"/>
    <xf numFmtId="0" fontId="4" fillId="15" borderId="0" xfId="0" applyFont="1" applyFill="1" applyBorder="1" applyProtection="1">
      <protection locked="0"/>
    </xf>
    <xf numFmtId="1" fontId="44" fillId="8" borderId="0" xfId="0" applyNumberFormat="1" applyFont="1" applyFill="1" applyBorder="1" applyAlignment="1" applyProtection="1">
      <alignment horizontal="right"/>
    </xf>
    <xf numFmtId="0" fontId="50" fillId="8" borderId="0" xfId="0" applyFont="1" applyFill="1" applyBorder="1" applyAlignment="1" applyProtection="1">
      <alignment horizontal="right"/>
    </xf>
    <xf numFmtId="0" fontId="3" fillId="8" borderId="24" xfId="0" applyFont="1" applyFill="1" applyBorder="1" applyProtection="1"/>
    <xf numFmtId="0" fontId="3" fillId="8" borderId="25" xfId="0" applyFont="1" applyFill="1" applyBorder="1" applyProtection="1"/>
    <xf numFmtId="0" fontId="3" fillId="8" borderId="23" xfId="0" applyFont="1" applyFill="1" applyBorder="1" applyProtection="1"/>
    <xf numFmtId="0" fontId="3" fillId="8" borderId="39" xfId="0" applyFont="1" applyFill="1" applyBorder="1" applyProtection="1"/>
    <xf numFmtId="0" fontId="3" fillId="8" borderId="40" xfId="0" applyFont="1" applyFill="1" applyBorder="1" applyProtection="1"/>
    <xf numFmtId="0" fontId="22" fillId="8" borderId="22" xfId="0" applyFont="1" applyFill="1" applyBorder="1" applyAlignment="1" applyProtection="1">
      <alignment vertical="center"/>
    </xf>
    <xf numFmtId="0" fontId="17" fillId="3" borderId="22" xfId="0" applyFont="1" applyFill="1" applyBorder="1" applyProtection="1"/>
    <xf numFmtId="0" fontId="4" fillId="8" borderId="39" xfId="0" applyFont="1" applyFill="1" applyBorder="1" applyProtection="1"/>
    <xf numFmtId="0" fontId="3" fillId="0" borderId="1" xfId="0" applyFont="1" applyBorder="1"/>
    <xf numFmtId="0" fontId="3" fillId="0" borderId="22" xfId="0" applyFont="1" applyBorder="1"/>
    <xf numFmtId="0" fontId="3" fillId="0" borderId="0" xfId="0" applyFont="1" applyFill="1" applyBorder="1"/>
    <xf numFmtId="2" fontId="0" fillId="0" borderId="0" xfId="0" applyNumberFormat="1" applyBorder="1" applyAlignment="1">
      <alignment horizontal="right"/>
    </xf>
    <xf numFmtId="0" fontId="53" fillId="0" borderId="0" xfId="0" applyFont="1" applyBorder="1"/>
    <xf numFmtId="0" fontId="3" fillId="8" borderId="0" xfId="4" applyFill="1"/>
    <xf numFmtId="0" fontId="11" fillId="8" borderId="0" xfId="4" applyFont="1" applyFill="1" applyAlignment="1">
      <alignment vertical="center"/>
    </xf>
    <xf numFmtId="0" fontId="3" fillId="16" borderId="17" xfId="4" applyFill="1" applyBorder="1" applyAlignment="1">
      <alignment horizontal="center" vertical="center"/>
    </xf>
    <xf numFmtId="0" fontId="3" fillId="8" borderId="0" xfId="4" applyFill="1" applyAlignment="1">
      <alignment vertical="center"/>
    </xf>
    <xf numFmtId="0" fontId="3" fillId="17" borderId="17" xfId="4" applyFill="1" applyBorder="1" applyAlignment="1">
      <alignment horizontal="center" vertical="center"/>
    </xf>
    <xf numFmtId="0" fontId="3" fillId="17" borderId="11" xfId="4" applyFill="1" applyBorder="1" applyAlignment="1">
      <alignment vertical="center" wrapText="1"/>
    </xf>
    <xf numFmtId="171" fontId="3" fillId="17" borderId="11" xfId="4" applyNumberFormat="1" applyFill="1" applyBorder="1" applyAlignment="1">
      <alignment horizontal="center" vertical="center"/>
    </xf>
    <xf numFmtId="0" fontId="3" fillId="17" borderId="11" xfId="4" quotePrefix="1" applyFill="1" applyBorder="1" applyAlignment="1">
      <alignment horizontal="left" vertical="center"/>
    </xf>
    <xf numFmtId="0" fontId="3" fillId="17" borderId="11" xfId="4" applyFill="1" applyBorder="1" applyAlignment="1">
      <alignment horizontal="left" vertical="center"/>
    </xf>
    <xf numFmtId="0" fontId="3" fillId="12" borderId="17" xfId="4" applyFill="1" applyBorder="1" applyAlignment="1">
      <alignment horizontal="center" vertical="center"/>
    </xf>
    <xf numFmtId="0" fontId="3" fillId="12" borderId="11" xfId="4" applyFill="1" applyBorder="1" applyAlignment="1">
      <alignment vertical="center" wrapText="1"/>
    </xf>
    <xf numFmtId="171" fontId="3" fillId="12" borderId="11" xfId="4" applyNumberFormat="1" applyFill="1" applyBorder="1" applyAlignment="1">
      <alignment horizontal="center" vertical="center"/>
    </xf>
    <xf numFmtId="0" fontId="3" fillId="12" borderId="11" xfId="4" quotePrefix="1" applyFill="1" applyBorder="1" applyAlignment="1">
      <alignment horizontal="left" vertical="center"/>
    </xf>
    <xf numFmtId="0" fontId="3" fillId="12" borderId="11" xfId="4" applyFill="1" applyBorder="1" applyAlignment="1">
      <alignment horizontal="left" vertical="center"/>
    </xf>
    <xf numFmtId="0" fontId="3" fillId="16" borderId="11" xfId="4" applyFill="1" applyBorder="1" applyAlignment="1">
      <alignment vertical="center" wrapText="1"/>
    </xf>
    <xf numFmtId="0" fontId="3" fillId="16" borderId="11" xfId="4" quotePrefix="1" applyFill="1" applyBorder="1" applyAlignment="1">
      <alignment horizontal="left" vertical="center"/>
    </xf>
    <xf numFmtId="0" fontId="3" fillId="16" borderId="11" xfId="4" applyFill="1" applyBorder="1" applyAlignment="1">
      <alignment horizontal="left" vertical="center"/>
    </xf>
    <xf numFmtId="172" fontId="3" fillId="16" borderId="11" xfId="4" applyNumberFormat="1" applyFill="1" applyBorder="1" applyAlignment="1">
      <alignment horizontal="center" vertical="center"/>
    </xf>
    <xf numFmtId="0" fontId="3" fillId="12" borderId="0" xfId="4" applyFill="1"/>
    <xf numFmtId="1" fontId="0" fillId="4" borderId="0" xfId="0" applyNumberFormat="1" applyFill="1" applyBorder="1"/>
    <xf numFmtId="0" fontId="3" fillId="8" borderId="0" xfId="0" applyFont="1" applyFill="1" applyBorder="1" applyAlignment="1" applyProtection="1">
      <alignment vertical="center"/>
    </xf>
    <xf numFmtId="0" fontId="3" fillId="8" borderId="22" xfId="0" applyFont="1" applyFill="1" applyBorder="1" applyAlignment="1" applyProtection="1">
      <alignment vertical="center"/>
    </xf>
    <xf numFmtId="0" fontId="3" fillId="8" borderId="0" xfId="0" applyFont="1" applyFill="1" applyBorder="1" applyAlignment="1" applyProtection="1">
      <alignment horizontal="right" vertical="center"/>
    </xf>
    <xf numFmtId="0" fontId="3" fillId="8" borderId="23" xfId="0" applyFont="1" applyFill="1" applyBorder="1" applyAlignment="1" applyProtection="1">
      <alignment vertical="center"/>
    </xf>
    <xf numFmtId="0" fontId="3" fillId="8" borderId="24" xfId="0" applyFont="1" applyFill="1" applyBorder="1" applyAlignment="1" applyProtection="1">
      <alignment vertical="center"/>
    </xf>
    <xf numFmtId="0" fontId="3" fillId="8" borderId="25" xfId="0" applyFont="1" applyFill="1" applyBorder="1" applyAlignment="1" applyProtection="1">
      <alignment vertical="center"/>
    </xf>
    <xf numFmtId="0" fontId="3" fillId="8" borderId="26" xfId="0" applyFont="1" applyFill="1" applyBorder="1" applyAlignment="1" applyProtection="1">
      <alignment vertical="center"/>
    </xf>
    <xf numFmtId="0" fontId="3" fillId="8" borderId="37" xfId="0" applyFont="1" applyFill="1" applyBorder="1" applyAlignment="1" applyProtection="1">
      <alignment vertical="center"/>
    </xf>
    <xf numFmtId="0" fontId="3" fillId="8" borderId="2" xfId="0" applyFont="1" applyFill="1" applyBorder="1" applyAlignment="1" applyProtection="1">
      <alignment vertical="center"/>
    </xf>
    <xf numFmtId="0" fontId="3" fillId="8" borderId="2" xfId="0" applyFont="1" applyFill="1" applyBorder="1" applyAlignment="1" applyProtection="1">
      <alignment horizontal="right" vertical="center"/>
    </xf>
    <xf numFmtId="0" fontId="50" fillId="8" borderId="2" xfId="0" applyFont="1" applyFill="1" applyBorder="1" applyAlignment="1" applyProtection="1">
      <alignment horizontal="right" vertical="center"/>
    </xf>
    <xf numFmtId="0" fontId="4" fillId="15" borderId="2" xfId="0" applyNumberFormat="1" applyFont="1" applyFill="1" applyBorder="1" applyAlignment="1" applyProtection="1">
      <alignment vertical="center"/>
      <protection locked="0"/>
    </xf>
    <xf numFmtId="0" fontId="50" fillId="8" borderId="0" xfId="0" applyFont="1" applyFill="1" applyBorder="1" applyAlignment="1" applyProtection="1">
      <alignment horizontal="right" vertical="center"/>
    </xf>
    <xf numFmtId="0" fontId="4" fillId="15" borderId="0" xfId="0" applyNumberFormat="1" applyFont="1" applyFill="1" applyBorder="1" applyAlignment="1" applyProtection="1">
      <alignment vertical="center"/>
      <protection locked="0"/>
    </xf>
    <xf numFmtId="0" fontId="4" fillId="8" borderId="23" xfId="0" applyFont="1" applyFill="1" applyBorder="1" applyAlignment="1" applyProtection="1">
      <alignment vertical="center"/>
    </xf>
    <xf numFmtId="1" fontId="3" fillId="8" borderId="0" xfId="0" applyNumberFormat="1" applyFont="1" applyFill="1" applyBorder="1" applyAlignment="1" applyProtection="1">
      <alignment horizontal="right" vertical="center"/>
    </xf>
    <xf numFmtId="0" fontId="50" fillId="12" borderId="0" xfId="0" applyFont="1" applyFill="1" applyBorder="1" applyAlignment="1" applyProtection="1">
      <alignment horizontal="right" vertical="center"/>
    </xf>
    <xf numFmtId="0" fontId="4" fillId="15" borderId="0" xfId="0" applyFont="1" applyFill="1" applyBorder="1" applyAlignment="1" applyProtection="1">
      <alignment vertical="center"/>
      <protection locked="0"/>
    </xf>
    <xf numFmtId="0" fontId="4" fillId="8" borderId="0" xfId="0" applyFont="1" applyFill="1" applyBorder="1" applyAlignment="1" applyProtection="1">
      <alignment vertical="center"/>
    </xf>
    <xf numFmtId="0" fontId="4" fillId="8" borderId="0" xfId="0" applyFont="1" applyFill="1" applyBorder="1" applyAlignment="1" applyProtection="1">
      <alignment horizontal="right" vertical="center"/>
    </xf>
    <xf numFmtId="0" fontId="4" fillId="15" borderId="0" xfId="0" applyNumberFormat="1" applyFont="1" applyFill="1" applyBorder="1" applyAlignment="1" applyProtection="1">
      <alignment horizontal="right" vertical="center"/>
      <protection locked="0"/>
    </xf>
    <xf numFmtId="0" fontId="3" fillId="8" borderId="39" xfId="0" applyFont="1" applyFill="1" applyBorder="1" applyAlignment="1" applyProtection="1">
      <alignment vertical="center"/>
    </xf>
    <xf numFmtId="0" fontId="0" fillId="0" borderId="35" xfId="0" applyBorder="1"/>
    <xf numFmtId="0" fontId="0" fillId="18" borderId="0" xfId="0" applyFill="1" applyBorder="1"/>
    <xf numFmtId="0" fontId="3" fillId="0" borderId="0" xfId="0" applyFont="1" applyBorder="1" applyAlignment="1">
      <alignment horizontal="right"/>
    </xf>
    <xf numFmtId="0" fontId="4" fillId="0" borderId="35" xfId="0" applyFont="1" applyBorder="1" applyAlignment="1">
      <alignment horizontal="right"/>
    </xf>
    <xf numFmtId="0" fontId="4" fillId="0" borderId="25" xfId="0" applyFont="1" applyBorder="1" applyAlignment="1">
      <alignment horizontal="right"/>
    </xf>
    <xf numFmtId="0" fontId="4" fillId="0" borderId="0" xfId="0" applyFont="1" applyAlignment="1">
      <alignment horizontal="right"/>
    </xf>
    <xf numFmtId="0" fontId="4" fillId="0" borderId="35" xfId="0" applyFont="1" applyBorder="1"/>
    <xf numFmtId="0" fontId="4" fillId="0" borderId="25" xfId="0" applyFont="1" applyBorder="1"/>
    <xf numFmtId="0" fontId="4" fillId="0" borderId="0" xfId="0" applyFont="1" applyBorder="1" applyAlignment="1">
      <alignment horizontal="left"/>
    </xf>
    <xf numFmtId="167" fontId="7" fillId="10" borderId="0" xfId="0" applyNumberFormat="1" applyFont="1" applyFill="1" applyBorder="1"/>
    <xf numFmtId="2" fontId="0" fillId="18" borderId="0" xfId="0" applyNumberFormat="1" applyFill="1" applyBorder="1"/>
    <xf numFmtId="1" fontId="0" fillId="10" borderId="0" xfId="0" applyNumberFormat="1" applyFill="1" applyBorder="1"/>
    <xf numFmtId="0" fontId="3" fillId="0" borderId="35" xfId="0" applyFont="1" applyFill="1" applyBorder="1"/>
    <xf numFmtId="0" fontId="3" fillId="0" borderId="24" xfId="0" applyFont="1" applyBorder="1"/>
    <xf numFmtId="0" fontId="7" fillId="0" borderId="25" xfId="0" applyFont="1" applyFill="1" applyBorder="1"/>
    <xf numFmtId="168" fontId="0" fillId="0" borderId="0" xfId="0" applyNumberFormat="1" applyFill="1" applyBorder="1"/>
    <xf numFmtId="0" fontId="4" fillId="0" borderId="45" xfId="0" applyFont="1" applyFill="1" applyBorder="1"/>
    <xf numFmtId="0" fontId="0" fillId="20" borderId="0" xfId="0" applyFill="1" applyBorder="1"/>
    <xf numFmtId="0" fontId="3" fillId="0" borderId="0" xfId="4"/>
    <xf numFmtId="0" fontId="3" fillId="0" borderId="11" xfId="4" applyBorder="1"/>
    <xf numFmtId="2" fontId="3" fillId="0" borderId="0" xfId="4" applyNumberFormat="1"/>
    <xf numFmtId="167" fontId="0" fillId="0" borderId="0" xfId="0" applyNumberFormat="1"/>
    <xf numFmtId="1" fontId="7" fillId="10" borderId="0" xfId="0" applyNumberFormat="1" applyFont="1" applyFill="1" applyBorder="1"/>
    <xf numFmtId="0" fontId="3" fillId="0" borderId="49" xfId="0" applyFont="1" applyBorder="1"/>
    <xf numFmtId="167" fontId="3" fillId="0" borderId="50" xfId="0" applyNumberFormat="1" applyFont="1" applyFill="1" applyBorder="1"/>
    <xf numFmtId="11" fontId="7" fillId="0" borderId="50" xfId="0" applyNumberFormat="1" applyFont="1" applyBorder="1"/>
    <xf numFmtId="0" fontId="53" fillId="0" borderId="50" xfId="0" applyFont="1" applyBorder="1"/>
    <xf numFmtId="0" fontId="49" fillId="0" borderId="0" xfId="0" applyFont="1"/>
    <xf numFmtId="0" fontId="0" fillId="0" borderId="39" xfId="0" applyBorder="1"/>
    <xf numFmtId="0" fontId="50" fillId="0" borderId="0" xfId="0" applyFont="1"/>
    <xf numFmtId="0" fontId="48" fillId="0" borderId="0" xfId="0" applyFont="1" applyFill="1" applyBorder="1"/>
    <xf numFmtId="166" fontId="7" fillId="10" borderId="0" xfId="0" applyNumberFormat="1" applyFont="1" applyFill="1" applyBorder="1"/>
    <xf numFmtId="0" fontId="0" fillId="20" borderId="0" xfId="0" applyFill="1" applyBorder="1" applyAlignment="1">
      <alignment horizontal="right"/>
    </xf>
    <xf numFmtId="167" fontId="27" fillId="18" borderId="0" xfId="0" applyNumberFormat="1" applyFont="1" applyFill="1" applyBorder="1"/>
    <xf numFmtId="0" fontId="0" fillId="19" borderId="0" xfId="0" applyFill="1" applyBorder="1" applyAlignment="1">
      <alignment horizontal="right"/>
    </xf>
    <xf numFmtId="2" fontId="0" fillId="18" borderId="0" xfId="0" applyNumberFormat="1" applyFill="1" applyBorder="1" applyAlignment="1">
      <alignment horizontal="right"/>
    </xf>
    <xf numFmtId="0" fontId="3" fillId="0" borderId="11" xfId="4" applyFill="1" applyBorder="1"/>
    <xf numFmtId="0" fontId="3" fillId="0" borderId="0" xfId="4" applyFont="1"/>
    <xf numFmtId="167" fontId="3" fillId="0" borderId="11" xfId="4" applyNumberFormat="1" applyBorder="1"/>
    <xf numFmtId="0" fontId="0" fillId="19" borderId="0" xfId="0" applyFill="1" applyBorder="1"/>
    <xf numFmtId="2" fontId="3" fillId="0" borderId="0" xfId="0" applyNumberFormat="1" applyFont="1" applyFill="1" applyBorder="1"/>
    <xf numFmtId="0" fontId="3" fillId="20" borderId="0" xfId="0" applyFont="1" applyFill="1" applyBorder="1"/>
    <xf numFmtId="0" fontId="3" fillId="0" borderId="8" xfId="4" applyBorder="1"/>
    <xf numFmtId="177" fontId="0" fillId="10" borderId="0" xfId="0" applyNumberFormat="1" applyFill="1" applyBorder="1"/>
    <xf numFmtId="177" fontId="0" fillId="4" borderId="25" xfId="0" applyNumberFormat="1" applyFill="1" applyBorder="1"/>
    <xf numFmtId="1" fontId="3" fillId="0" borderId="0" xfId="4" applyNumberFormat="1"/>
    <xf numFmtId="0" fontId="0" fillId="0" borderId="0" xfId="0" applyNumberFormat="1" applyBorder="1"/>
    <xf numFmtId="0" fontId="0" fillId="0" borderId="0" xfId="0" applyBorder="1" applyAlignment="1"/>
    <xf numFmtId="0" fontId="15" fillId="0" borderId="33" xfId="0" applyFont="1" applyBorder="1"/>
    <xf numFmtId="0" fontId="15" fillId="0" borderId="0" xfId="0" applyFont="1" applyBorder="1"/>
    <xf numFmtId="0" fontId="54" fillId="3" borderId="43" xfId="4" applyFont="1" applyFill="1" applyBorder="1" applyAlignment="1">
      <alignment horizontal="center" vertical="center"/>
    </xf>
    <xf numFmtId="0" fontId="54" fillId="3" borderId="44" xfId="4" applyFont="1" applyFill="1" applyBorder="1" applyAlignment="1">
      <alignment horizontal="center" vertical="center"/>
    </xf>
    <xf numFmtId="11" fontId="49" fillId="0" borderId="0" xfId="0" applyNumberFormat="1" applyFont="1"/>
    <xf numFmtId="0" fontId="59" fillId="0" borderId="0" xfId="0" applyFont="1" applyFill="1" applyBorder="1"/>
    <xf numFmtId="0" fontId="3" fillId="8" borderId="35" xfId="0" applyFont="1" applyFill="1" applyBorder="1" applyAlignment="1" applyProtection="1">
      <alignment horizontal="right" vertical="center"/>
    </xf>
    <xf numFmtId="0" fontId="3" fillId="0" borderId="24" xfId="0" applyFont="1" applyFill="1" applyBorder="1"/>
    <xf numFmtId="0" fontId="3" fillId="8" borderId="39" xfId="0" applyFont="1" applyFill="1" applyBorder="1" applyAlignment="1" applyProtection="1">
      <alignment horizontal="right"/>
    </xf>
    <xf numFmtId="1" fontId="3" fillId="8" borderId="39" xfId="0" applyNumberFormat="1" applyFont="1" applyFill="1" applyBorder="1" applyProtection="1"/>
    <xf numFmtId="167" fontId="17" fillId="12" borderId="0" xfId="0" applyNumberFormat="1" applyFont="1" applyFill="1" applyBorder="1" applyProtection="1"/>
    <xf numFmtId="0" fontId="3" fillId="12" borderId="0" xfId="0" applyNumberFormat="1" applyFont="1" applyFill="1" applyBorder="1" applyAlignment="1" applyProtection="1">
      <alignment horizontal="right" vertical="center"/>
    </xf>
    <xf numFmtId="166" fontId="17" fillId="12" borderId="0" xfId="0" applyNumberFormat="1" applyFont="1" applyFill="1" applyBorder="1" applyProtection="1"/>
    <xf numFmtId="0" fontId="3" fillId="12" borderId="0" xfId="0" applyFont="1" applyFill="1" applyBorder="1" applyAlignment="1" applyProtection="1">
      <alignment vertical="center"/>
    </xf>
    <xf numFmtId="0" fontId="4" fillId="12" borderId="0" xfId="0" applyFont="1" applyFill="1" applyBorder="1" applyAlignment="1" applyProtection="1">
      <alignment vertical="center"/>
    </xf>
    <xf numFmtId="0" fontId="61" fillId="8" borderId="0" xfId="0" applyFont="1" applyFill="1" applyBorder="1" applyAlignment="1" applyProtection="1">
      <alignment horizontal="right" vertical="center"/>
    </xf>
    <xf numFmtId="166" fontId="3" fillId="0" borderId="0" xfId="4" applyNumberFormat="1"/>
    <xf numFmtId="167" fontId="3" fillId="0" borderId="0" xfId="4" applyNumberFormat="1"/>
    <xf numFmtId="165" fontId="3" fillId="0" borderId="0" xfId="4" applyNumberFormat="1"/>
    <xf numFmtId="10" fontId="3" fillId="0" borderId="0" xfId="4" applyNumberFormat="1"/>
    <xf numFmtId="0" fontId="4" fillId="4" borderId="49" xfId="4" applyFont="1" applyFill="1" applyBorder="1" applyAlignment="1"/>
    <xf numFmtId="0" fontId="7" fillId="4" borderId="35" xfId="4" applyFont="1" applyFill="1" applyBorder="1" applyAlignment="1"/>
    <xf numFmtId="166" fontId="3" fillId="4" borderId="52" xfId="4" applyNumberFormat="1" applyFill="1" applyBorder="1"/>
    <xf numFmtId="166" fontId="4" fillId="4" borderId="49" xfId="4" applyNumberFormat="1" applyFont="1" applyFill="1" applyBorder="1" applyAlignment="1"/>
    <xf numFmtId="166" fontId="7" fillId="4" borderId="50" xfId="4" applyNumberFormat="1" applyFont="1" applyFill="1" applyBorder="1" applyAlignment="1"/>
    <xf numFmtId="0" fontId="7" fillId="4" borderId="50" xfId="4" applyFont="1" applyFill="1" applyBorder="1" applyAlignment="1"/>
    <xf numFmtId="166" fontId="15" fillId="4" borderId="52" xfId="4" applyNumberFormat="1" applyFont="1" applyFill="1" applyBorder="1"/>
    <xf numFmtId="167" fontId="4" fillId="4" borderId="50" xfId="4" applyNumberFormat="1" applyFont="1" applyFill="1" applyBorder="1" applyAlignment="1">
      <alignment horizontal="left"/>
    </xf>
    <xf numFmtId="166" fontId="7" fillId="4" borderId="50" xfId="4" applyNumberFormat="1" applyFont="1" applyFill="1" applyBorder="1" applyAlignment="1">
      <alignment horizontal="center"/>
    </xf>
    <xf numFmtId="166" fontId="4" fillId="4" borderId="49" xfId="4" applyNumberFormat="1" applyFont="1" applyFill="1" applyBorder="1"/>
    <xf numFmtId="165" fontId="3" fillId="4" borderId="50" xfId="4" applyNumberFormat="1" applyFill="1" applyBorder="1"/>
    <xf numFmtId="165" fontId="3" fillId="4" borderId="52" xfId="4" applyNumberFormat="1" applyFill="1" applyBorder="1"/>
    <xf numFmtId="166" fontId="4" fillId="4" borderId="41" xfId="4" applyNumberFormat="1" applyFont="1" applyFill="1" applyBorder="1"/>
    <xf numFmtId="166" fontId="3" fillId="4" borderId="42" xfId="4" applyNumberFormat="1" applyFill="1" applyBorder="1"/>
    <xf numFmtId="166" fontId="4" fillId="4" borderId="41" xfId="4" applyNumberFormat="1" applyFont="1" applyFill="1" applyBorder="1" applyAlignment="1">
      <alignment horizontal="left"/>
    </xf>
    <xf numFmtId="166" fontId="4" fillId="4" borderId="42" xfId="4" applyNumberFormat="1" applyFont="1" applyFill="1" applyBorder="1" applyAlignment="1">
      <alignment horizontal="left"/>
    </xf>
    <xf numFmtId="166" fontId="3" fillId="4" borderId="54" xfId="4" applyNumberFormat="1" applyFill="1" applyBorder="1"/>
    <xf numFmtId="0" fontId="16" fillId="3" borderId="4" xfId="4" applyFont="1" applyFill="1" applyBorder="1" applyAlignment="1">
      <alignment vertical="center"/>
    </xf>
    <xf numFmtId="0" fontId="16" fillId="3" borderId="4" xfId="4" applyFont="1" applyFill="1" applyBorder="1" applyAlignment="1"/>
    <xf numFmtId="0" fontId="12" fillId="3" borderId="0" xfId="4" applyFont="1" applyFill="1"/>
    <xf numFmtId="0" fontId="3" fillId="3" borderId="0" xfId="4" applyFill="1"/>
    <xf numFmtId="0" fontId="4" fillId="2" borderId="5" xfId="4" applyFont="1" applyFill="1" applyBorder="1" applyAlignment="1">
      <alignment horizontal="center" vertical="center" wrapText="1"/>
    </xf>
    <xf numFmtId="0" fontId="4" fillId="2" borderId="6" xfId="4" applyFont="1" applyFill="1" applyBorder="1" applyAlignment="1">
      <alignment horizontal="center" vertical="center" wrapText="1"/>
    </xf>
    <xf numFmtId="166" fontId="4" fillId="2" borderId="7" xfId="4" applyNumberFormat="1" applyFont="1" applyFill="1" applyBorder="1" applyAlignment="1">
      <alignment horizontal="center" vertical="center" wrapText="1"/>
    </xf>
    <xf numFmtId="166" fontId="4" fillId="2" borderId="6" xfId="4" applyNumberFormat="1" applyFont="1" applyFill="1" applyBorder="1" applyAlignment="1">
      <alignment horizontal="center" vertical="center" wrapText="1"/>
    </xf>
    <xf numFmtId="1" fontId="4" fillId="2" borderId="55" xfId="4" applyNumberFormat="1" applyFont="1" applyFill="1" applyBorder="1" applyAlignment="1">
      <alignment horizontal="center" vertical="center" wrapText="1"/>
    </xf>
    <xf numFmtId="1" fontId="4" fillId="2" borderId="6" xfId="4" applyNumberFormat="1" applyFont="1" applyFill="1" applyBorder="1" applyAlignment="1">
      <alignment horizontal="center" vertical="center" wrapText="1"/>
    </xf>
    <xf numFmtId="166" fontId="4" fillId="2" borderId="5" xfId="4" applyNumberFormat="1" applyFont="1" applyFill="1" applyBorder="1" applyAlignment="1">
      <alignment horizontal="center" vertical="center" wrapText="1"/>
    </xf>
    <xf numFmtId="167" fontId="4" fillId="2" borderId="20" xfId="4" applyNumberFormat="1" applyFont="1" applyFill="1" applyBorder="1" applyAlignment="1">
      <alignment horizontal="center" vertical="center" wrapText="1"/>
    </xf>
    <xf numFmtId="165" fontId="4" fillId="2" borderId="6" xfId="4" applyNumberFormat="1" applyFont="1" applyFill="1" applyBorder="1" applyAlignment="1">
      <alignment horizontal="center" vertical="center" wrapText="1"/>
    </xf>
    <xf numFmtId="165" fontId="4" fillId="2" borderId="7" xfId="4" applyNumberFormat="1" applyFont="1" applyFill="1" applyBorder="1" applyAlignment="1">
      <alignment horizontal="center" vertical="center" wrapText="1"/>
    </xf>
    <xf numFmtId="166" fontId="4" fillId="2" borderId="19" xfId="4" applyNumberFormat="1" applyFont="1" applyFill="1" applyBorder="1" applyAlignment="1">
      <alignment horizontal="center" vertical="center" wrapText="1"/>
    </xf>
    <xf numFmtId="166" fontId="4" fillId="2" borderId="21" xfId="4" applyNumberFormat="1" applyFont="1" applyFill="1" applyBorder="1" applyAlignment="1">
      <alignment horizontal="center" vertical="center" wrapText="1"/>
    </xf>
    <xf numFmtId="166" fontId="4" fillId="2" borderId="56" xfId="4" applyNumberFormat="1" applyFont="1" applyFill="1" applyBorder="1" applyAlignment="1">
      <alignment horizontal="center" vertical="center" wrapText="1"/>
    </xf>
    <xf numFmtId="166" fontId="4" fillId="2" borderId="57" xfId="4" applyNumberFormat="1" applyFont="1" applyFill="1" applyBorder="1" applyAlignment="1">
      <alignment horizontal="center" vertical="center" wrapText="1"/>
    </xf>
    <xf numFmtId="166" fontId="4" fillId="2" borderId="58" xfId="4" applyNumberFormat="1" applyFont="1" applyFill="1" applyBorder="1" applyAlignment="1">
      <alignment horizontal="center" vertical="center" wrapText="1"/>
    </xf>
    <xf numFmtId="2" fontId="4" fillId="7" borderId="14" xfId="4" applyNumberFormat="1" applyFont="1" applyFill="1" applyBorder="1" applyAlignment="1">
      <alignment horizontal="center" vertical="center" wrapText="1"/>
    </xf>
    <xf numFmtId="0" fontId="4" fillId="2" borderId="53" xfId="4" applyFont="1" applyFill="1" applyBorder="1" applyAlignment="1">
      <alignment horizontal="center" vertical="center" wrapText="1"/>
    </xf>
    <xf numFmtId="1" fontId="4" fillId="2" borderId="0" xfId="4" quotePrefix="1" applyNumberFormat="1" applyFont="1" applyFill="1" applyBorder="1" applyAlignment="1">
      <alignment horizontal="center" vertical="center" wrapText="1"/>
    </xf>
    <xf numFmtId="0" fontId="3" fillId="0" borderId="0" xfId="4" quotePrefix="1"/>
    <xf numFmtId="0" fontId="4" fillId="2" borderId="0" xfId="4" applyFont="1" applyFill="1" applyBorder="1" applyAlignment="1">
      <alignment horizontal="center" vertical="center" wrapText="1"/>
    </xf>
    <xf numFmtId="0" fontId="4" fillId="5" borderId="8" xfId="4" applyFont="1" applyFill="1" applyBorder="1" applyAlignment="1"/>
    <xf numFmtId="0" fontId="4" fillId="5" borderId="9" xfId="4" applyFont="1" applyFill="1" applyBorder="1" applyAlignment="1"/>
    <xf numFmtId="0" fontId="4" fillId="5" borderId="10" xfId="4" applyFont="1" applyFill="1" applyBorder="1" applyAlignment="1"/>
    <xf numFmtId="0" fontId="4" fillId="5" borderId="10" xfId="4" applyFont="1" applyFill="1" applyBorder="1"/>
    <xf numFmtId="0" fontId="4" fillId="5" borderId="11" xfId="4" applyFont="1" applyFill="1" applyBorder="1"/>
    <xf numFmtId="0" fontId="4" fillId="0" borderId="0" xfId="4" applyFont="1" applyFill="1" applyBorder="1"/>
    <xf numFmtId="169" fontId="3" fillId="0" borderId="0" xfId="4" applyNumberFormat="1"/>
    <xf numFmtId="11" fontId="3" fillId="0" borderId="0" xfId="4" applyNumberFormat="1"/>
    <xf numFmtId="2" fontId="3" fillId="0" borderId="11" xfId="4" applyNumberFormat="1" applyBorder="1"/>
    <xf numFmtId="1" fontId="3" fillId="0" borderId="0" xfId="4" applyNumberFormat="1" applyFont="1" applyProtection="1">
      <protection locked="0"/>
    </xf>
    <xf numFmtId="10" fontId="3" fillId="0" borderId="0" xfId="4" applyNumberFormat="1" applyFont="1" applyProtection="1">
      <protection locked="0"/>
    </xf>
    <xf numFmtId="10" fontId="3" fillId="0" borderId="0" xfId="4" applyNumberFormat="1" applyProtection="1">
      <protection locked="0"/>
    </xf>
    <xf numFmtId="0" fontId="4" fillId="6" borderId="12" xfId="4" applyFont="1" applyFill="1" applyBorder="1"/>
    <xf numFmtId="0" fontId="3" fillId="2" borderId="11" xfId="4" applyFont="1" applyFill="1" applyBorder="1" applyProtection="1">
      <protection locked="0"/>
    </xf>
    <xf numFmtId="0" fontId="3" fillId="0" borderId="11" xfId="4" applyFont="1" applyBorder="1"/>
    <xf numFmtId="0" fontId="4" fillId="6" borderId="11" xfId="4" applyFont="1" applyFill="1" applyBorder="1"/>
    <xf numFmtId="0" fontId="3" fillId="0" borderId="11" xfId="4" applyFont="1" applyFill="1" applyBorder="1"/>
    <xf numFmtId="0" fontId="53" fillId="0" borderId="11" xfId="4" applyFont="1" applyBorder="1"/>
    <xf numFmtId="0" fontId="3" fillId="4" borderId="11" xfId="4" applyFont="1" applyFill="1" applyBorder="1"/>
    <xf numFmtId="0" fontId="3" fillId="4" borderId="11" xfId="4" applyFont="1" applyFill="1" applyBorder="1" applyProtection="1">
      <protection locked="0"/>
    </xf>
    <xf numFmtId="0" fontId="14" fillId="3" borderId="0" xfId="4" applyFont="1" applyFill="1"/>
    <xf numFmtId="0" fontId="4" fillId="5" borderId="8" xfId="4" applyFont="1" applyFill="1" applyBorder="1"/>
    <xf numFmtId="0" fontId="4" fillId="5" borderId="9" xfId="4" applyFont="1" applyFill="1" applyBorder="1"/>
    <xf numFmtId="0" fontId="4" fillId="5" borderId="15" xfId="4" applyFont="1" applyFill="1" applyBorder="1"/>
    <xf numFmtId="0" fontId="3" fillId="4" borderId="11" xfId="4" applyFill="1" applyBorder="1"/>
    <xf numFmtId="167" fontId="15" fillId="22" borderId="11" xfId="4" applyNumberFormat="1" applyFont="1" applyFill="1" applyBorder="1"/>
    <xf numFmtId="0" fontId="3" fillId="0" borderId="15" xfId="4" applyFont="1" applyBorder="1"/>
    <xf numFmtId="11" fontId="3" fillId="0" borderId="8" xfId="4" applyNumberFormat="1" applyBorder="1"/>
    <xf numFmtId="11" fontId="3" fillId="0" borderId="11" xfId="4" applyNumberFormat="1" applyBorder="1"/>
    <xf numFmtId="1" fontId="15" fillId="22" borderId="11" xfId="4" applyNumberFormat="1" applyFont="1" applyFill="1" applyBorder="1"/>
    <xf numFmtId="1" fontId="62" fillId="22" borderId="11" xfId="4" applyNumberFormat="1" applyFont="1" applyFill="1" applyBorder="1"/>
    <xf numFmtId="1" fontId="3" fillId="0" borderId="8" xfId="4" applyNumberFormat="1" applyBorder="1"/>
    <xf numFmtId="0" fontId="3" fillId="23" borderId="11" xfId="4" applyFill="1" applyBorder="1"/>
    <xf numFmtId="1" fontId="15" fillId="22" borderId="11" xfId="4" applyNumberFormat="1" applyFont="1" applyFill="1" applyBorder="1" applyProtection="1">
      <protection locked="0"/>
    </xf>
    <xf numFmtId="176" fontId="3" fillId="0" borderId="11" xfId="4" applyNumberFormat="1" applyBorder="1"/>
    <xf numFmtId="0" fontId="4" fillId="6" borderId="8" xfId="4" applyFont="1" applyFill="1" applyBorder="1"/>
    <xf numFmtId="0" fontId="4" fillId="0" borderId="0" xfId="4" applyFont="1" applyFill="1" applyBorder="1" applyAlignment="1">
      <alignment horizontal="right"/>
    </xf>
    <xf numFmtId="0" fontId="3" fillId="6" borderId="8" xfId="4" applyFill="1" applyBorder="1"/>
    <xf numFmtId="0" fontId="3" fillId="0" borderId="47" xfId="4" applyFont="1" applyFill="1" applyBorder="1"/>
    <xf numFmtId="0" fontId="53" fillId="0" borderId="15" xfId="4" applyFont="1" applyBorder="1"/>
    <xf numFmtId="0" fontId="3" fillId="6" borderId="8" xfId="4" applyFont="1" applyFill="1" applyBorder="1"/>
    <xf numFmtId="177" fontId="3" fillId="0" borderId="47" xfId="4" applyNumberFormat="1" applyFont="1" applyFill="1" applyBorder="1"/>
    <xf numFmtId="176" fontId="3" fillId="0" borderId="11" xfId="4" applyNumberFormat="1" applyFont="1" applyFill="1" applyBorder="1"/>
    <xf numFmtId="0" fontId="4" fillId="0" borderId="11" xfId="4" applyFont="1" applyFill="1" applyBorder="1"/>
    <xf numFmtId="0" fontId="4" fillId="6" borderId="48" xfId="4" applyFont="1" applyFill="1" applyBorder="1"/>
    <xf numFmtId="0" fontId="3" fillId="0" borderId="16" xfId="4" applyFont="1" applyBorder="1"/>
    <xf numFmtId="11" fontId="3" fillId="0" borderId="48" xfId="4" applyNumberFormat="1" applyBorder="1"/>
    <xf numFmtId="0" fontId="3" fillId="0" borderId="12" xfId="4" applyFont="1" applyFill="1" applyBorder="1"/>
    <xf numFmtId="0" fontId="4" fillId="5" borderId="0" xfId="4" applyFont="1" applyFill="1"/>
    <xf numFmtId="0" fontId="4" fillId="5" borderId="0" xfId="4" applyFont="1" applyFill="1" applyBorder="1"/>
    <xf numFmtId="0" fontId="4" fillId="5" borderId="14" xfId="4" applyFont="1" applyFill="1" applyBorder="1"/>
    <xf numFmtId="0" fontId="3" fillId="0" borderId="11" xfId="4" applyFont="1" applyFill="1" applyBorder="1" applyProtection="1">
      <protection locked="0"/>
    </xf>
    <xf numFmtId="0" fontId="3" fillId="6" borderId="9" xfId="4" applyFill="1" applyBorder="1"/>
    <xf numFmtId="0" fontId="3" fillId="0" borderId="47" xfId="4" applyFont="1" applyFill="1" applyBorder="1" applyProtection="1">
      <protection locked="0"/>
    </xf>
    <xf numFmtId="0" fontId="4" fillId="5" borderId="4" xfId="4" applyFont="1" applyFill="1" applyBorder="1" applyAlignment="1"/>
    <xf numFmtId="0" fontId="4" fillId="5" borderId="12" xfId="4" applyFont="1" applyFill="1" applyBorder="1"/>
    <xf numFmtId="0" fontId="3" fillId="6" borderId="11" xfId="4" applyFill="1" applyBorder="1"/>
    <xf numFmtId="0" fontId="3" fillId="0" borderId="51" xfId="4" applyFont="1" applyFill="1" applyBorder="1" applyProtection="1">
      <protection locked="0"/>
    </xf>
    <xf numFmtId="0" fontId="3" fillId="21" borderId="51" xfId="4" applyFont="1" applyFill="1" applyBorder="1" applyProtection="1">
      <protection locked="0"/>
    </xf>
    <xf numFmtId="0" fontId="3" fillId="0" borderId="0" xfId="4" applyFont="1" applyFill="1" applyBorder="1"/>
    <xf numFmtId="177" fontId="3" fillId="0" borderId="11" xfId="4" applyNumberFormat="1" applyBorder="1"/>
    <xf numFmtId="0" fontId="4" fillId="5" borderId="0" xfId="4" applyFont="1" applyFill="1" applyBorder="1" applyAlignment="1" applyProtection="1">
      <protection locked="0"/>
    </xf>
    <xf numFmtId="0" fontId="4" fillId="5" borderId="13" xfId="4" applyFont="1" applyFill="1" applyBorder="1"/>
    <xf numFmtId="0" fontId="3" fillId="6" borderId="11" xfId="4" applyFont="1" applyFill="1" applyBorder="1"/>
    <xf numFmtId="0" fontId="4" fillId="0" borderId="0" xfId="4" applyFont="1" applyAlignment="1">
      <alignment horizontal="right"/>
    </xf>
    <xf numFmtId="168" fontId="58" fillId="0" borderId="0" xfId="4" applyNumberFormat="1" applyFont="1"/>
    <xf numFmtId="0" fontId="58" fillId="0" borderId="0" xfId="4" applyFont="1"/>
    <xf numFmtId="0" fontId="48" fillId="0" borderId="0" xfId="4" applyNumberFormat="1" applyFont="1"/>
    <xf numFmtId="167" fontId="3" fillId="0" borderId="0" xfId="4" applyNumberFormat="1" applyFont="1"/>
    <xf numFmtId="166" fontId="3" fillId="0" borderId="0" xfId="4" applyNumberFormat="1" applyFont="1"/>
    <xf numFmtId="0" fontId="4" fillId="0" borderId="0" xfId="4" applyNumberFormat="1" applyFont="1"/>
    <xf numFmtId="2" fontId="4" fillId="0" borderId="0" xfId="4" applyNumberFormat="1" applyFont="1"/>
    <xf numFmtId="0" fontId="4" fillId="0" borderId="0" xfId="4" applyFont="1"/>
    <xf numFmtId="166" fontId="48" fillId="0" borderId="0" xfId="4" applyNumberFormat="1" applyFont="1"/>
    <xf numFmtId="1" fontId="4" fillId="0" borderId="0" xfId="4" applyNumberFormat="1" applyFont="1"/>
    <xf numFmtId="166" fontId="4" fillId="0" borderId="0" xfId="4" applyNumberFormat="1" applyFont="1"/>
    <xf numFmtId="1" fontId="4" fillId="0" borderId="0" xfId="4" applyNumberFormat="1" applyFont="1" applyBorder="1"/>
    <xf numFmtId="0" fontId="3" fillId="0" borderId="0" xfId="4" applyNumberFormat="1"/>
    <xf numFmtId="2" fontId="7" fillId="4" borderId="50" xfId="4" applyNumberFormat="1" applyFont="1" applyFill="1" applyBorder="1" applyAlignment="1"/>
    <xf numFmtId="2" fontId="4" fillId="2" borderId="53" xfId="4" applyNumberFormat="1" applyFont="1" applyFill="1" applyBorder="1" applyAlignment="1">
      <alignment horizontal="center" vertical="center" wrapText="1"/>
    </xf>
    <xf numFmtId="2" fontId="7" fillId="4" borderId="52" xfId="4" applyNumberFormat="1" applyFont="1" applyFill="1" applyBorder="1" applyAlignment="1"/>
    <xf numFmtId="2" fontId="4" fillId="2" borderId="18" xfId="4" applyNumberFormat="1" applyFont="1" applyFill="1" applyBorder="1" applyAlignment="1">
      <alignment horizontal="center" vertical="center" wrapText="1"/>
    </xf>
    <xf numFmtId="167" fontId="7" fillId="4" borderId="50" xfId="4" applyNumberFormat="1" applyFont="1" applyFill="1" applyBorder="1" applyAlignment="1"/>
    <xf numFmtId="167" fontId="4" fillId="2" borderId="42" xfId="4" applyNumberFormat="1" applyFont="1" applyFill="1" applyBorder="1" applyAlignment="1">
      <alignment horizontal="center" vertical="center" wrapText="1"/>
    </xf>
    <xf numFmtId="179" fontId="3" fillId="0" borderId="0" xfId="4" applyNumberFormat="1"/>
    <xf numFmtId="179" fontId="7" fillId="4" borderId="50" xfId="4" applyNumberFormat="1" applyFont="1" applyFill="1" applyBorder="1" applyAlignment="1"/>
    <xf numFmtId="179" fontId="4" fillId="2" borderId="6" xfId="4" applyNumberFormat="1" applyFont="1" applyFill="1" applyBorder="1" applyAlignment="1">
      <alignment horizontal="center" vertical="center" wrapText="1"/>
    </xf>
    <xf numFmtId="179" fontId="4" fillId="2" borderId="19" xfId="4" applyNumberFormat="1" applyFont="1" applyFill="1" applyBorder="1" applyAlignment="1">
      <alignment horizontal="center" vertical="center" wrapText="1"/>
    </xf>
    <xf numFmtId="179" fontId="4" fillId="2" borderId="41" xfId="4" applyNumberFormat="1" applyFont="1" applyFill="1" applyBorder="1" applyAlignment="1">
      <alignment horizontal="center" vertical="center" wrapText="1"/>
    </xf>
    <xf numFmtId="179" fontId="4" fillId="2" borderId="53" xfId="4" applyNumberFormat="1" applyFont="1" applyFill="1" applyBorder="1" applyAlignment="1">
      <alignment horizontal="center" vertical="center" wrapText="1"/>
    </xf>
    <xf numFmtId="179" fontId="4" fillId="2" borderId="42" xfId="4" applyNumberFormat="1" applyFont="1" applyFill="1" applyBorder="1" applyAlignment="1">
      <alignment horizontal="center" vertical="center" wrapText="1"/>
    </xf>
    <xf numFmtId="179" fontId="4" fillId="0" borderId="0" xfId="4" applyNumberFormat="1" applyFont="1"/>
    <xf numFmtId="0" fontId="0" fillId="0" borderId="0" xfId="0" applyNumberFormat="1" applyBorder="1" applyAlignment="1">
      <alignment horizontal="left"/>
    </xf>
    <xf numFmtId="2" fontId="4" fillId="2" borderId="58" xfId="4" applyNumberFormat="1" applyFont="1" applyFill="1" applyBorder="1" applyAlignment="1">
      <alignment horizontal="center" vertical="center" wrapText="1"/>
    </xf>
    <xf numFmtId="2" fontId="4" fillId="2" borderId="21" xfId="4" applyNumberFormat="1" applyFont="1" applyFill="1" applyBorder="1" applyAlignment="1">
      <alignment horizontal="center" vertical="center" wrapText="1"/>
    </xf>
    <xf numFmtId="0" fontId="4" fillId="8" borderId="0" xfId="0" applyFont="1" applyFill="1" applyBorder="1" applyAlignment="1" applyProtection="1">
      <alignment vertical="top"/>
    </xf>
    <xf numFmtId="1" fontId="3" fillId="0" borderId="47" xfId="4" applyNumberFormat="1" applyFont="1" applyFill="1" applyBorder="1"/>
    <xf numFmtId="166" fontId="4" fillId="0" borderId="0" xfId="4" applyNumberFormat="1" applyFont="1" applyFill="1" applyBorder="1"/>
    <xf numFmtId="0" fontId="0" fillId="12" borderId="0" xfId="0" applyFill="1"/>
    <xf numFmtId="0" fontId="0" fillId="12" borderId="0" xfId="0" applyFill="1" applyBorder="1"/>
    <xf numFmtId="0" fontId="0" fillId="12" borderId="0" xfId="0" applyFill="1" applyAlignment="1"/>
    <xf numFmtId="0" fontId="0" fillId="0" borderId="0" xfId="0" applyAlignment="1"/>
    <xf numFmtId="0" fontId="64" fillId="0" borderId="0" xfId="0" applyFont="1" applyFill="1"/>
    <xf numFmtId="0" fontId="0" fillId="0" borderId="0" xfId="0" applyFill="1" applyAlignment="1"/>
    <xf numFmtId="0" fontId="15" fillId="0" borderId="0" xfId="0" applyFont="1" applyFill="1"/>
    <xf numFmtId="0" fontId="62" fillId="0" borderId="0" xfId="1" applyFont="1" applyFill="1"/>
    <xf numFmtId="0" fontId="0" fillId="0" borderId="0" xfId="0" applyAlignment="1">
      <alignment horizontal="left"/>
    </xf>
    <xf numFmtId="1" fontId="15" fillId="4" borderId="0" xfId="0" applyNumberFormat="1" applyFont="1" applyFill="1" applyBorder="1" applyAlignment="1">
      <alignment horizontal="right"/>
    </xf>
    <xf numFmtId="1" fontId="49" fillId="8" borderId="0" xfId="0" applyNumberFormat="1" applyFont="1" applyFill="1" applyBorder="1" applyAlignment="1" applyProtection="1">
      <alignment horizontal="right"/>
    </xf>
    <xf numFmtId="1" fontId="0" fillId="0" borderId="0" xfId="0" applyNumberFormat="1" applyFill="1" applyBorder="1"/>
    <xf numFmtId="2" fontId="0" fillId="0" borderId="0" xfId="0" applyNumberFormat="1" applyFill="1" applyBorder="1"/>
    <xf numFmtId="0" fontId="3" fillId="8" borderId="25" xfId="0" applyFont="1" applyFill="1" applyBorder="1" applyAlignment="1" applyProtection="1">
      <alignment horizontal="right"/>
    </xf>
    <xf numFmtId="1" fontId="50" fillId="15" borderId="0" xfId="0" applyNumberFormat="1" applyFont="1" applyFill="1" applyBorder="1" applyAlignment="1" applyProtection="1">
      <alignment horizontal="right"/>
      <protection locked="0"/>
    </xf>
    <xf numFmtId="0" fontId="48" fillId="0" borderId="0" xfId="0" applyFont="1" applyBorder="1" applyAlignment="1">
      <alignment horizontal="left"/>
    </xf>
    <xf numFmtId="0" fontId="48" fillId="0" borderId="0" xfId="0" applyFont="1" applyBorder="1" applyAlignment="1">
      <alignment horizontal="right"/>
    </xf>
    <xf numFmtId="0" fontId="0" fillId="0" borderId="22" xfId="0" applyBorder="1" applyAlignment="1">
      <alignment horizontal="right"/>
    </xf>
    <xf numFmtId="0" fontId="4" fillId="0" borderId="0" xfId="0" applyFont="1" applyBorder="1" applyAlignment="1">
      <alignment horizontal="right"/>
    </xf>
    <xf numFmtId="0" fontId="48" fillId="0" borderId="0" xfId="4" applyFont="1" applyBorder="1" applyAlignment="1">
      <alignment horizontal="left"/>
    </xf>
    <xf numFmtId="0" fontId="48" fillId="0" borderId="0" xfId="0" applyFont="1" applyBorder="1" applyAlignment="1">
      <alignment horizontal="center"/>
    </xf>
    <xf numFmtId="0" fontId="21" fillId="0" borderId="49" xfId="0" applyFont="1" applyBorder="1"/>
    <xf numFmtId="0" fontId="0" fillId="0" borderId="50" xfId="0" applyBorder="1"/>
    <xf numFmtId="0" fontId="4" fillId="0" borderId="50" xfId="0" applyFont="1" applyBorder="1"/>
    <xf numFmtId="0" fontId="4" fillId="0" borderId="22" xfId="4" applyFont="1" applyBorder="1" applyAlignment="1">
      <alignment horizontal="right"/>
    </xf>
    <xf numFmtId="0" fontId="3" fillId="0" borderId="22" xfId="4" applyBorder="1" applyAlignment="1">
      <alignment horizontal="right"/>
    </xf>
    <xf numFmtId="0" fontId="3" fillId="12" borderId="49" xfId="0" applyFont="1" applyFill="1" applyBorder="1" applyProtection="1"/>
    <xf numFmtId="0" fontId="3" fillId="0" borderId="0" xfId="0" applyFont="1" applyBorder="1" applyAlignment="1">
      <alignment horizontal="left"/>
    </xf>
    <xf numFmtId="0" fontId="3" fillId="12" borderId="0" xfId="0" applyFont="1" applyFill="1" applyBorder="1"/>
    <xf numFmtId="1" fontId="3" fillId="8" borderId="25" xfId="0" applyNumberFormat="1" applyFont="1" applyFill="1" applyBorder="1" applyAlignment="1" applyProtection="1">
      <alignment horizontal="right" vertical="center"/>
    </xf>
    <xf numFmtId="0" fontId="3" fillId="8" borderId="59" xfId="0" applyFont="1" applyFill="1" applyBorder="1" applyAlignment="1" applyProtection="1">
      <alignment vertical="center"/>
    </xf>
    <xf numFmtId="0" fontId="3" fillId="8" borderId="60" xfId="0" applyFont="1" applyFill="1" applyBorder="1" applyAlignment="1" applyProtection="1">
      <alignment vertical="center"/>
    </xf>
    <xf numFmtId="0" fontId="3" fillId="8" borderId="60" xfId="0" applyFont="1" applyFill="1" applyBorder="1" applyAlignment="1" applyProtection="1">
      <alignment horizontal="right" vertical="center"/>
    </xf>
    <xf numFmtId="0" fontId="4" fillId="8" borderId="60" xfId="0" applyFont="1" applyFill="1" applyBorder="1" applyAlignment="1" applyProtection="1">
      <alignment horizontal="right" vertical="center"/>
    </xf>
    <xf numFmtId="0" fontId="3" fillId="8" borderId="60" xfId="0" applyNumberFormat="1" applyFont="1" applyFill="1" applyBorder="1" applyAlignment="1" applyProtection="1">
      <alignment horizontal="right" vertical="center"/>
    </xf>
    <xf numFmtId="0" fontId="3" fillId="8" borderId="61" xfId="0" applyFont="1" applyFill="1" applyBorder="1" applyAlignment="1" applyProtection="1">
      <alignment vertical="center"/>
    </xf>
    <xf numFmtId="0" fontId="3" fillId="0" borderId="0" xfId="0" applyFont="1" applyAlignment="1">
      <alignment horizontal="right"/>
    </xf>
    <xf numFmtId="0" fontId="66" fillId="0" borderId="22" xfId="0" applyFont="1" applyBorder="1"/>
    <xf numFmtId="0" fontId="3" fillId="15" borderId="0" xfId="0" applyFont="1" applyFill="1" applyBorder="1"/>
    <xf numFmtId="0" fontId="24" fillId="24" borderId="22" xfId="0" applyFont="1" applyFill="1" applyBorder="1" applyAlignment="1" applyProtection="1">
      <alignment horizontal="left"/>
    </xf>
    <xf numFmtId="0" fontId="24" fillId="24" borderId="0" xfId="0" applyFont="1" applyFill="1" applyBorder="1" applyAlignment="1" applyProtection="1">
      <alignment horizontal="left"/>
    </xf>
    <xf numFmtId="0" fontId="23" fillId="24" borderId="22" xfId="0" applyFont="1" applyFill="1" applyBorder="1" applyAlignment="1" applyProtection="1">
      <alignment horizontal="left" vertical="center"/>
    </xf>
    <xf numFmtId="0" fontId="23" fillId="24" borderId="0" xfId="0" applyFont="1" applyFill="1" applyBorder="1" applyAlignment="1" applyProtection="1">
      <alignment horizontal="left" vertical="center"/>
    </xf>
    <xf numFmtId="0" fontId="52" fillId="24" borderId="0" xfId="0" applyFont="1" applyFill="1" applyBorder="1" applyAlignment="1" applyProtection="1">
      <alignment horizontal="left" vertical="center"/>
    </xf>
    <xf numFmtId="0" fontId="20" fillId="24" borderId="0" xfId="0" applyFont="1" applyFill="1" applyBorder="1" applyAlignment="1" applyProtection="1">
      <alignment vertical="center"/>
    </xf>
    <xf numFmtId="0" fontId="23" fillId="24" borderId="0" xfId="0" quotePrefix="1" applyFont="1" applyFill="1" applyBorder="1" applyAlignment="1" applyProtection="1">
      <alignment vertical="center"/>
    </xf>
    <xf numFmtId="0" fontId="26" fillId="24" borderId="0" xfId="0" applyFont="1" applyFill="1" applyBorder="1" applyAlignment="1" applyProtection="1">
      <alignment vertical="center"/>
    </xf>
    <xf numFmtId="0" fontId="26" fillId="24" borderId="0" xfId="0" applyFont="1" applyFill="1" applyBorder="1" applyProtection="1"/>
    <xf numFmtId="0" fontId="17" fillId="24" borderId="0" xfId="0" applyFont="1" applyFill="1" applyBorder="1" applyProtection="1"/>
    <xf numFmtId="0" fontId="28" fillId="24" borderId="24" xfId="0" applyFont="1" applyFill="1" applyBorder="1" applyProtection="1"/>
    <xf numFmtId="0" fontId="28" fillId="24" borderId="25" xfId="0" applyFont="1" applyFill="1" applyBorder="1" applyProtection="1"/>
    <xf numFmtId="0" fontId="20" fillId="24" borderId="25" xfId="0" applyFont="1" applyFill="1" applyBorder="1" applyProtection="1"/>
    <xf numFmtId="0" fontId="25" fillId="24" borderId="25" xfId="0" applyFont="1" applyFill="1" applyBorder="1" applyProtection="1"/>
    <xf numFmtId="0" fontId="67" fillId="24" borderId="0" xfId="3" applyFont="1" applyFill="1" applyAlignment="1" applyProtection="1"/>
    <xf numFmtId="0" fontId="67" fillId="24" borderId="0" xfId="3" applyFont="1" applyFill="1" applyBorder="1" applyAlignment="1" applyProtection="1">
      <alignment horizontal="left" vertical="center"/>
    </xf>
    <xf numFmtId="170" fontId="17" fillId="24" borderId="0" xfId="0" applyNumberFormat="1" applyFont="1" applyFill="1" applyBorder="1" applyAlignment="1" applyProtection="1">
      <alignment horizontal="center"/>
    </xf>
    <xf numFmtId="0" fontId="20" fillId="24" borderId="37" xfId="0" applyFont="1" applyFill="1" applyBorder="1" applyProtection="1"/>
    <xf numFmtId="0" fontId="20" fillId="24" borderId="35" xfId="0" applyFont="1" applyFill="1" applyBorder="1" applyProtection="1"/>
    <xf numFmtId="0" fontId="17" fillId="24" borderId="35" xfId="0" applyFont="1" applyFill="1" applyBorder="1" applyProtection="1"/>
    <xf numFmtId="0" fontId="4" fillId="5" borderId="48" xfId="4" applyFont="1" applyFill="1" applyBorder="1" applyAlignment="1"/>
    <xf numFmtId="167" fontId="0" fillId="10" borderId="2" xfId="0" applyNumberFormat="1" applyFill="1" applyBorder="1"/>
    <xf numFmtId="167" fontId="0" fillId="18" borderId="0" xfId="0" applyNumberFormat="1" applyFill="1" applyBorder="1"/>
    <xf numFmtId="167" fontId="27" fillId="10" borderId="0" xfId="0" applyNumberFormat="1" applyFont="1" applyFill="1" applyBorder="1"/>
    <xf numFmtId="0" fontId="3" fillId="8" borderId="62" xfId="0" applyFont="1" applyFill="1" applyBorder="1" applyProtection="1"/>
    <xf numFmtId="0" fontId="3" fillId="8" borderId="63" xfId="0" applyFont="1" applyFill="1" applyBorder="1" applyProtection="1"/>
    <xf numFmtId="0" fontId="3" fillId="8" borderId="63" xfId="0" applyFont="1" applyFill="1" applyBorder="1" applyAlignment="1" applyProtection="1">
      <alignment horizontal="right"/>
    </xf>
    <xf numFmtId="0" fontId="17" fillId="12" borderId="22" xfId="0" applyFont="1" applyFill="1" applyBorder="1" applyProtection="1"/>
    <xf numFmtId="167" fontId="27" fillId="0" borderId="0" xfId="0" applyNumberFormat="1" applyFont="1" applyFill="1" applyBorder="1"/>
    <xf numFmtId="0" fontId="50" fillId="12" borderId="61" xfId="0" applyNumberFormat="1" applyFont="1" applyFill="1" applyBorder="1" applyAlignment="1" applyProtection="1">
      <alignment vertical="center"/>
    </xf>
    <xf numFmtId="0" fontId="4" fillId="12" borderId="23" xfId="0" applyNumberFormat="1" applyFont="1" applyFill="1" applyBorder="1" applyAlignment="1" applyProtection="1">
      <alignment vertical="center"/>
    </xf>
    <xf numFmtId="1" fontId="3" fillId="0" borderId="64" xfId="0" applyNumberFormat="1" applyFont="1" applyFill="1" applyBorder="1" applyAlignment="1" applyProtection="1">
      <alignment vertical="center"/>
    </xf>
    <xf numFmtId="0" fontId="4" fillId="12" borderId="23" xfId="0" applyFont="1" applyFill="1" applyBorder="1" applyProtection="1"/>
    <xf numFmtId="0" fontId="4" fillId="12" borderId="23" xfId="0" applyFont="1" applyFill="1" applyBorder="1" applyAlignment="1" applyProtection="1">
      <alignment vertical="center"/>
    </xf>
    <xf numFmtId="0" fontId="3" fillId="12" borderId="26" xfId="0" applyFont="1" applyFill="1" applyBorder="1" applyProtection="1"/>
    <xf numFmtId="0" fontId="4" fillId="8" borderId="39" xfId="0" applyFont="1" applyFill="1" applyBorder="1" applyAlignment="1" applyProtection="1">
      <alignment horizontal="right" vertical="center"/>
    </xf>
    <xf numFmtId="0" fontId="4" fillId="15" borderId="39" xfId="0" applyNumberFormat="1" applyFont="1" applyFill="1" applyBorder="1" applyAlignment="1" applyProtection="1">
      <alignment horizontal="right" vertical="center"/>
      <protection locked="0"/>
    </xf>
    <xf numFmtId="0" fontId="4" fillId="8" borderId="26" xfId="0" applyFont="1" applyFill="1" applyBorder="1" applyAlignment="1" applyProtection="1">
      <alignment vertical="center"/>
    </xf>
    <xf numFmtId="1" fontId="3" fillId="8" borderId="0" xfId="0" applyNumberFormat="1" applyFont="1" applyFill="1" applyBorder="1" applyAlignment="1" applyProtection="1"/>
    <xf numFmtId="0" fontId="0" fillId="0" borderId="63" xfId="0" applyBorder="1"/>
    <xf numFmtId="0" fontId="4" fillId="0" borderId="0" xfId="4" applyFont="1" applyBorder="1" applyAlignment="1">
      <alignment horizontal="left"/>
    </xf>
    <xf numFmtId="0" fontId="48" fillId="0" borderId="0" xfId="4" applyFont="1" applyBorder="1" applyAlignment="1">
      <alignment horizontal="center"/>
    </xf>
    <xf numFmtId="0" fontId="48" fillId="0" borderId="0" xfId="0" applyFont="1" applyAlignment="1">
      <alignment horizontal="center"/>
    </xf>
    <xf numFmtId="0" fontId="70" fillId="0" borderId="0" xfId="4" applyFont="1" applyBorder="1" applyAlignment="1">
      <alignment horizontal="right"/>
    </xf>
    <xf numFmtId="0" fontId="70" fillId="0" borderId="22" xfId="4" applyFont="1" applyBorder="1" applyAlignment="1">
      <alignment horizontal="right"/>
    </xf>
    <xf numFmtId="0" fontId="70" fillId="0" borderId="0" xfId="0" applyFont="1" applyAlignment="1">
      <alignment horizontal="right"/>
    </xf>
    <xf numFmtId="0" fontId="70" fillId="0" borderId="0" xfId="0" applyFont="1" applyBorder="1" applyAlignment="1">
      <alignment horizontal="right"/>
    </xf>
    <xf numFmtId="0" fontId="66" fillId="0" borderId="0" xfId="0" applyFont="1"/>
    <xf numFmtId="166" fontId="7" fillId="4" borderId="63" xfId="4" applyNumberFormat="1" applyFont="1" applyFill="1" applyBorder="1" applyAlignment="1"/>
    <xf numFmtId="168" fontId="3" fillId="0" borderId="0" xfId="4" applyNumberFormat="1"/>
    <xf numFmtId="0" fontId="4" fillId="2" borderId="20" xfId="4" applyFont="1" applyFill="1" applyBorder="1" applyAlignment="1">
      <alignment horizontal="center" vertical="center" wrapText="1"/>
    </xf>
    <xf numFmtId="0" fontId="48" fillId="0" borderId="0" xfId="0" applyFont="1"/>
    <xf numFmtId="2" fontId="4" fillId="2" borderId="56" xfId="4" applyNumberFormat="1" applyFont="1" applyFill="1" applyBorder="1" applyAlignment="1">
      <alignment horizontal="center" vertical="center" wrapText="1"/>
    </xf>
    <xf numFmtId="2" fontId="4" fillId="2" borderId="57" xfId="4" applyNumberFormat="1" applyFont="1" applyFill="1" applyBorder="1" applyAlignment="1">
      <alignment horizontal="center" vertical="center" wrapText="1"/>
    </xf>
    <xf numFmtId="2" fontId="7" fillId="4" borderId="41" xfId="4" applyNumberFormat="1" applyFont="1" applyFill="1" applyBorder="1" applyAlignment="1"/>
    <xf numFmtId="2" fontId="7" fillId="4" borderId="67" xfId="4" applyNumberFormat="1" applyFont="1" applyFill="1" applyBorder="1" applyAlignment="1"/>
    <xf numFmtId="2" fontId="7" fillId="4" borderId="18" xfId="4" applyNumberFormat="1" applyFont="1" applyFill="1" applyBorder="1" applyAlignment="1"/>
    <xf numFmtId="166" fontId="4" fillId="4" borderId="41" xfId="4" applyNumberFormat="1" applyFont="1" applyFill="1" applyBorder="1" applyAlignment="1"/>
    <xf numFmtId="166" fontId="3" fillId="4" borderId="67" xfId="4" applyNumberFormat="1" applyFill="1" applyBorder="1"/>
    <xf numFmtId="0" fontId="3" fillId="8" borderId="23" xfId="0" applyFont="1" applyFill="1" applyBorder="1" applyAlignment="1" applyProtection="1"/>
    <xf numFmtId="0" fontId="3" fillId="8" borderId="62" xfId="0" applyFont="1" applyFill="1" applyBorder="1" applyAlignment="1" applyProtection="1">
      <alignment vertical="center"/>
    </xf>
    <xf numFmtId="0" fontId="22" fillId="8" borderId="24" xfId="0" applyFont="1" applyFill="1" applyBorder="1" applyAlignment="1" applyProtection="1">
      <alignment vertical="center"/>
    </xf>
    <xf numFmtId="182" fontId="3" fillId="17" borderId="11" xfId="4" applyNumberFormat="1" applyFill="1" applyBorder="1" applyAlignment="1">
      <alignment horizontal="center" vertical="center"/>
    </xf>
    <xf numFmtId="165" fontId="3" fillId="0" borderId="0" xfId="7" applyNumberFormat="1" applyFont="1"/>
    <xf numFmtId="0" fontId="3" fillId="0" borderId="0" xfId="0" quotePrefix="1" applyFont="1"/>
    <xf numFmtId="0" fontId="48" fillId="0" borderId="0" xfId="0" applyFont="1" applyAlignment="1">
      <alignment horizontal="left"/>
    </xf>
    <xf numFmtId="0" fontId="4" fillId="8" borderId="11" xfId="4" applyFont="1" applyFill="1" applyBorder="1" applyAlignment="1">
      <alignment horizontal="center" vertical="center"/>
    </xf>
    <xf numFmtId="168" fontId="0" fillId="0" borderId="0" xfId="0" applyNumberFormat="1"/>
    <xf numFmtId="0" fontId="3" fillId="8" borderId="0" xfId="4" applyFill="1" applyAlignment="1">
      <alignment horizontal="left"/>
    </xf>
    <xf numFmtId="49" fontId="3" fillId="8" borderId="0" xfId="4" applyNumberFormat="1" applyFill="1" applyAlignment="1">
      <alignment horizontal="left"/>
    </xf>
    <xf numFmtId="0" fontId="3" fillId="8" borderId="0" xfId="4" applyFill="1" applyAlignment="1">
      <alignment horizontal="left" vertical="center"/>
    </xf>
    <xf numFmtId="0" fontId="4" fillId="8" borderId="11" xfId="4" applyFont="1" applyFill="1" applyBorder="1" applyAlignment="1">
      <alignment vertical="center"/>
    </xf>
    <xf numFmtId="0" fontId="4" fillId="8" borderId="11" xfId="4" applyFont="1" applyFill="1" applyBorder="1" applyAlignment="1">
      <alignment vertical="center" wrapText="1"/>
    </xf>
    <xf numFmtId="0" fontId="4" fillId="8" borderId="8" xfId="4" applyFont="1" applyFill="1" applyBorder="1" applyAlignment="1">
      <alignment vertical="center"/>
    </xf>
    <xf numFmtId="0" fontId="4" fillId="8" borderId="9" xfId="4" applyFont="1" applyFill="1" applyBorder="1" applyAlignment="1">
      <alignment vertical="center"/>
    </xf>
    <xf numFmtId="0" fontId="4" fillId="8" borderId="15" xfId="4" applyFont="1" applyFill="1" applyBorder="1" applyAlignment="1">
      <alignment vertical="center"/>
    </xf>
    <xf numFmtId="0" fontId="3" fillId="12" borderId="0" xfId="4" applyFill="1" applyAlignment="1">
      <alignment horizontal="left"/>
    </xf>
    <xf numFmtId="49" fontId="3" fillId="12" borderId="0" xfId="4" applyNumberFormat="1" applyFill="1" applyAlignment="1">
      <alignment horizontal="left"/>
    </xf>
    <xf numFmtId="168" fontId="3" fillId="8" borderId="0" xfId="4" applyNumberFormat="1" applyFill="1" applyAlignment="1">
      <alignment horizontal="left"/>
    </xf>
    <xf numFmtId="0" fontId="4" fillId="8" borderId="0" xfId="4" applyFont="1" applyFill="1" applyAlignment="1">
      <alignment vertical="center"/>
    </xf>
    <xf numFmtId="168" fontId="3" fillId="8" borderId="0" xfId="4" applyNumberFormat="1" applyFill="1" applyAlignment="1">
      <alignment horizontal="right" vertical="center"/>
    </xf>
    <xf numFmtId="0" fontId="3" fillId="0" borderId="0" xfId="0" applyFont="1" applyAlignment="1">
      <alignment horizontal="left"/>
    </xf>
    <xf numFmtId="0" fontId="3" fillId="16" borderId="8" xfId="4" applyFill="1" applyBorder="1" applyAlignment="1">
      <alignment horizontal="left" vertical="center"/>
    </xf>
    <xf numFmtId="0" fontId="3" fillId="17" borderId="8" xfId="4" applyFill="1" applyBorder="1" applyAlignment="1">
      <alignment horizontal="left" vertical="center"/>
    </xf>
    <xf numFmtId="0" fontId="3" fillId="12" borderId="8" xfId="4" applyFill="1" applyBorder="1" applyAlignment="1">
      <alignment horizontal="left" vertical="center"/>
    </xf>
    <xf numFmtId="0" fontId="75" fillId="8" borderId="0" xfId="4" applyFont="1" applyFill="1"/>
    <xf numFmtId="168" fontId="75" fillId="8" borderId="0" xfId="4" applyNumberFormat="1" applyFont="1" applyFill="1" applyAlignment="1">
      <alignment horizontal="right"/>
    </xf>
    <xf numFmtId="0" fontId="75" fillId="8" borderId="0" xfId="4" applyFont="1" applyFill="1" applyAlignment="1">
      <alignment horizontal="left" vertical="center"/>
    </xf>
    <xf numFmtId="166" fontId="75" fillId="8" borderId="0" xfId="4" applyNumberFormat="1" applyFont="1" applyFill="1"/>
    <xf numFmtId="168" fontId="3" fillId="17" borderId="11" xfId="4" applyNumberFormat="1" applyFill="1" applyBorder="1" applyAlignment="1">
      <alignment horizontal="center" vertical="center"/>
    </xf>
    <xf numFmtId="168" fontId="3" fillId="8" borderId="11" xfId="4" applyNumberFormat="1" applyFill="1" applyBorder="1" applyAlignment="1">
      <alignment horizontal="center" vertical="center"/>
    </xf>
    <xf numFmtId="0" fontId="3" fillId="17" borderId="70" xfId="4" applyFill="1" applyBorder="1" applyAlignment="1">
      <alignment horizontal="center" vertical="center"/>
    </xf>
    <xf numFmtId="0" fontId="3" fillId="8" borderId="70" xfId="4" applyFill="1" applyBorder="1" applyAlignment="1">
      <alignment horizontal="center" vertical="center"/>
    </xf>
    <xf numFmtId="0" fontId="48" fillId="8" borderId="11" xfId="4" applyFont="1" applyFill="1" applyBorder="1" applyAlignment="1">
      <alignment horizontal="center" vertical="center"/>
    </xf>
    <xf numFmtId="0" fontId="59" fillId="8" borderId="0" xfId="4" applyFont="1" applyFill="1" applyAlignment="1">
      <alignment horizontal="left" vertical="center"/>
    </xf>
    <xf numFmtId="0" fontId="54" fillId="3" borderId="69" xfId="4" applyFont="1" applyFill="1" applyBorder="1" applyAlignment="1">
      <alignment horizontal="center" vertical="center"/>
    </xf>
    <xf numFmtId="49" fontId="73" fillId="14" borderId="68" xfId="4" applyNumberFormat="1" applyFont="1" applyFill="1" applyBorder="1" applyAlignment="1">
      <alignment horizontal="center" vertical="center"/>
    </xf>
    <xf numFmtId="0" fontId="73" fillId="14" borderId="47" xfId="4" applyFont="1" applyFill="1" applyBorder="1" applyAlignment="1">
      <alignment horizontal="center" vertical="center"/>
    </xf>
    <xf numFmtId="168" fontId="76" fillId="0" borderId="0" xfId="4" applyNumberFormat="1" applyFont="1" applyFill="1" applyAlignment="1">
      <alignment horizontal="right" vertical="center"/>
    </xf>
    <xf numFmtId="166" fontId="76" fillId="8" borderId="0" xfId="4" applyNumberFormat="1" applyFont="1" applyFill="1" applyAlignment="1">
      <alignment vertical="center"/>
    </xf>
    <xf numFmtId="49" fontId="59" fillId="8" borderId="0" xfId="4" applyNumberFormat="1" applyFont="1" applyFill="1" applyAlignment="1" applyProtection="1">
      <alignment horizontal="left" vertical="center"/>
      <protection locked="0" hidden="1"/>
    </xf>
    <xf numFmtId="0" fontId="59" fillId="8" borderId="0" xfId="4" applyFont="1" applyFill="1" applyAlignment="1" applyProtection="1">
      <alignment horizontal="left" vertical="center"/>
      <protection locked="0" hidden="1"/>
    </xf>
    <xf numFmtId="0" fontId="55" fillId="12" borderId="0" xfId="0" applyFont="1" applyFill="1" applyAlignment="1"/>
    <xf numFmtId="0" fontId="59" fillId="8" borderId="0" xfId="4" applyFont="1" applyFill="1"/>
    <xf numFmtId="0" fontId="76" fillId="8" borderId="0" xfId="4" applyFont="1" applyFill="1" applyAlignment="1">
      <alignment horizontal="left"/>
    </xf>
    <xf numFmtId="0" fontId="48" fillId="0" borderId="22" xfId="0" applyFont="1" applyBorder="1"/>
    <xf numFmtId="0" fontId="17" fillId="24" borderId="0" xfId="0" applyFont="1" applyFill="1" applyProtection="1"/>
    <xf numFmtId="0" fontId="17" fillId="12" borderId="35" xfId="0" applyFont="1" applyFill="1" applyBorder="1" applyProtection="1"/>
    <xf numFmtId="170" fontId="17" fillId="12" borderId="39" xfId="0" applyNumberFormat="1" applyFont="1" applyFill="1" applyBorder="1" applyAlignment="1" applyProtection="1">
      <alignment horizontal="center"/>
    </xf>
    <xf numFmtId="0" fontId="17" fillId="12" borderId="39" xfId="0" applyFont="1" applyFill="1" applyBorder="1" applyProtection="1"/>
    <xf numFmtId="0" fontId="17" fillId="8" borderId="39" xfId="0" applyFont="1" applyFill="1" applyBorder="1" applyProtection="1"/>
    <xf numFmtId="0" fontId="17" fillId="12" borderId="36" xfId="0" applyFont="1" applyFill="1" applyBorder="1" applyProtection="1"/>
    <xf numFmtId="0" fontId="17" fillId="12" borderId="23" xfId="0" applyFont="1" applyFill="1" applyBorder="1" applyProtection="1"/>
    <xf numFmtId="0" fontId="3" fillId="8" borderId="39" xfId="0" applyFont="1" applyFill="1" applyBorder="1" applyAlignment="1" applyProtection="1">
      <alignment horizontal="right" vertical="center"/>
    </xf>
    <xf numFmtId="0" fontId="3" fillId="8" borderId="39" xfId="0" applyNumberFormat="1" applyFont="1" applyFill="1" applyBorder="1" applyAlignment="1" applyProtection="1">
      <alignment horizontal="right" vertical="center"/>
    </xf>
    <xf numFmtId="0" fontId="3" fillId="8" borderId="35" xfId="0" applyFont="1" applyFill="1" applyBorder="1" applyAlignment="1" applyProtection="1">
      <alignment vertical="center"/>
    </xf>
    <xf numFmtId="0" fontId="3" fillId="8" borderId="35" xfId="0" applyFont="1" applyFill="1" applyBorder="1" applyAlignment="1" applyProtection="1">
      <alignment horizontal="right"/>
    </xf>
    <xf numFmtId="0" fontId="3" fillId="8" borderId="35" xfId="0" applyNumberFormat="1" applyFont="1" applyFill="1" applyBorder="1" applyAlignment="1" applyProtection="1">
      <alignment horizontal="right"/>
    </xf>
    <xf numFmtId="0" fontId="3" fillId="8" borderId="35" xfId="0" applyFont="1" applyFill="1" applyBorder="1" applyAlignment="1" applyProtection="1"/>
    <xf numFmtId="0" fontId="50" fillId="8" borderId="39" xfId="0" applyFont="1" applyFill="1" applyBorder="1" applyAlignment="1" applyProtection="1">
      <alignment horizontal="right" vertical="center"/>
    </xf>
    <xf numFmtId="0" fontId="4" fillId="15" borderId="39" xfId="0" applyNumberFormat="1" applyFont="1" applyFill="1" applyBorder="1" applyAlignment="1" applyProtection="1">
      <alignment vertical="center"/>
      <protection locked="0"/>
    </xf>
    <xf numFmtId="0" fontId="4" fillId="12" borderId="26" xfId="0" applyNumberFormat="1" applyFont="1" applyFill="1" applyBorder="1" applyAlignment="1" applyProtection="1">
      <alignment vertical="center"/>
    </xf>
    <xf numFmtId="0" fontId="3" fillId="8" borderId="35" xfId="0" applyFont="1" applyFill="1" applyBorder="1" applyAlignment="1" applyProtection="1">
      <alignment horizontal="left"/>
    </xf>
    <xf numFmtId="1" fontId="49" fillId="8" borderId="25" xfId="0" applyNumberFormat="1" applyFont="1" applyFill="1" applyBorder="1" applyAlignment="1" applyProtection="1">
      <alignment horizontal="right"/>
    </xf>
    <xf numFmtId="0" fontId="3" fillId="8" borderId="36" xfId="0" applyFont="1" applyFill="1" applyBorder="1" applyAlignment="1" applyProtection="1">
      <alignment vertical="center"/>
    </xf>
    <xf numFmtId="0" fontId="60" fillId="13" borderId="35" xfId="0" applyFont="1" applyFill="1" applyBorder="1" applyAlignment="1" applyProtection="1">
      <alignment vertical="center"/>
    </xf>
    <xf numFmtId="0" fontId="17" fillId="13" borderId="35" xfId="0" applyFont="1" applyFill="1" applyBorder="1" applyProtection="1"/>
    <xf numFmtId="0" fontId="78" fillId="13" borderId="62" xfId="0" applyFont="1" applyFill="1" applyBorder="1" applyAlignment="1" applyProtection="1">
      <alignment vertical="center"/>
    </xf>
    <xf numFmtId="0" fontId="23" fillId="24" borderId="0" xfId="0" applyFont="1" applyFill="1" applyBorder="1" applyAlignment="1" applyProtection="1">
      <alignment horizontal="right" vertical="center"/>
    </xf>
    <xf numFmtId="20" fontId="0" fillId="0" borderId="0" xfId="0" applyNumberFormat="1"/>
    <xf numFmtId="167" fontId="0" fillId="0" borderId="0" xfId="0" applyNumberFormat="1" applyFill="1" applyBorder="1"/>
    <xf numFmtId="184" fontId="0" fillId="0" borderId="0" xfId="0" applyNumberFormat="1" applyBorder="1" applyAlignment="1">
      <alignment horizontal="right"/>
    </xf>
    <xf numFmtId="184" fontId="0" fillId="19" borderId="0" xfId="0" applyNumberFormat="1" applyFill="1" applyBorder="1" applyAlignment="1">
      <alignment horizontal="right"/>
    </xf>
    <xf numFmtId="0" fontId="0" fillId="0" borderId="22" xfId="0" applyBorder="1" applyAlignment="1">
      <alignment horizontal="left"/>
    </xf>
    <xf numFmtId="1" fontId="3" fillId="8" borderId="39" xfId="0" applyNumberFormat="1" applyFont="1" applyFill="1" applyBorder="1" applyAlignment="1" applyProtection="1">
      <alignment horizontal="right" vertical="center"/>
    </xf>
    <xf numFmtId="0" fontId="3" fillId="8" borderId="40" xfId="0" applyFont="1" applyFill="1" applyBorder="1" applyAlignment="1" applyProtection="1">
      <alignment vertical="center"/>
    </xf>
    <xf numFmtId="166" fontId="3" fillId="4" borderId="35" xfId="4" applyNumberFormat="1" applyFill="1" applyBorder="1"/>
    <xf numFmtId="166" fontId="3" fillId="27" borderId="0" xfId="4" applyNumberFormat="1" applyFill="1" applyAlignment="1">
      <alignment horizontal="center" vertical="center" wrapText="1"/>
    </xf>
    <xf numFmtId="9" fontId="3" fillId="0" borderId="47" xfId="4" applyNumberFormat="1" applyFont="1" applyFill="1" applyBorder="1" applyProtection="1">
      <protection locked="0"/>
    </xf>
    <xf numFmtId="166" fontId="4" fillId="26" borderId="0" xfId="4" applyNumberFormat="1" applyFont="1" applyFill="1" applyAlignment="1">
      <alignment horizontal="center" vertical="center" wrapText="1"/>
    </xf>
    <xf numFmtId="166" fontId="0" fillId="0" borderId="0" xfId="0" applyNumberFormat="1"/>
    <xf numFmtId="2" fontId="3" fillId="0" borderId="0" xfId="7" applyNumberFormat="1" applyFont="1"/>
    <xf numFmtId="2" fontId="4" fillId="0" borderId="0" xfId="0" applyNumberFormat="1" applyFont="1"/>
    <xf numFmtId="168" fontId="4" fillId="0" borderId="0" xfId="4" applyNumberFormat="1" applyFont="1"/>
    <xf numFmtId="167" fontId="4" fillId="0" borderId="0" xfId="4" applyNumberFormat="1" applyFont="1"/>
    <xf numFmtId="0" fontId="4" fillId="4" borderId="0" xfId="4" applyFont="1" applyFill="1" applyBorder="1" applyAlignment="1">
      <alignment horizontal="left"/>
    </xf>
    <xf numFmtId="2" fontId="3" fillId="0" borderId="0" xfId="0" applyNumberFormat="1" applyFont="1"/>
    <xf numFmtId="168" fontId="3" fillId="0" borderId="0" xfId="4" applyNumberFormat="1" applyFont="1"/>
    <xf numFmtId="2" fontId="3" fillId="0" borderId="0" xfId="4" applyNumberFormat="1" applyFont="1"/>
    <xf numFmtId="1" fontId="3" fillId="0" borderId="0" xfId="4" applyNumberFormat="1" applyFont="1"/>
    <xf numFmtId="167" fontId="3" fillId="0" borderId="0" xfId="0" applyNumberFormat="1" applyFont="1"/>
    <xf numFmtId="167" fontId="4" fillId="0" borderId="0" xfId="0" applyNumberFormat="1" applyFont="1"/>
    <xf numFmtId="0" fontId="4" fillId="4" borderId="35" xfId="4" applyFont="1" applyFill="1" applyBorder="1" applyAlignment="1"/>
    <xf numFmtId="168" fontId="3" fillId="0" borderId="0" xfId="7" applyNumberFormat="1" applyFont="1"/>
    <xf numFmtId="1" fontId="4" fillId="17" borderId="6" xfId="4" applyNumberFormat="1" applyFont="1" applyFill="1" applyBorder="1" applyAlignment="1">
      <alignment horizontal="center" vertical="center" wrapText="1"/>
    </xf>
    <xf numFmtId="1" fontId="4" fillId="25" borderId="55" xfId="4" applyNumberFormat="1" applyFont="1" applyFill="1" applyBorder="1" applyAlignment="1">
      <alignment horizontal="center" vertical="center" wrapText="1"/>
    </xf>
    <xf numFmtId="1" fontId="4" fillId="0" borderId="55" xfId="4" applyNumberFormat="1" applyFont="1" applyFill="1" applyBorder="1" applyAlignment="1">
      <alignment horizontal="center" vertical="center" wrapText="1"/>
    </xf>
    <xf numFmtId="1" fontId="0" fillId="0" borderId="0" xfId="0" applyNumberFormat="1"/>
    <xf numFmtId="1" fontId="4" fillId="17" borderId="55" xfId="4" applyNumberFormat="1" applyFont="1" applyFill="1" applyBorder="1" applyAlignment="1">
      <alignment horizontal="center" vertical="center" wrapText="1"/>
    </xf>
    <xf numFmtId="1" fontId="4" fillId="28" borderId="55" xfId="4" applyNumberFormat="1" applyFont="1" applyFill="1" applyBorder="1" applyAlignment="1">
      <alignment horizontal="center" vertical="center" wrapText="1"/>
    </xf>
    <xf numFmtId="1" fontId="4" fillId="12" borderId="55" xfId="4" applyNumberFormat="1" applyFont="1" applyFill="1" applyBorder="1" applyAlignment="1">
      <alignment horizontal="center" vertical="center" wrapText="1"/>
    </xf>
    <xf numFmtId="1" fontId="3" fillId="20" borderId="0" xfId="0" applyNumberFormat="1" applyFont="1" applyFill="1" applyBorder="1"/>
    <xf numFmtId="168" fontId="15" fillId="18" borderId="0" xfId="0" applyNumberFormat="1" applyFont="1" applyFill="1" applyBorder="1" applyAlignment="1">
      <alignment horizontal="right"/>
    </xf>
    <xf numFmtId="177" fontId="27" fillId="0" borderId="0" xfId="0" applyNumberFormat="1" applyFont="1" applyFill="1" applyBorder="1"/>
    <xf numFmtId="0" fontId="3" fillId="0" borderId="33" xfId="0" applyFont="1" applyBorder="1"/>
    <xf numFmtId="168" fontId="27" fillId="4" borderId="0" xfId="0" applyNumberFormat="1" applyFont="1" applyFill="1" applyBorder="1"/>
    <xf numFmtId="166" fontId="27" fillId="0" borderId="0" xfId="0" applyNumberFormat="1" applyFont="1" applyFill="1" applyBorder="1"/>
    <xf numFmtId="167" fontId="3" fillId="5" borderId="0" xfId="0" applyNumberFormat="1" applyFont="1" applyFill="1" applyBorder="1"/>
    <xf numFmtId="2" fontId="0" fillId="0" borderId="0" xfId="0" applyNumberFormat="1" applyFill="1" applyBorder="1" applyAlignment="1">
      <alignment horizontal="right"/>
    </xf>
    <xf numFmtId="1" fontId="4" fillId="2" borderId="73" xfId="4" applyNumberFormat="1" applyFont="1" applyFill="1" applyBorder="1" applyAlignment="1">
      <alignment horizontal="center" vertical="center" wrapText="1"/>
    </xf>
    <xf numFmtId="0" fontId="4" fillId="4" borderId="22" xfId="4" applyFont="1" applyFill="1" applyBorder="1" applyAlignment="1">
      <alignment horizontal="left"/>
    </xf>
    <xf numFmtId="0" fontId="4" fillId="4" borderId="74" xfId="4" applyFont="1" applyFill="1" applyBorder="1" applyAlignment="1">
      <alignment horizontal="left"/>
    </xf>
    <xf numFmtId="0" fontId="3" fillId="12" borderId="39" xfId="0" applyFont="1" applyFill="1" applyBorder="1" applyProtection="1"/>
    <xf numFmtId="0" fontId="17" fillId="12" borderId="40" xfId="0" applyFont="1" applyFill="1" applyBorder="1" applyProtection="1"/>
    <xf numFmtId="0" fontId="3" fillId="0" borderId="0" xfId="0" applyNumberFormat="1" applyFont="1"/>
    <xf numFmtId="0" fontId="79" fillId="0" borderId="0" xfId="0" applyFont="1" applyAlignment="1">
      <alignment horizontal="right"/>
    </xf>
    <xf numFmtId="1" fontId="3" fillId="0" borderId="0" xfId="0" applyNumberFormat="1" applyFont="1"/>
    <xf numFmtId="168" fontId="3" fillId="0" borderId="0" xfId="0" applyNumberFormat="1" applyFont="1"/>
    <xf numFmtId="1" fontId="50" fillId="15" borderId="0" xfId="0" applyNumberFormat="1" applyFont="1" applyFill="1" applyBorder="1" applyAlignment="1" applyProtection="1">
      <alignment horizontal="right" vertical="center"/>
      <protection locked="0"/>
    </xf>
    <xf numFmtId="0" fontId="17" fillId="12" borderId="62" xfId="0" applyFont="1" applyFill="1" applyBorder="1" applyProtection="1"/>
    <xf numFmtId="0" fontId="4" fillId="12" borderId="35" xfId="0" applyFont="1" applyFill="1" applyBorder="1" applyAlignment="1" applyProtection="1">
      <alignment horizontal="right"/>
    </xf>
    <xf numFmtId="0" fontId="4" fillId="12" borderId="64" xfId="0" applyFont="1" applyFill="1" applyBorder="1" applyProtection="1"/>
    <xf numFmtId="0" fontId="80" fillId="0" borderId="0" xfId="0" applyFont="1" applyAlignment="1">
      <alignment vertical="center" wrapText="1"/>
    </xf>
    <xf numFmtId="0" fontId="3" fillId="0" borderId="0" xfId="0" applyNumberFormat="1" applyFont="1" applyFill="1" applyBorder="1" applyAlignment="1" applyProtection="1">
      <alignment horizontal="right" vertical="center"/>
    </xf>
    <xf numFmtId="0" fontId="4" fillId="15" borderId="35" xfId="0" applyFont="1" applyFill="1" applyBorder="1" applyProtection="1">
      <protection locked="0"/>
    </xf>
    <xf numFmtId="0" fontId="0" fillId="18" borderId="0" xfId="0" applyNumberFormat="1" applyFill="1" applyBorder="1"/>
    <xf numFmtId="0" fontId="0" fillId="4" borderId="0" xfId="0" applyNumberFormat="1" applyFill="1" applyBorder="1"/>
    <xf numFmtId="0" fontId="0" fillId="23" borderId="0" xfId="0" applyNumberFormat="1" applyFill="1" applyBorder="1"/>
    <xf numFmtId="0" fontId="4" fillId="8" borderId="35" xfId="0" applyFont="1" applyFill="1" applyBorder="1" applyProtection="1"/>
    <xf numFmtId="0" fontId="3" fillId="8" borderId="35" xfId="0" applyFont="1" applyFill="1" applyBorder="1" applyProtection="1"/>
    <xf numFmtId="0" fontId="4" fillId="0" borderId="0" xfId="0" applyFont="1" applyAlignment="1">
      <alignment horizontal="left"/>
    </xf>
    <xf numFmtId="49" fontId="3" fillId="0" borderId="0" xfId="0" applyNumberFormat="1" applyFont="1" applyBorder="1" applyAlignment="1">
      <alignment horizontal="left"/>
    </xf>
    <xf numFmtId="168" fontId="49" fillId="12" borderId="35" xfId="0" applyNumberFormat="1" applyFont="1" applyFill="1" applyBorder="1" applyAlignment="1" applyProtection="1">
      <alignment vertical="center"/>
    </xf>
    <xf numFmtId="166" fontId="3" fillId="0" borderId="0" xfId="0" applyNumberFormat="1" applyFont="1"/>
    <xf numFmtId="1" fontId="4" fillId="12" borderId="0" xfId="0" applyNumberFormat="1" applyFont="1" applyFill="1" applyBorder="1" applyAlignment="1" applyProtection="1">
      <alignment vertical="center"/>
    </xf>
    <xf numFmtId="1" fontId="66" fillId="0" borderId="0" xfId="0" applyNumberFormat="1" applyFont="1" applyFill="1" applyBorder="1" applyAlignment="1" applyProtection="1">
      <alignment horizontal="right" vertical="center"/>
    </xf>
    <xf numFmtId="168" fontId="4" fillId="15" borderId="0" xfId="0" applyNumberFormat="1" applyFont="1" applyFill="1" applyBorder="1" applyAlignment="1" applyProtection="1">
      <alignment horizontal="right" vertical="center"/>
      <protection locked="0"/>
    </xf>
    <xf numFmtId="0" fontId="22" fillId="8" borderId="67" xfId="0" applyFont="1" applyFill="1" applyBorder="1" applyAlignment="1" applyProtection="1">
      <alignment vertical="center"/>
    </xf>
    <xf numFmtId="0" fontId="17" fillId="8" borderId="35" xfId="0" applyFont="1" applyFill="1" applyBorder="1" applyProtection="1"/>
    <xf numFmtId="0" fontId="45" fillId="8" borderId="75" xfId="0" applyFont="1" applyFill="1" applyBorder="1" applyProtection="1"/>
    <xf numFmtId="0" fontId="45" fillId="8" borderId="76" xfId="0" applyFont="1" applyFill="1" applyBorder="1" applyProtection="1"/>
    <xf numFmtId="0" fontId="45" fillId="8" borderId="77" xfId="0" applyFont="1" applyFill="1" applyBorder="1" applyProtection="1"/>
    <xf numFmtId="0" fontId="0" fillId="18" borderId="0" xfId="0" applyNumberFormat="1" applyFill="1"/>
    <xf numFmtId="2" fontId="4" fillId="0" borderId="0" xfId="0" applyNumberFormat="1" applyFont="1" applyBorder="1" applyAlignment="1">
      <alignment horizontal="right"/>
    </xf>
    <xf numFmtId="1" fontId="3" fillId="4" borderId="0" xfId="0" applyNumberFormat="1" applyFont="1" applyFill="1" applyBorder="1"/>
    <xf numFmtId="2" fontId="4" fillId="0" borderId="0" xfId="0" applyNumberFormat="1" applyFont="1" applyFill="1" applyBorder="1"/>
    <xf numFmtId="0" fontId="3" fillId="0" borderId="22" xfId="0" applyFont="1" applyFill="1" applyBorder="1"/>
    <xf numFmtId="2" fontId="7" fillId="0" borderId="2" xfId="0" applyNumberFormat="1" applyFont="1" applyFill="1" applyBorder="1"/>
    <xf numFmtId="167" fontId="4" fillId="0" borderId="2" xfId="0" applyNumberFormat="1" applyFont="1" applyFill="1" applyBorder="1"/>
    <xf numFmtId="0" fontId="81" fillId="0" borderId="22" xfId="0" applyFont="1" applyBorder="1"/>
    <xf numFmtId="0" fontId="48" fillId="0" borderId="0" xfId="0" applyFont="1" applyBorder="1"/>
    <xf numFmtId="0" fontId="27" fillId="18" borderId="0" xfId="0" applyNumberFormat="1" applyFont="1" applyFill="1" applyBorder="1" applyAlignment="1">
      <alignment horizontal="right"/>
    </xf>
    <xf numFmtId="180" fontId="3" fillId="16" borderId="8" xfId="4" applyNumberFormat="1" applyFill="1" applyBorder="1" applyAlignment="1">
      <alignment horizontal="left" vertical="center"/>
    </xf>
    <xf numFmtId="180" fontId="3" fillId="16" borderId="9" xfId="4" applyNumberFormat="1" applyFill="1" applyBorder="1" applyAlignment="1">
      <alignment horizontal="left" vertical="center"/>
    </xf>
    <xf numFmtId="0" fontId="3" fillId="8" borderId="0" xfId="0" applyFont="1" applyFill="1" applyBorder="1" applyAlignment="1" applyProtection="1">
      <alignment horizontal="right" vertical="top"/>
    </xf>
    <xf numFmtId="0" fontId="3" fillId="8" borderId="38" xfId="0" applyFont="1" applyFill="1" applyBorder="1" applyAlignment="1" applyProtection="1">
      <alignment horizontal="right"/>
    </xf>
    <xf numFmtId="0" fontId="48" fillId="0" borderId="0" xfId="0" applyFont="1" applyAlignment="1">
      <alignment horizontal="right"/>
    </xf>
    <xf numFmtId="0" fontId="4" fillId="2" borderId="19" xfId="4" applyFont="1" applyFill="1" applyBorder="1" applyAlignment="1">
      <alignment horizontal="center" vertical="center" wrapText="1"/>
    </xf>
    <xf numFmtId="166" fontId="4" fillId="26" borderId="19" xfId="4" applyNumberFormat="1" applyFont="1" applyFill="1" applyBorder="1" applyAlignment="1">
      <alignment horizontal="center" vertical="center" wrapText="1"/>
    </xf>
    <xf numFmtId="166" fontId="4" fillId="26" borderId="20" xfId="4" applyNumberFormat="1" applyFont="1" applyFill="1" applyBorder="1" applyAlignment="1">
      <alignment horizontal="center" vertical="center" wrapText="1"/>
    </xf>
    <xf numFmtId="166" fontId="4" fillId="26" borderId="73" xfId="4" applyNumberFormat="1" applyFont="1" applyFill="1" applyBorder="1" applyAlignment="1">
      <alignment horizontal="center" vertical="center" wrapText="1"/>
    </xf>
    <xf numFmtId="166" fontId="4" fillId="26" borderId="39" xfId="4" applyNumberFormat="1" applyFont="1" applyFill="1" applyBorder="1" applyAlignment="1">
      <alignment horizontal="center" vertical="center" wrapText="1"/>
    </xf>
    <xf numFmtId="1" fontId="4" fillId="15" borderId="55" xfId="4" applyNumberFormat="1" applyFont="1" applyFill="1" applyBorder="1" applyAlignment="1">
      <alignment horizontal="center" vertical="center" wrapText="1"/>
    </xf>
    <xf numFmtId="1" fontId="4" fillId="15" borderId="6" xfId="4" applyNumberFormat="1" applyFont="1" applyFill="1" applyBorder="1" applyAlignment="1">
      <alignment horizontal="center" vertical="center" wrapText="1"/>
    </xf>
    <xf numFmtId="2" fontId="48" fillId="0" borderId="0" xfId="0" applyNumberFormat="1" applyFont="1" applyAlignment="1">
      <alignment horizontal="left"/>
    </xf>
    <xf numFmtId="2" fontId="48" fillId="0" borderId="0" xfId="0" applyNumberFormat="1" applyFont="1" applyAlignment="1">
      <alignment horizontal="right"/>
    </xf>
    <xf numFmtId="167" fontId="4" fillId="0" borderId="0" xfId="0" applyNumberFormat="1" applyFont="1" applyAlignment="1">
      <alignment horizontal="right"/>
    </xf>
    <xf numFmtId="167" fontId="0" fillId="0" borderId="0" xfId="0" applyNumberFormat="1" applyAlignment="1">
      <alignment horizontal="right"/>
    </xf>
    <xf numFmtId="0" fontId="3" fillId="23" borderId="0" xfId="0" applyNumberFormat="1" applyFont="1" applyFill="1" applyBorder="1"/>
    <xf numFmtId="9" fontId="0" fillId="19" borderId="0" xfId="0" applyNumberFormat="1" applyFill="1" applyBorder="1"/>
    <xf numFmtId="173" fontId="3" fillId="12" borderId="11" xfId="4" applyNumberFormat="1" applyFill="1" applyBorder="1" applyAlignment="1">
      <alignment horizontal="center" vertical="center"/>
    </xf>
    <xf numFmtId="0" fontId="3" fillId="12" borderId="70" xfId="4" applyFill="1" applyBorder="1" applyAlignment="1">
      <alignment horizontal="center" vertical="center"/>
    </xf>
    <xf numFmtId="168" fontId="3" fillId="12" borderId="11" xfId="4" applyNumberFormat="1" applyFill="1" applyBorder="1" applyAlignment="1">
      <alignment horizontal="center" vertical="center"/>
    </xf>
    <xf numFmtId="0" fontId="59" fillId="12" borderId="0" xfId="4" applyFont="1" applyFill="1" applyAlignment="1">
      <alignment horizontal="left" vertical="center"/>
    </xf>
    <xf numFmtId="0" fontId="3" fillId="12" borderId="0" xfId="4" applyFill="1" applyAlignment="1">
      <alignment vertical="center"/>
    </xf>
    <xf numFmtId="0" fontId="59" fillId="12" borderId="0" xfId="4" applyFont="1" applyFill="1" applyAlignment="1" applyProtection="1">
      <alignment horizontal="left" vertical="center"/>
      <protection locked="0" hidden="1"/>
    </xf>
    <xf numFmtId="181" fontId="3" fillId="12" borderId="8" xfId="4" applyNumberFormat="1" applyFill="1" applyBorder="1" applyAlignment="1">
      <alignment horizontal="left" vertical="center"/>
    </xf>
    <xf numFmtId="181" fontId="3" fillId="12" borderId="9" xfId="4" applyNumberFormat="1" applyFill="1" applyBorder="1" applyAlignment="1">
      <alignment horizontal="left" vertical="center"/>
    </xf>
    <xf numFmtId="0" fontId="3" fillId="17" borderId="11" xfId="4" applyNumberFormat="1" applyFill="1" applyBorder="1" applyAlignment="1">
      <alignment horizontal="center" vertical="center"/>
    </xf>
    <xf numFmtId="1" fontId="3" fillId="12" borderId="11" xfId="4" applyNumberFormat="1" applyFill="1" applyBorder="1" applyAlignment="1">
      <alignment horizontal="center" vertical="center"/>
    </xf>
    <xf numFmtId="0" fontId="4" fillId="12" borderId="0" xfId="0" applyFont="1" applyFill="1" applyBorder="1" applyAlignment="1" applyProtection="1">
      <alignment horizontal="right"/>
    </xf>
    <xf numFmtId="167" fontId="48" fillId="0" borderId="0" xfId="0" applyNumberFormat="1" applyFont="1" applyAlignment="1">
      <alignment horizontal="left"/>
    </xf>
    <xf numFmtId="0" fontId="3" fillId="8" borderId="0" xfId="0" applyNumberFormat="1" applyFont="1" applyFill="1" applyBorder="1" applyAlignment="1" applyProtection="1"/>
    <xf numFmtId="2" fontId="7" fillId="10" borderId="0" xfId="0" applyNumberFormat="1" applyFont="1" applyFill="1" applyBorder="1"/>
    <xf numFmtId="0" fontId="3" fillId="12" borderId="64" xfId="0" applyNumberFormat="1" applyFont="1" applyFill="1" applyBorder="1" applyAlignment="1" applyProtection="1">
      <alignment vertical="center"/>
    </xf>
    <xf numFmtId="165" fontId="0" fillId="0" borderId="0" xfId="0" applyNumberFormat="1"/>
    <xf numFmtId="168" fontId="3" fillId="12" borderId="0" xfId="0" applyNumberFormat="1" applyFont="1" applyFill="1" applyAlignment="1" applyProtection="1">
      <alignment horizontal="right"/>
    </xf>
    <xf numFmtId="0" fontId="3" fillId="12" borderId="23" xfId="0" applyNumberFormat="1" applyFont="1" applyFill="1" applyBorder="1" applyAlignment="1" applyProtection="1"/>
    <xf numFmtId="0" fontId="3" fillId="12" borderId="40" xfId="0" applyNumberFormat="1" applyFont="1" applyFill="1" applyBorder="1" applyAlignment="1" applyProtection="1"/>
    <xf numFmtId="2" fontId="3" fillId="8" borderId="39" xfId="0" applyNumberFormat="1" applyFont="1" applyFill="1" applyBorder="1" applyAlignment="1" applyProtection="1">
      <alignment horizontal="right"/>
    </xf>
    <xf numFmtId="1" fontId="3" fillId="2" borderId="11" xfId="4" applyNumberFormat="1" applyFont="1" applyFill="1" applyBorder="1" applyProtection="1">
      <protection locked="0"/>
    </xf>
    <xf numFmtId="168" fontId="49" fillId="8" borderId="35" xfId="2" applyNumberFormat="1" applyFont="1" applyFill="1" applyBorder="1" applyAlignment="1" applyProtection="1">
      <alignment horizontal="right" vertical="center"/>
    </xf>
    <xf numFmtId="0" fontId="3" fillId="0" borderId="0" xfId="4" applyFill="1"/>
    <xf numFmtId="167" fontId="3" fillId="0" borderId="0" xfId="4" applyNumberFormat="1" applyFill="1"/>
    <xf numFmtId="0" fontId="49" fillId="8" borderId="0" xfId="0" applyFont="1" applyFill="1" applyBorder="1" applyAlignment="1" applyProtection="1">
      <alignment horizontal="right" vertical="center"/>
    </xf>
    <xf numFmtId="1" fontId="3" fillId="8" borderId="0" xfId="0" applyNumberFormat="1" applyFont="1" applyFill="1" applyBorder="1" applyProtection="1"/>
    <xf numFmtId="181" fontId="3" fillId="12" borderId="8" xfId="4" applyNumberFormat="1" applyFill="1" applyBorder="1" applyAlignment="1">
      <alignment horizontal="left" vertical="center"/>
    </xf>
    <xf numFmtId="181" fontId="3" fillId="12" borderId="9" xfId="4" applyNumberFormat="1" applyFill="1" applyBorder="1" applyAlignment="1">
      <alignment horizontal="left" vertical="center"/>
    </xf>
    <xf numFmtId="0" fontId="59" fillId="12" borderId="0" xfId="4" applyFont="1" applyFill="1"/>
    <xf numFmtId="0" fontId="59" fillId="8" borderId="0" xfId="4" applyFont="1" applyFill="1" applyAlignment="1" applyProtection="1">
      <alignment vertical="center"/>
      <protection locked="0" hidden="1"/>
    </xf>
    <xf numFmtId="11" fontId="3" fillId="0" borderId="11" xfId="4" applyNumberFormat="1" applyFont="1" applyFill="1" applyBorder="1" applyProtection="1">
      <protection locked="0"/>
    </xf>
    <xf numFmtId="2" fontId="3" fillId="8" borderId="0" xfId="0" applyNumberFormat="1" applyFont="1" applyFill="1" applyBorder="1" applyProtection="1"/>
    <xf numFmtId="1" fontId="3" fillId="8" borderId="35" xfId="0" applyNumberFormat="1" applyFont="1" applyFill="1" applyBorder="1" applyAlignment="1" applyProtection="1">
      <alignment horizontal="right" vertical="center"/>
    </xf>
    <xf numFmtId="1" fontId="3" fillId="8" borderId="63" xfId="0" applyNumberFormat="1" applyFont="1" applyFill="1" applyBorder="1" applyAlignment="1" applyProtection="1">
      <alignment horizontal="right" vertical="center"/>
    </xf>
    <xf numFmtId="0" fontId="58" fillId="15" borderId="0" xfId="0" applyFont="1" applyFill="1"/>
    <xf numFmtId="11" fontId="0" fillId="10" borderId="0" xfId="0" applyNumberFormat="1" applyFill="1" applyBorder="1"/>
    <xf numFmtId="0" fontId="49" fillId="8" borderId="39" xfId="0" applyFont="1" applyFill="1" applyBorder="1" applyAlignment="1" applyProtection="1">
      <alignment horizontal="right" vertical="center"/>
    </xf>
    <xf numFmtId="2" fontId="3" fillId="8" borderId="39" xfId="0" applyNumberFormat="1" applyFont="1" applyFill="1" applyBorder="1" applyProtection="1"/>
    <xf numFmtId="1" fontId="3" fillId="0" borderId="36" xfId="0" applyNumberFormat="1" applyFont="1" applyFill="1" applyBorder="1" applyAlignment="1" applyProtection="1">
      <alignment vertical="center"/>
    </xf>
    <xf numFmtId="168" fontId="3" fillId="0" borderId="0" xfId="0" applyNumberFormat="1" applyFont="1" applyFill="1" applyBorder="1"/>
    <xf numFmtId="168" fontId="3" fillId="8" borderId="35" xfId="0" applyNumberFormat="1" applyFont="1" applyFill="1" applyBorder="1" applyAlignment="1" applyProtection="1">
      <alignment horizontal="right" vertical="center"/>
    </xf>
    <xf numFmtId="168" fontId="3" fillId="18" borderId="0" xfId="0" applyNumberFormat="1" applyFont="1" applyFill="1" applyBorder="1"/>
    <xf numFmtId="0" fontId="4" fillId="4" borderId="0" xfId="4" applyFont="1" applyFill="1" applyBorder="1" applyAlignment="1">
      <alignment horizontal="center"/>
    </xf>
    <xf numFmtId="168" fontId="27" fillId="18" borderId="0" xfId="0" applyNumberFormat="1" applyFont="1" applyFill="1" applyBorder="1"/>
    <xf numFmtId="0" fontId="76" fillId="8" borderId="0" xfId="4" applyFont="1" applyFill="1" applyAlignment="1">
      <alignment horizontal="right" wrapText="1"/>
    </xf>
    <xf numFmtId="178" fontId="3" fillId="16" borderId="8" xfId="4" applyNumberFormat="1" applyFill="1" applyBorder="1" applyAlignment="1">
      <alignment horizontal="left" vertical="center"/>
    </xf>
    <xf numFmtId="178" fontId="3" fillId="16" borderId="9" xfId="4" applyNumberFormat="1" applyFill="1" applyBorder="1" applyAlignment="1">
      <alignment horizontal="left" vertical="center"/>
    </xf>
    <xf numFmtId="0" fontId="54" fillId="3" borderId="69" xfId="4" applyFont="1" applyFill="1" applyBorder="1" applyAlignment="1">
      <alignment horizontal="center" vertical="center"/>
    </xf>
    <xf numFmtId="0" fontId="54" fillId="3" borderId="71" xfId="4" applyFont="1" applyFill="1" applyBorder="1" applyAlignment="1">
      <alignment horizontal="center" vertical="center"/>
    </xf>
    <xf numFmtId="0" fontId="54" fillId="3" borderId="72" xfId="4" applyFont="1" applyFill="1" applyBorder="1" applyAlignment="1">
      <alignment horizontal="center" vertical="center"/>
    </xf>
    <xf numFmtId="183" fontId="3" fillId="17" borderId="8" xfId="4" applyNumberFormat="1" applyFill="1" applyBorder="1" applyAlignment="1">
      <alignment horizontal="left" vertical="center"/>
    </xf>
    <xf numFmtId="183" fontId="3" fillId="17" borderId="9" xfId="4" applyNumberFormat="1" applyFill="1" applyBorder="1" applyAlignment="1">
      <alignment horizontal="left" vertical="center"/>
    </xf>
    <xf numFmtId="181" fontId="3" fillId="12" borderId="8" xfId="4" applyNumberFormat="1" applyFill="1" applyBorder="1" applyAlignment="1">
      <alignment horizontal="left" vertical="center"/>
    </xf>
    <xf numFmtId="181" fontId="3" fillId="12" borderId="9" xfId="4" applyNumberFormat="1" applyFill="1" applyBorder="1" applyAlignment="1">
      <alignment horizontal="left" vertical="center"/>
    </xf>
    <xf numFmtId="175" fontId="3" fillId="12" borderId="8" xfId="4" applyNumberFormat="1" applyFill="1" applyBorder="1" applyAlignment="1">
      <alignment horizontal="left" vertical="center"/>
    </xf>
    <xf numFmtId="175" fontId="3" fillId="12" borderId="9" xfId="4" applyNumberFormat="1" applyFill="1" applyBorder="1" applyAlignment="1">
      <alignment horizontal="left" vertical="center"/>
    </xf>
    <xf numFmtId="174" fontId="3" fillId="12" borderId="8" xfId="4" applyNumberFormat="1" applyFill="1" applyBorder="1" applyAlignment="1">
      <alignment horizontal="left" vertical="center" wrapText="1"/>
    </xf>
    <xf numFmtId="174" fontId="3" fillId="12" borderId="9" xfId="4" applyNumberFormat="1" applyFill="1" applyBorder="1" applyAlignment="1">
      <alignment horizontal="left" vertical="center" wrapText="1"/>
    </xf>
    <xf numFmtId="174" fontId="3" fillId="12" borderId="15" xfId="4" applyNumberFormat="1" applyFill="1" applyBorder="1" applyAlignment="1">
      <alignment horizontal="left" vertical="center" wrapText="1"/>
    </xf>
    <xf numFmtId="181" fontId="3" fillId="17" borderId="8" xfId="4" applyNumberFormat="1" applyFill="1" applyBorder="1" applyAlignment="1">
      <alignment horizontal="left" vertical="center"/>
    </xf>
    <xf numFmtId="181" fontId="3" fillId="17" borderId="9" xfId="4" applyNumberFormat="1" applyFill="1" applyBorder="1" applyAlignment="1">
      <alignment horizontal="left" vertical="center"/>
    </xf>
    <xf numFmtId="180" fontId="3" fillId="16" borderId="8" xfId="4" applyNumberFormat="1" applyFill="1" applyBorder="1" applyAlignment="1">
      <alignment horizontal="left" vertical="center"/>
    </xf>
    <xf numFmtId="180" fontId="3" fillId="16" borderId="9" xfId="4" applyNumberFormat="1" applyFill="1" applyBorder="1" applyAlignment="1">
      <alignment horizontal="left" vertical="center"/>
    </xf>
    <xf numFmtId="175" fontId="3" fillId="17" borderId="8" xfId="4" applyNumberFormat="1" applyFill="1" applyBorder="1" applyAlignment="1">
      <alignment horizontal="left" vertical="center"/>
    </xf>
    <xf numFmtId="175" fontId="3" fillId="17" borderId="9" xfId="4" applyNumberFormat="1" applyFill="1" applyBorder="1" applyAlignment="1">
      <alignment horizontal="left" vertical="center"/>
    </xf>
    <xf numFmtId="0" fontId="40" fillId="12" borderId="22" xfId="0" applyFont="1" applyFill="1" applyBorder="1" applyAlignment="1" applyProtection="1">
      <alignment horizontal="left" vertical="center"/>
    </xf>
    <xf numFmtId="0" fontId="40" fillId="12" borderId="0" xfId="0" applyFont="1" applyFill="1" applyBorder="1" applyAlignment="1" applyProtection="1">
      <alignment horizontal="left" vertical="center"/>
    </xf>
    <xf numFmtId="0" fontId="4" fillId="0" borderId="0" xfId="0" applyFont="1" applyAlignment="1">
      <alignment horizontal="center"/>
    </xf>
    <xf numFmtId="0" fontId="5" fillId="3" borderId="0" xfId="0" applyFont="1" applyFill="1" applyAlignment="1">
      <alignment horizontal="left"/>
    </xf>
    <xf numFmtId="0" fontId="4" fillId="4" borderId="71" xfId="4" applyFont="1" applyFill="1" applyBorder="1" applyAlignment="1">
      <alignment horizontal="left"/>
    </xf>
    <xf numFmtId="0" fontId="4" fillId="4" borderId="46" xfId="4" applyFont="1" applyFill="1" applyBorder="1" applyAlignment="1">
      <alignment horizontal="left"/>
    </xf>
    <xf numFmtId="0" fontId="4" fillId="4" borderId="78" xfId="4" applyFont="1" applyFill="1" applyBorder="1" applyAlignment="1">
      <alignment horizontal="left"/>
    </xf>
    <xf numFmtId="0" fontId="4" fillId="4" borderId="66" xfId="4" applyFont="1" applyFill="1" applyBorder="1" applyAlignment="1">
      <alignment horizontal="left"/>
    </xf>
    <xf numFmtId="0" fontId="48" fillId="0" borderId="0" xfId="0" applyFont="1" applyAlignment="1">
      <alignment horizontal="center"/>
    </xf>
    <xf numFmtId="0" fontId="4" fillId="4" borderId="4" xfId="4" applyFont="1" applyFill="1" applyBorder="1" applyAlignment="1">
      <alignment horizontal="center"/>
    </xf>
    <xf numFmtId="0" fontId="13" fillId="3" borderId="0" xfId="4" applyFont="1" applyFill="1" applyAlignment="1">
      <alignment horizontal="left" vertical="center"/>
    </xf>
    <xf numFmtId="0" fontId="23" fillId="21" borderId="0" xfId="4" applyFont="1" applyFill="1" applyBorder="1" applyAlignment="1" applyProtection="1">
      <alignment horizontal="center" vertical="center"/>
    </xf>
    <xf numFmtId="0" fontId="4" fillId="0" borderId="0" xfId="4" applyFont="1" applyAlignment="1">
      <alignment horizontal="left" vertical="center" wrapText="1"/>
    </xf>
    <xf numFmtId="0" fontId="4" fillId="4" borderId="65" xfId="4" applyFont="1" applyFill="1" applyBorder="1" applyAlignment="1">
      <alignment horizontal="left"/>
    </xf>
  </cellXfs>
  <cellStyles count="8">
    <cellStyle name="Comma" xfId="2" builtinId="3"/>
    <cellStyle name="Comma 2" xfId="6" xr:uid="{00000000-0005-0000-0000-000001000000}"/>
    <cellStyle name="Hyperlink" xfId="3" builtinId="8"/>
    <cellStyle name="Normal" xfId="0" builtinId="0"/>
    <cellStyle name="Normal 2" xfId="4" xr:uid="{00000000-0005-0000-0000-000004000000}"/>
    <cellStyle name="Normal 3" xfId="5" xr:uid="{00000000-0005-0000-0000-000005000000}"/>
    <cellStyle name="Percent" xfId="7" builtinId="5"/>
    <cellStyle name="RowLevel_1" xfId="1" builtinId="1" iLevel="0"/>
  </cellStyles>
  <dxfs count="62">
    <dxf>
      <border>
        <left style="thin">
          <color indexed="64"/>
        </left>
        <right style="thin">
          <color indexed="64"/>
        </right>
        <top style="thin">
          <color indexed="64"/>
        </top>
        <bottom style="thin">
          <color indexed="64"/>
        </bottom>
      </border>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theme="0"/>
      </font>
    </dxf>
    <dxf>
      <font>
        <color rgb="FFFFFF99"/>
      </font>
    </dxf>
    <dxf>
      <font>
        <color theme="0"/>
      </font>
    </dxf>
    <dxf>
      <font>
        <color rgb="FFFF0000"/>
      </font>
    </dxf>
    <dxf>
      <font>
        <color theme="0"/>
      </font>
    </dxf>
    <dxf>
      <font>
        <strike val="0"/>
        <color theme="0"/>
      </font>
      <fill>
        <patternFill>
          <bgColor rgb="FFFF0000"/>
        </patternFill>
      </fill>
    </dxf>
    <dxf>
      <font>
        <color theme="0"/>
      </font>
      <fill>
        <patternFill patternType="solid">
          <fgColor auto="1"/>
          <bgColor rgb="FFFF0000"/>
        </patternFill>
      </fill>
    </dxf>
    <dxf>
      <font>
        <color theme="0"/>
      </font>
      <fill>
        <patternFill>
          <bgColor theme="0"/>
        </patternFill>
      </fill>
    </dxf>
    <dxf>
      <font>
        <b/>
        <i val="0"/>
        <color rgb="FFFF0000"/>
      </font>
    </dxf>
    <dxf>
      <border>
        <top/>
        <bottom/>
        <vertical/>
        <horizontal/>
      </border>
    </dxf>
    <dxf>
      <border>
        <left/>
        <right/>
        <top/>
        <bottom/>
        <vertical/>
        <horizontal/>
      </border>
    </dxf>
    <dxf>
      <font>
        <color theme="0"/>
      </font>
      <fill>
        <patternFill>
          <bgColor theme="0"/>
        </patternFill>
      </fill>
      <border>
        <right/>
        <top/>
        <bottom/>
      </border>
    </dxf>
    <dxf>
      <border>
        <bottom/>
        <vertical/>
        <horizontal/>
      </border>
    </dxf>
    <dxf>
      <border>
        <bottom/>
        <vertical/>
        <horizontal/>
      </border>
    </dxf>
    <dxf>
      <border>
        <right/>
        <vertical/>
        <horizontal/>
      </border>
    </dxf>
    <dxf>
      <border>
        <bottom/>
        <vertical/>
        <horizontal/>
      </border>
    </dxf>
    <dxf>
      <font>
        <strike val="0"/>
        <color theme="0"/>
      </font>
      <fill>
        <patternFill>
          <bgColor theme="0"/>
        </patternFill>
      </fill>
    </dxf>
    <dxf>
      <font>
        <color rgb="FFFF0000"/>
      </font>
    </dxf>
    <dxf>
      <font>
        <color rgb="FFFF0000"/>
      </font>
    </dxf>
    <dxf>
      <font>
        <color rgb="FFFF0000"/>
      </font>
    </dxf>
    <dxf>
      <font>
        <color theme="0"/>
      </font>
      <fill>
        <patternFill>
          <bgColor theme="0"/>
        </patternFill>
      </fill>
    </dxf>
    <dxf>
      <font>
        <b/>
        <i val="0"/>
        <color rgb="FFC00000"/>
      </font>
    </dxf>
    <dxf>
      <font>
        <color rgb="FFFF0000"/>
      </font>
    </dxf>
    <dxf>
      <font>
        <color rgb="FFFF0000"/>
      </font>
    </dxf>
    <dxf>
      <font>
        <color rgb="FFFF0000"/>
      </font>
    </dxf>
    <dxf>
      <font>
        <b/>
        <i val="0"/>
        <color rgb="FFFF0000"/>
      </font>
    </dxf>
    <dxf>
      <font>
        <b/>
        <i val="0"/>
        <condense val="0"/>
        <extend val="0"/>
        <color indexed="12"/>
      </font>
    </dxf>
    <dxf>
      <font>
        <b/>
        <i val="0"/>
        <condense val="0"/>
        <extend val="0"/>
        <color indexed="10"/>
      </font>
    </dxf>
    <dxf>
      <font>
        <color rgb="FFFF0000"/>
      </font>
    </dxf>
    <dxf>
      <font>
        <color rgb="FFFF0000"/>
      </font>
    </dxf>
    <dxf>
      <font>
        <color rgb="FFFF0000"/>
      </font>
    </dxf>
    <dxf>
      <border>
        <right/>
        <vertical/>
        <horizontal/>
      </border>
    </dxf>
    <dxf>
      <border>
        <left/>
        <right/>
        <top/>
        <bottom/>
        <vertical/>
        <horizontal/>
      </border>
    </dxf>
    <dxf>
      <border>
        <bottom/>
        <vertical/>
        <horizontal/>
      </border>
    </dxf>
    <dxf>
      <font>
        <color rgb="FFFF0000"/>
      </font>
    </dxf>
    <dxf>
      <font>
        <color rgb="FFFF0000"/>
      </font>
    </dxf>
    <dxf>
      <font>
        <color rgb="FFFF0000"/>
      </font>
    </dxf>
    <dxf>
      <font>
        <b/>
        <i val="0"/>
        <color rgb="FFC00000"/>
      </font>
    </dxf>
    <dxf>
      <font>
        <color theme="0"/>
      </font>
      <fill>
        <patternFill>
          <bgColor theme="0"/>
        </patternFill>
      </fill>
    </dxf>
    <dxf>
      <font>
        <b/>
        <i val="0"/>
        <color rgb="FFC00000"/>
      </font>
    </dxf>
    <dxf>
      <font>
        <color theme="0"/>
      </font>
    </dxf>
    <dxf>
      <font>
        <b/>
        <i val="0"/>
        <color rgb="FFC00000"/>
      </font>
    </dxf>
    <dxf>
      <font>
        <color theme="0"/>
      </font>
      <fill>
        <patternFill>
          <bgColor theme="0"/>
        </patternFill>
      </fill>
    </dxf>
    <dxf>
      <font>
        <color theme="0"/>
      </font>
    </dxf>
    <dxf>
      <font>
        <color rgb="FFFF0000"/>
      </font>
    </dxf>
    <dxf>
      <font>
        <color rgb="FFFF0000"/>
      </font>
    </dxf>
    <dxf>
      <font>
        <color rgb="FFFF0000"/>
      </font>
    </dxf>
    <dxf>
      <font>
        <color rgb="FFFF0000"/>
      </font>
    </dxf>
    <dxf>
      <font>
        <color rgb="FFFF0000"/>
      </font>
    </dxf>
    <dxf>
      <font>
        <b/>
        <i val="0"/>
        <color rgb="FFFF0000"/>
      </font>
    </dxf>
    <dxf>
      <font>
        <b/>
        <i val="0"/>
        <condense val="0"/>
        <extend val="0"/>
        <color indexed="10"/>
      </font>
    </dxf>
  </dxfs>
  <tableStyles count="0" defaultTableStyle="TableStyleMedium9" defaultPivotStyle="PivotStyleLight16"/>
  <colors>
    <mruColors>
      <color rgb="FFCCFFFF"/>
      <color rgb="FF66FFFF"/>
      <color rgb="FF00FFFF"/>
      <color rgb="FFEE6112"/>
      <color rgb="FF0000FF"/>
      <color rgb="FFFFFF99"/>
      <color rgb="FFFFFF66"/>
      <color rgb="FFFF9900"/>
      <color rgb="FF33CC33"/>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280743132914835E-2"/>
          <c:y val="0.12133523343001466"/>
          <c:w val="0.80670936294253548"/>
          <c:h val="0.7558980268938309"/>
        </c:manualLayout>
      </c:layout>
      <c:lineChart>
        <c:grouping val="standard"/>
        <c:varyColors val="0"/>
        <c:ser>
          <c:idx val="1"/>
          <c:order val="0"/>
          <c:tx>
            <c:v>VIN-min</c:v>
          </c:tx>
          <c:spPr>
            <a:ln w="19050">
              <a:solidFill>
                <a:srgbClr val="00B050"/>
              </a:solidFill>
              <a:prstDash val="lgDash"/>
            </a:ln>
          </c:spPr>
          <c:marker>
            <c:symbol val="none"/>
          </c:marker>
          <c:cat>
            <c:numRef>
              <c:f>'Calculations - Single'!$AM$5:$AM$105</c:f>
              <c:numCache>
                <c:formatCode>0</c:formatCode>
                <c:ptCount val="101"/>
                <c:pt idx="0">
                  <c:v>1.0000000000000002E-6</c:v>
                </c:pt>
                <c:pt idx="1">
                  <c:v>10</c:v>
                </c:pt>
                <c:pt idx="2">
                  <c:v>20</c:v>
                </c:pt>
                <c:pt idx="3">
                  <c:v>30</c:v>
                </c:pt>
                <c:pt idx="4">
                  <c:v>40</c:v>
                </c:pt>
                <c:pt idx="5">
                  <c:v>50</c:v>
                </c:pt>
                <c:pt idx="6">
                  <c:v>60</c:v>
                </c:pt>
                <c:pt idx="7">
                  <c:v>70</c:v>
                </c:pt>
                <c:pt idx="8">
                  <c:v>80</c:v>
                </c:pt>
                <c:pt idx="9">
                  <c:v>90</c:v>
                </c:pt>
                <c:pt idx="10">
                  <c:v>100</c:v>
                </c:pt>
                <c:pt idx="11">
                  <c:v>110</c:v>
                </c:pt>
                <c:pt idx="12">
                  <c:v>120</c:v>
                </c:pt>
                <c:pt idx="13">
                  <c:v>130</c:v>
                </c:pt>
                <c:pt idx="14">
                  <c:v>140</c:v>
                </c:pt>
                <c:pt idx="15">
                  <c:v>150</c:v>
                </c:pt>
                <c:pt idx="16">
                  <c:v>160</c:v>
                </c:pt>
                <c:pt idx="17">
                  <c:v>170</c:v>
                </c:pt>
                <c:pt idx="18">
                  <c:v>180</c:v>
                </c:pt>
                <c:pt idx="19">
                  <c:v>190</c:v>
                </c:pt>
                <c:pt idx="20">
                  <c:v>200</c:v>
                </c:pt>
                <c:pt idx="21">
                  <c:v>210</c:v>
                </c:pt>
                <c:pt idx="22">
                  <c:v>220</c:v>
                </c:pt>
                <c:pt idx="23">
                  <c:v>230</c:v>
                </c:pt>
                <c:pt idx="24">
                  <c:v>240</c:v>
                </c:pt>
                <c:pt idx="25">
                  <c:v>250</c:v>
                </c:pt>
                <c:pt idx="26">
                  <c:v>260</c:v>
                </c:pt>
                <c:pt idx="27">
                  <c:v>270</c:v>
                </c:pt>
                <c:pt idx="28">
                  <c:v>280</c:v>
                </c:pt>
                <c:pt idx="29">
                  <c:v>290</c:v>
                </c:pt>
                <c:pt idx="30">
                  <c:v>300</c:v>
                </c:pt>
                <c:pt idx="31">
                  <c:v>310</c:v>
                </c:pt>
                <c:pt idx="32">
                  <c:v>320</c:v>
                </c:pt>
                <c:pt idx="33">
                  <c:v>330</c:v>
                </c:pt>
                <c:pt idx="34">
                  <c:v>340</c:v>
                </c:pt>
                <c:pt idx="35">
                  <c:v>350</c:v>
                </c:pt>
                <c:pt idx="36">
                  <c:v>360</c:v>
                </c:pt>
                <c:pt idx="37">
                  <c:v>370</c:v>
                </c:pt>
                <c:pt idx="38">
                  <c:v>380</c:v>
                </c:pt>
                <c:pt idx="39">
                  <c:v>390</c:v>
                </c:pt>
                <c:pt idx="40">
                  <c:v>400</c:v>
                </c:pt>
                <c:pt idx="41">
                  <c:v>410</c:v>
                </c:pt>
                <c:pt idx="42">
                  <c:v>420</c:v>
                </c:pt>
                <c:pt idx="43">
                  <c:v>430</c:v>
                </c:pt>
                <c:pt idx="44">
                  <c:v>440</c:v>
                </c:pt>
                <c:pt idx="45">
                  <c:v>450</c:v>
                </c:pt>
                <c:pt idx="46">
                  <c:v>460</c:v>
                </c:pt>
                <c:pt idx="47">
                  <c:v>470</c:v>
                </c:pt>
                <c:pt idx="48">
                  <c:v>480</c:v>
                </c:pt>
                <c:pt idx="49">
                  <c:v>490</c:v>
                </c:pt>
                <c:pt idx="50">
                  <c:v>500</c:v>
                </c:pt>
                <c:pt idx="51">
                  <c:v>510</c:v>
                </c:pt>
                <c:pt idx="52">
                  <c:v>520</c:v>
                </c:pt>
                <c:pt idx="53">
                  <c:v>530</c:v>
                </c:pt>
                <c:pt idx="54">
                  <c:v>540</c:v>
                </c:pt>
                <c:pt idx="55">
                  <c:v>550</c:v>
                </c:pt>
                <c:pt idx="56">
                  <c:v>560</c:v>
                </c:pt>
                <c:pt idx="57">
                  <c:v>570</c:v>
                </c:pt>
                <c:pt idx="58">
                  <c:v>580</c:v>
                </c:pt>
                <c:pt idx="59">
                  <c:v>590</c:v>
                </c:pt>
                <c:pt idx="60">
                  <c:v>600</c:v>
                </c:pt>
                <c:pt idx="61">
                  <c:v>610</c:v>
                </c:pt>
                <c:pt idx="62">
                  <c:v>620</c:v>
                </c:pt>
                <c:pt idx="63">
                  <c:v>630</c:v>
                </c:pt>
                <c:pt idx="64">
                  <c:v>640</c:v>
                </c:pt>
                <c:pt idx="65">
                  <c:v>650</c:v>
                </c:pt>
                <c:pt idx="66">
                  <c:v>660</c:v>
                </c:pt>
                <c:pt idx="67">
                  <c:v>670</c:v>
                </c:pt>
                <c:pt idx="68">
                  <c:v>680</c:v>
                </c:pt>
                <c:pt idx="69">
                  <c:v>690</c:v>
                </c:pt>
                <c:pt idx="70">
                  <c:v>700</c:v>
                </c:pt>
                <c:pt idx="71">
                  <c:v>710</c:v>
                </c:pt>
                <c:pt idx="72">
                  <c:v>720</c:v>
                </c:pt>
                <c:pt idx="73">
                  <c:v>730</c:v>
                </c:pt>
                <c:pt idx="74">
                  <c:v>740</c:v>
                </c:pt>
                <c:pt idx="75">
                  <c:v>750</c:v>
                </c:pt>
                <c:pt idx="76">
                  <c:v>760</c:v>
                </c:pt>
                <c:pt idx="77">
                  <c:v>770</c:v>
                </c:pt>
                <c:pt idx="78">
                  <c:v>780</c:v>
                </c:pt>
                <c:pt idx="79">
                  <c:v>790</c:v>
                </c:pt>
                <c:pt idx="80">
                  <c:v>800</c:v>
                </c:pt>
                <c:pt idx="81">
                  <c:v>810</c:v>
                </c:pt>
                <c:pt idx="82">
                  <c:v>820</c:v>
                </c:pt>
                <c:pt idx="83">
                  <c:v>830</c:v>
                </c:pt>
                <c:pt idx="84">
                  <c:v>840</c:v>
                </c:pt>
                <c:pt idx="85">
                  <c:v>850</c:v>
                </c:pt>
                <c:pt idx="86">
                  <c:v>860</c:v>
                </c:pt>
                <c:pt idx="87">
                  <c:v>870</c:v>
                </c:pt>
                <c:pt idx="88">
                  <c:v>880</c:v>
                </c:pt>
                <c:pt idx="89">
                  <c:v>890</c:v>
                </c:pt>
                <c:pt idx="90">
                  <c:v>900</c:v>
                </c:pt>
                <c:pt idx="91">
                  <c:v>910</c:v>
                </c:pt>
                <c:pt idx="92">
                  <c:v>920</c:v>
                </c:pt>
                <c:pt idx="93">
                  <c:v>930</c:v>
                </c:pt>
                <c:pt idx="94">
                  <c:v>940</c:v>
                </c:pt>
                <c:pt idx="95">
                  <c:v>950</c:v>
                </c:pt>
                <c:pt idx="96">
                  <c:v>960</c:v>
                </c:pt>
                <c:pt idx="97">
                  <c:v>970</c:v>
                </c:pt>
                <c:pt idx="98">
                  <c:v>980</c:v>
                </c:pt>
                <c:pt idx="99">
                  <c:v>990</c:v>
                </c:pt>
                <c:pt idx="100">
                  <c:v>1000</c:v>
                </c:pt>
              </c:numCache>
            </c:numRef>
          </c:cat>
          <c:val>
            <c:numRef>
              <c:f>'Calculations - Single'!$AN$110:$AN$210</c:f>
              <c:numCache>
                <c:formatCode>0.0</c:formatCode>
                <c:ptCount val="101"/>
                <c:pt idx="0">
                  <c:v>12</c:v>
                </c:pt>
                <c:pt idx="1">
                  <c:v>67.561825444038433</c:v>
                </c:pt>
                <c:pt idx="2">
                  <c:v>135.12365088807687</c:v>
                </c:pt>
                <c:pt idx="3">
                  <c:v>202.68547633211526</c:v>
                </c:pt>
                <c:pt idx="4">
                  <c:v>270.24730177615373</c:v>
                </c:pt>
                <c:pt idx="5">
                  <c:v>337.80912722019218</c:v>
                </c:pt>
                <c:pt idx="6">
                  <c:v>350</c:v>
                </c:pt>
                <c:pt idx="7">
                  <c:v>350</c:v>
                </c:pt>
                <c:pt idx="8">
                  <c:v>350</c:v>
                </c:pt>
                <c:pt idx="9">
                  <c:v>350</c:v>
                </c:pt>
                <c:pt idx="10">
                  <c:v>350</c:v>
                </c:pt>
                <c:pt idx="11">
                  <c:v>350</c:v>
                </c:pt>
                <c:pt idx="12">
                  <c:v>350</c:v>
                </c:pt>
                <c:pt idx="13">
                  <c:v>350</c:v>
                </c:pt>
                <c:pt idx="14">
                  <c:v>350</c:v>
                </c:pt>
                <c:pt idx="15">
                  <c:v>350</c:v>
                </c:pt>
                <c:pt idx="16">
                  <c:v>350</c:v>
                </c:pt>
                <c:pt idx="17">
                  <c:v>350</c:v>
                </c:pt>
                <c:pt idx="18">
                  <c:v>350</c:v>
                </c:pt>
                <c:pt idx="19">
                  <c:v>350</c:v>
                </c:pt>
                <c:pt idx="20">
                  <c:v>350</c:v>
                </c:pt>
                <c:pt idx="21">
                  <c:v>350</c:v>
                </c:pt>
                <c:pt idx="22">
                  <c:v>350</c:v>
                </c:pt>
                <c:pt idx="23">
                  <c:v>350</c:v>
                </c:pt>
                <c:pt idx="24">
                  <c:v>350</c:v>
                </c:pt>
                <c:pt idx="25">
                  <c:v>350</c:v>
                </c:pt>
                <c:pt idx="26">
                  <c:v>350</c:v>
                </c:pt>
                <c:pt idx="27">
                  <c:v>350</c:v>
                </c:pt>
                <c:pt idx="28">
                  <c:v>350</c:v>
                </c:pt>
                <c:pt idx="29">
                  <c:v>350</c:v>
                </c:pt>
                <c:pt idx="30">
                  <c:v>350</c:v>
                </c:pt>
                <c:pt idx="31">
                  <c:v>350</c:v>
                </c:pt>
                <c:pt idx="32">
                  <c:v>350</c:v>
                </c:pt>
                <c:pt idx="33">
                  <c:v>350</c:v>
                </c:pt>
                <c:pt idx="34">
                  <c:v>350</c:v>
                </c:pt>
                <c:pt idx="35">
                  <c:v>350</c:v>
                </c:pt>
                <c:pt idx="36">
                  <c:v>350</c:v>
                </c:pt>
                <c:pt idx="37">
                  <c:v>350</c:v>
                </c:pt>
                <c:pt idx="38">
                  <c:v>350</c:v>
                </c:pt>
                <c:pt idx="39">
                  <c:v>350</c:v>
                </c:pt>
                <c:pt idx="40">
                  <c:v>350</c:v>
                </c:pt>
                <c:pt idx="41">
                  <c:v>350</c:v>
                </c:pt>
                <c:pt idx="42">
                  <c:v>350</c:v>
                </c:pt>
                <c:pt idx="43">
                  <c:v>350</c:v>
                </c:pt>
                <c:pt idx="44">
                  <c:v>350</c:v>
                </c:pt>
                <c:pt idx="45">
                  <c:v>350</c:v>
                </c:pt>
                <c:pt idx="46">
                  <c:v>350</c:v>
                </c:pt>
                <c:pt idx="47">
                  <c:v>350</c:v>
                </c:pt>
                <c:pt idx="48">
                  <c:v>350</c:v>
                </c:pt>
                <c:pt idx="49">
                  <c:v>350</c:v>
                </c:pt>
                <c:pt idx="50">
                  <c:v>350</c:v>
                </c:pt>
                <c:pt idx="51">
                  <c:v>350</c:v>
                </c:pt>
                <c:pt idx="52">
                  <c:v>350</c:v>
                </c:pt>
                <c:pt idx="53">
                  <c:v>350</c:v>
                </c:pt>
                <c:pt idx="54">
                  <c:v>350</c:v>
                </c:pt>
                <c:pt idx="55">
                  <c:v>350</c:v>
                </c:pt>
                <c:pt idx="56">
                  <c:v>350</c:v>
                </c:pt>
                <c:pt idx="57">
                  <c:v>350</c:v>
                </c:pt>
                <c:pt idx="58">
                  <c:v>350</c:v>
                </c:pt>
                <c:pt idx="59">
                  <c:v>350</c:v>
                </c:pt>
                <c:pt idx="60">
                  <c:v>350</c:v>
                </c:pt>
                <c:pt idx="61">
                  <c:v>350</c:v>
                </c:pt>
                <c:pt idx="62">
                  <c:v>350</c:v>
                </c:pt>
                <c:pt idx="63">
                  <c:v>350</c:v>
                </c:pt>
                <c:pt idx="64">
                  <c:v>350</c:v>
                </c:pt>
                <c:pt idx="65">
                  <c:v>350</c:v>
                </c:pt>
                <c:pt idx="66">
                  <c:v>350</c:v>
                </c:pt>
                <c:pt idx="67">
                  <c:v>350</c:v>
                </c:pt>
                <c:pt idx="68">
                  <c:v>350</c:v>
                </c:pt>
                <c:pt idx="69">
                  <c:v>350</c:v>
                </c:pt>
                <c:pt idx="70">
                  <c:v>350</c:v>
                </c:pt>
                <c:pt idx="71">
                  <c:v>350</c:v>
                </c:pt>
                <c:pt idx="72">
                  <c:v>350</c:v>
                </c:pt>
                <c:pt idx="73">
                  <c:v>350</c:v>
                </c:pt>
                <c:pt idx="74">
                  <c:v>350</c:v>
                </c:pt>
                <c:pt idx="75">
                  <c:v>350</c:v>
                </c:pt>
                <c:pt idx="76">
                  <c:v>350</c:v>
                </c:pt>
                <c:pt idx="77">
                  <c:v>350</c:v>
                </c:pt>
                <c:pt idx="78">
                  <c:v>350</c:v>
                </c:pt>
                <c:pt idx="79">
                  <c:v>350</c:v>
                </c:pt>
                <c:pt idx="80">
                  <c:v>350</c:v>
                </c:pt>
                <c:pt idx="81">
                  <c:v>350</c:v>
                </c:pt>
                <c:pt idx="82">
                  <c:v>350</c:v>
                </c:pt>
                <c:pt idx="83">
                  <c:v>347.36587949710048</c:v>
                </c:pt>
                <c:pt idx="84">
                  <c:v>343.2305714078492</c:v>
                </c:pt>
                <c:pt idx="85">
                  <c:v>339.19256468540385</c:v>
                </c:pt>
                <c:pt idx="86">
                  <c:v>335.24846509603867</c:v>
                </c:pt>
                <c:pt idx="87">
                  <c:v>331.39503446275091</c:v>
                </c:pt>
                <c:pt idx="88">
                  <c:v>327.62918179840148</c:v>
                </c:pt>
                <c:pt idx="89">
                  <c:v>323.94795503662169</c:v>
                </c:pt>
                <c:pt idx="90">
                  <c:v>320.34853331399262</c:v>
                </c:pt>
                <c:pt idx="91">
                  <c:v>316.82821976109153</c:v>
                </c:pt>
                <c:pt idx="92">
                  <c:v>313.38443476368838</c:v>
                </c:pt>
                <c:pt idx="93">
                  <c:v>310.01470965870249</c:v>
                </c:pt>
                <c:pt idx="94">
                  <c:v>306.7166808325461</c:v>
                </c:pt>
                <c:pt idx="95">
                  <c:v>303.48808419220353</c:v>
                </c:pt>
                <c:pt idx="96">
                  <c:v>300.32674998186809</c:v>
                </c:pt>
                <c:pt idx="97">
                  <c:v>297.23059792019933</c:v>
                </c:pt>
                <c:pt idx="98">
                  <c:v>294.19763263529933</c:v>
                </c:pt>
                <c:pt idx="99">
                  <c:v>291.22593937635691</c:v>
                </c:pt>
                <c:pt idx="100">
                  <c:v>288.31367998259327</c:v>
                </c:pt>
              </c:numCache>
            </c:numRef>
          </c:val>
          <c:smooth val="0"/>
          <c:extLst>
            <c:ext xmlns:c16="http://schemas.microsoft.com/office/drawing/2014/chart" uri="{C3380CC4-5D6E-409C-BE32-E72D297353CC}">
              <c16:uniqueId val="{00000000-BF86-4FB2-8232-832AAE27F06E}"/>
            </c:ext>
          </c:extLst>
        </c:ser>
        <c:ser>
          <c:idx val="0"/>
          <c:order val="1"/>
          <c:tx>
            <c:v>VIN-nom</c:v>
          </c:tx>
          <c:spPr>
            <a:ln w="19050">
              <a:solidFill>
                <a:srgbClr val="FF0000"/>
              </a:solidFill>
              <a:prstDash val="lgDash"/>
            </a:ln>
          </c:spPr>
          <c:marker>
            <c:symbol val="none"/>
          </c:marker>
          <c:cat>
            <c:numRef>
              <c:f>'Calculations - Single'!$AM$5:$AM$105</c:f>
              <c:numCache>
                <c:formatCode>0</c:formatCode>
                <c:ptCount val="101"/>
                <c:pt idx="0">
                  <c:v>1.0000000000000002E-6</c:v>
                </c:pt>
                <c:pt idx="1">
                  <c:v>10</c:v>
                </c:pt>
                <c:pt idx="2">
                  <c:v>20</c:v>
                </c:pt>
                <c:pt idx="3">
                  <c:v>30</c:v>
                </c:pt>
                <c:pt idx="4">
                  <c:v>40</c:v>
                </c:pt>
                <c:pt idx="5">
                  <c:v>50</c:v>
                </c:pt>
                <c:pt idx="6">
                  <c:v>60</c:v>
                </c:pt>
                <c:pt idx="7">
                  <c:v>70</c:v>
                </c:pt>
                <c:pt idx="8">
                  <c:v>80</c:v>
                </c:pt>
                <c:pt idx="9">
                  <c:v>90</c:v>
                </c:pt>
                <c:pt idx="10">
                  <c:v>100</c:v>
                </c:pt>
                <c:pt idx="11">
                  <c:v>110</c:v>
                </c:pt>
                <c:pt idx="12">
                  <c:v>120</c:v>
                </c:pt>
                <c:pt idx="13">
                  <c:v>130</c:v>
                </c:pt>
                <c:pt idx="14">
                  <c:v>140</c:v>
                </c:pt>
                <c:pt idx="15">
                  <c:v>150</c:v>
                </c:pt>
                <c:pt idx="16">
                  <c:v>160</c:v>
                </c:pt>
                <c:pt idx="17">
                  <c:v>170</c:v>
                </c:pt>
                <c:pt idx="18">
                  <c:v>180</c:v>
                </c:pt>
                <c:pt idx="19">
                  <c:v>190</c:v>
                </c:pt>
                <c:pt idx="20">
                  <c:v>200</c:v>
                </c:pt>
                <c:pt idx="21">
                  <c:v>210</c:v>
                </c:pt>
                <c:pt idx="22">
                  <c:v>220</c:v>
                </c:pt>
                <c:pt idx="23">
                  <c:v>230</c:v>
                </c:pt>
                <c:pt idx="24">
                  <c:v>240</c:v>
                </c:pt>
                <c:pt idx="25">
                  <c:v>250</c:v>
                </c:pt>
                <c:pt idx="26">
                  <c:v>260</c:v>
                </c:pt>
                <c:pt idx="27">
                  <c:v>270</c:v>
                </c:pt>
                <c:pt idx="28">
                  <c:v>280</c:v>
                </c:pt>
                <c:pt idx="29">
                  <c:v>290</c:v>
                </c:pt>
                <c:pt idx="30">
                  <c:v>300</c:v>
                </c:pt>
                <c:pt idx="31">
                  <c:v>310</c:v>
                </c:pt>
                <c:pt idx="32">
                  <c:v>320</c:v>
                </c:pt>
                <c:pt idx="33">
                  <c:v>330</c:v>
                </c:pt>
                <c:pt idx="34">
                  <c:v>340</c:v>
                </c:pt>
                <c:pt idx="35">
                  <c:v>350</c:v>
                </c:pt>
                <c:pt idx="36">
                  <c:v>360</c:v>
                </c:pt>
                <c:pt idx="37">
                  <c:v>370</c:v>
                </c:pt>
                <c:pt idx="38">
                  <c:v>380</c:v>
                </c:pt>
                <c:pt idx="39">
                  <c:v>390</c:v>
                </c:pt>
                <c:pt idx="40">
                  <c:v>400</c:v>
                </c:pt>
                <c:pt idx="41">
                  <c:v>410</c:v>
                </c:pt>
                <c:pt idx="42">
                  <c:v>420</c:v>
                </c:pt>
                <c:pt idx="43">
                  <c:v>430</c:v>
                </c:pt>
                <c:pt idx="44">
                  <c:v>440</c:v>
                </c:pt>
                <c:pt idx="45">
                  <c:v>450</c:v>
                </c:pt>
                <c:pt idx="46">
                  <c:v>460</c:v>
                </c:pt>
                <c:pt idx="47">
                  <c:v>470</c:v>
                </c:pt>
                <c:pt idx="48">
                  <c:v>480</c:v>
                </c:pt>
                <c:pt idx="49">
                  <c:v>490</c:v>
                </c:pt>
                <c:pt idx="50">
                  <c:v>500</c:v>
                </c:pt>
                <c:pt idx="51">
                  <c:v>510</c:v>
                </c:pt>
                <c:pt idx="52">
                  <c:v>520</c:v>
                </c:pt>
                <c:pt idx="53">
                  <c:v>530</c:v>
                </c:pt>
                <c:pt idx="54">
                  <c:v>540</c:v>
                </c:pt>
                <c:pt idx="55">
                  <c:v>550</c:v>
                </c:pt>
                <c:pt idx="56">
                  <c:v>560</c:v>
                </c:pt>
                <c:pt idx="57">
                  <c:v>570</c:v>
                </c:pt>
                <c:pt idx="58">
                  <c:v>580</c:v>
                </c:pt>
                <c:pt idx="59">
                  <c:v>590</c:v>
                </c:pt>
                <c:pt idx="60">
                  <c:v>600</c:v>
                </c:pt>
                <c:pt idx="61">
                  <c:v>610</c:v>
                </c:pt>
                <c:pt idx="62">
                  <c:v>620</c:v>
                </c:pt>
                <c:pt idx="63">
                  <c:v>630</c:v>
                </c:pt>
                <c:pt idx="64">
                  <c:v>640</c:v>
                </c:pt>
                <c:pt idx="65">
                  <c:v>650</c:v>
                </c:pt>
                <c:pt idx="66">
                  <c:v>660</c:v>
                </c:pt>
                <c:pt idx="67">
                  <c:v>670</c:v>
                </c:pt>
                <c:pt idx="68">
                  <c:v>680</c:v>
                </c:pt>
                <c:pt idx="69">
                  <c:v>690</c:v>
                </c:pt>
                <c:pt idx="70">
                  <c:v>700</c:v>
                </c:pt>
                <c:pt idx="71">
                  <c:v>710</c:v>
                </c:pt>
                <c:pt idx="72">
                  <c:v>720</c:v>
                </c:pt>
                <c:pt idx="73">
                  <c:v>730</c:v>
                </c:pt>
                <c:pt idx="74">
                  <c:v>740</c:v>
                </c:pt>
                <c:pt idx="75">
                  <c:v>750</c:v>
                </c:pt>
                <c:pt idx="76">
                  <c:v>760</c:v>
                </c:pt>
                <c:pt idx="77">
                  <c:v>770</c:v>
                </c:pt>
                <c:pt idx="78">
                  <c:v>780</c:v>
                </c:pt>
                <c:pt idx="79">
                  <c:v>790</c:v>
                </c:pt>
                <c:pt idx="80">
                  <c:v>800</c:v>
                </c:pt>
                <c:pt idx="81">
                  <c:v>810</c:v>
                </c:pt>
                <c:pt idx="82">
                  <c:v>820</c:v>
                </c:pt>
                <c:pt idx="83">
                  <c:v>830</c:v>
                </c:pt>
                <c:pt idx="84">
                  <c:v>840</c:v>
                </c:pt>
                <c:pt idx="85">
                  <c:v>850</c:v>
                </c:pt>
                <c:pt idx="86">
                  <c:v>860</c:v>
                </c:pt>
                <c:pt idx="87">
                  <c:v>870</c:v>
                </c:pt>
                <c:pt idx="88">
                  <c:v>880</c:v>
                </c:pt>
                <c:pt idx="89">
                  <c:v>890</c:v>
                </c:pt>
                <c:pt idx="90">
                  <c:v>900</c:v>
                </c:pt>
                <c:pt idx="91">
                  <c:v>910</c:v>
                </c:pt>
                <c:pt idx="92">
                  <c:v>920</c:v>
                </c:pt>
                <c:pt idx="93">
                  <c:v>930</c:v>
                </c:pt>
                <c:pt idx="94">
                  <c:v>940</c:v>
                </c:pt>
                <c:pt idx="95">
                  <c:v>950</c:v>
                </c:pt>
                <c:pt idx="96">
                  <c:v>960</c:v>
                </c:pt>
                <c:pt idx="97">
                  <c:v>970</c:v>
                </c:pt>
                <c:pt idx="98">
                  <c:v>980</c:v>
                </c:pt>
                <c:pt idx="99">
                  <c:v>990</c:v>
                </c:pt>
                <c:pt idx="100">
                  <c:v>1000</c:v>
                </c:pt>
              </c:numCache>
            </c:numRef>
          </c:cat>
          <c:val>
            <c:numRef>
              <c:f>'Calculations - Single'!$AN$5:$AN$105</c:f>
              <c:numCache>
                <c:formatCode>0.0</c:formatCode>
                <c:ptCount val="101"/>
                <c:pt idx="0">
                  <c:v>12</c:v>
                </c:pt>
                <c:pt idx="1">
                  <c:v>67.561825444038433</c:v>
                </c:pt>
                <c:pt idx="2">
                  <c:v>135.12365088807687</c:v>
                </c:pt>
                <c:pt idx="3">
                  <c:v>202.68547633211526</c:v>
                </c:pt>
                <c:pt idx="4">
                  <c:v>270.24730177615373</c:v>
                </c:pt>
                <c:pt idx="5">
                  <c:v>337.80912722019218</c:v>
                </c:pt>
                <c:pt idx="6">
                  <c:v>350</c:v>
                </c:pt>
                <c:pt idx="7">
                  <c:v>350</c:v>
                </c:pt>
                <c:pt idx="8">
                  <c:v>350</c:v>
                </c:pt>
                <c:pt idx="9">
                  <c:v>350</c:v>
                </c:pt>
                <c:pt idx="10">
                  <c:v>350</c:v>
                </c:pt>
                <c:pt idx="11">
                  <c:v>350</c:v>
                </c:pt>
                <c:pt idx="12">
                  <c:v>350</c:v>
                </c:pt>
                <c:pt idx="13">
                  <c:v>350</c:v>
                </c:pt>
                <c:pt idx="14">
                  <c:v>350</c:v>
                </c:pt>
                <c:pt idx="15">
                  <c:v>350</c:v>
                </c:pt>
                <c:pt idx="16">
                  <c:v>350</c:v>
                </c:pt>
                <c:pt idx="17">
                  <c:v>350</c:v>
                </c:pt>
                <c:pt idx="18">
                  <c:v>350</c:v>
                </c:pt>
                <c:pt idx="19">
                  <c:v>350</c:v>
                </c:pt>
                <c:pt idx="20">
                  <c:v>350</c:v>
                </c:pt>
                <c:pt idx="21">
                  <c:v>350</c:v>
                </c:pt>
                <c:pt idx="22">
                  <c:v>350</c:v>
                </c:pt>
                <c:pt idx="23">
                  <c:v>350</c:v>
                </c:pt>
                <c:pt idx="24">
                  <c:v>350</c:v>
                </c:pt>
                <c:pt idx="25">
                  <c:v>350</c:v>
                </c:pt>
                <c:pt idx="26">
                  <c:v>350</c:v>
                </c:pt>
                <c:pt idx="27">
                  <c:v>350</c:v>
                </c:pt>
                <c:pt idx="28">
                  <c:v>350</c:v>
                </c:pt>
                <c:pt idx="29">
                  <c:v>350</c:v>
                </c:pt>
                <c:pt idx="30">
                  <c:v>350</c:v>
                </c:pt>
                <c:pt idx="31">
                  <c:v>350</c:v>
                </c:pt>
                <c:pt idx="32">
                  <c:v>350</c:v>
                </c:pt>
                <c:pt idx="33">
                  <c:v>350</c:v>
                </c:pt>
                <c:pt idx="34">
                  <c:v>350</c:v>
                </c:pt>
                <c:pt idx="35">
                  <c:v>350</c:v>
                </c:pt>
                <c:pt idx="36">
                  <c:v>350</c:v>
                </c:pt>
                <c:pt idx="37">
                  <c:v>350</c:v>
                </c:pt>
                <c:pt idx="38">
                  <c:v>350</c:v>
                </c:pt>
                <c:pt idx="39">
                  <c:v>350</c:v>
                </c:pt>
                <c:pt idx="40">
                  <c:v>350</c:v>
                </c:pt>
                <c:pt idx="41">
                  <c:v>350</c:v>
                </c:pt>
                <c:pt idx="42">
                  <c:v>350</c:v>
                </c:pt>
                <c:pt idx="43">
                  <c:v>350</c:v>
                </c:pt>
                <c:pt idx="44">
                  <c:v>350</c:v>
                </c:pt>
                <c:pt idx="45">
                  <c:v>350</c:v>
                </c:pt>
                <c:pt idx="46">
                  <c:v>350</c:v>
                </c:pt>
                <c:pt idx="47">
                  <c:v>350</c:v>
                </c:pt>
                <c:pt idx="48">
                  <c:v>350</c:v>
                </c:pt>
                <c:pt idx="49">
                  <c:v>350</c:v>
                </c:pt>
                <c:pt idx="50">
                  <c:v>350</c:v>
                </c:pt>
                <c:pt idx="51">
                  <c:v>350</c:v>
                </c:pt>
                <c:pt idx="52">
                  <c:v>350</c:v>
                </c:pt>
                <c:pt idx="53">
                  <c:v>350</c:v>
                </c:pt>
                <c:pt idx="54">
                  <c:v>350</c:v>
                </c:pt>
                <c:pt idx="55">
                  <c:v>350</c:v>
                </c:pt>
                <c:pt idx="56">
                  <c:v>350</c:v>
                </c:pt>
                <c:pt idx="57">
                  <c:v>350</c:v>
                </c:pt>
                <c:pt idx="58">
                  <c:v>350</c:v>
                </c:pt>
                <c:pt idx="59">
                  <c:v>350</c:v>
                </c:pt>
                <c:pt idx="60">
                  <c:v>350</c:v>
                </c:pt>
                <c:pt idx="61">
                  <c:v>350</c:v>
                </c:pt>
                <c:pt idx="62">
                  <c:v>350</c:v>
                </c:pt>
                <c:pt idx="63">
                  <c:v>350</c:v>
                </c:pt>
                <c:pt idx="64">
                  <c:v>350</c:v>
                </c:pt>
                <c:pt idx="65">
                  <c:v>350</c:v>
                </c:pt>
                <c:pt idx="66">
                  <c:v>350</c:v>
                </c:pt>
                <c:pt idx="67">
                  <c:v>350</c:v>
                </c:pt>
                <c:pt idx="68">
                  <c:v>350</c:v>
                </c:pt>
                <c:pt idx="69">
                  <c:v>350</c:v>
                </c:pt>
                <c:pt idx="70">
                  <c:v>350</c:v>
                </c:pt>
                <c:pt idx="71">
                  <c:v>350</c:v>
                </c:pt>
                <c:pt idx="72">
                  <c:v>350</c:v>
                </c:pt>
                <c:pt idx="73">
                  <c:v>350</c:v>
                </c:pt>
                <c:pt idx="74">
                  <c:v>350</c:v>
                </c:pt>
                <c:pt idx="75">
                  <c:v>350</c:v>
                </c:pt>
                <c:pt idx="76">
                  <c:v>350</c:v>
                </c:pt>
                <c:pt idx="77">
                  <c:v>350</c:v>
                </c:pt>
                <c:pt idx="78">
                  <c:v>350</c:v>
                </c:pt>
                <c:pt idx="79">
                  <c:v>350</c:v>
                </c:pt>
                <c:pt idx="80">
                  <c:v>350</c:v>
                </c:pt>
                <c:pt idx="81">
                  <c:v>350</c:v>
                </c:pt>
                <c:pt idx="82">
                  <c:v>350</c:v>
                </c:pt>
                <c:pt idx="83">
                  <c:v>350</c:v>
                </c:pt>
                <c:pt idx="84">
                  <c:v>350</c:v>
                </c:pt>
                <c:pt idx="85">
                  <c:v>350</c:v>
                </c:pt>
                <c:pt idx="86">
                  <c:v>350</c:v>
                </c:pt>
                <c:pt idx="87">
                  <c:v>350</c:v>
                </c:pt>
                <c:pt idx="88">
                  <c:v>350</c:v>
                </c:pt>
                <c:pt idx="89">
                  <c:v>350</c:v>
                </c:pt>
                <c:pt idx="90">
                  <c:v>350</c:v>
                </c:pt>
                <c:pt idx="91">
                  <c:v>350</c:v>
                </c:pt>
                <c:pt idx="92">
                  <c:v>350</c:v>
                </c:pt>
                <c:pt idx="93">
                  <c:v>350</c:v>
                </c:pt>
                <c:pt idx="94">
                  <c:v>350</c:v>
                </c:pt>
                <c:pt idx="95">
                  <c:v>350</c:v>
                </c:pt>
                <c:pt idx="96">
                  <c:v>350</c:v>
                </c:pt>
                <c:pt idx="97">
                  <c:v>350</c:v>
                </c:pt>
                <c:pt idx="98">
                  <c:v>350</c:v>
                </c:pt>
                <c:pt idx="99">
                  <c:v>350</c:v>
                </c:pt>
                <c:pt idx="100">
                  <c:v>350</c:v>
                </c:pt>
              </c:numCache>
            </c:numRef>
          </c:val>
          <c:smooth val="0"/>
          <c:extLst>
            <c:ext xmlns:c16="http://schemas.microsoft.com/office/drawing/2014/chart" uri="{C3380CC4-5D6E-409C-BE32-E72D297353CC}">
              <c16:uniqueId val="{00000001-BF86-4FB2-8232-832AAE27F06E}"/>
            </c:ext>
          </c:extLst>
        </c:ser>
        <c:ser>
          <c:idx val="2"/>
          <c:order val="2"/>
          <c:tx>
            <c:v>VIN-max</c:v>
          </c:tx>
          <c:spPr>
            <a:ln w="19050">
              <a:solidFill>
                <a:srgbClr val="0000FF"/>
              </a:solidFill>
              <a:prstDash val="lgDash"/>
            </a:ln>
          </c:spPr>
          <c:marker>
            <c:symbol val="none"/>
          </c:marker>
          <c:cat>
            <c:numRef>
              <c:f>'Calculations - Single'!$AM$5:$AM$105</c:f>
              <c:numCache>
                <c:formatCode>0</c:formatCode>
                <c:ptCount val="101"/>
                <c:pt idx="0">
                  <c:v>1.0000000000000002E-6</c:v>
                </c:pt>
                <c:pt idx="1">
                  <c:v>10</c:v>
                </c:pt>
                <c:pt idx="2">
                  <c:v>20</c:v>
                </c:pt>
                <c:pt idx="3">
                  <c:v>30</c:v>
                </c:pt>
                <c:pt idx="4">
                  <c:v>40</c:v>
                </c:pt>
                <c:pt idx="5">
                  <c:v>50</c:v>
                </c:pt>
                <c:pt idx="6">
                  <c:v>60</c:v>
                </c:pt>
                <c:pt idx="7">
                  <c:v>70</c:v>
                </c:pt>
                <c:pt idx="8">
                  <c:v>80</c:v>
                </c:pt>
                <c:pt idx="9">
                  <c:v>90</c:v>
                </c:pt>
                <c:pt idx="10">
                  <c:v>100</c:v>
                </c:pt>
                <c:pt idx="11">
                  <c:v>110</c:v>
                </c:pt>
                <c:pt idx="12">
                  <c:v>120</c:v>
                </c:pt>
                <c:pt idx="13">
                  <c:v>130</c:v>
                </c:pt>
                <c:pt idx="14">
                  <c:v>140</c:v>
                </c:pt>
                <c:pt idx="15">
                  <c:v>150</c:v>
                </c:pt>
                <c:pt idx="16">
                  <c:v>160</c:v>
                </c:pt>
                <c:pt idx="17">
                  <c:v>170</c:v>
                </c:pt>
                <c:pt idx="18">
                  <c:v>180</c:v>
                </c:pt>
                <c:pt idx="19">
                  <c:v>190</c:v>
                </c:pt>
                <c:pt idx="20">
                  <c:v>200</c:v>
                </c:pt>
                <c:pt idx="21">
                  <c:v>210</c:v>
                </c:pt>
                <c:pt idx="22">
                  <c:v>220</c:v>
                </c:pt>
                <c:pt idx="23">
                  <c:v>230</c:v>
                </c:pt>
                <c:pt idx="24">
                  <c:v>240</c:v>
                </c:pt>
                <c:pt idx="25">
                  <c:v>250</c:v>
                </c:pt>
                <c:pt idx="26">
                  <c:v>260</c:v>
                </c:pt>
                <c:pt idx="27">
                  <c:v>270</c:v>
                </c:pt>
                <c:pt idx="28">
                  <c:v>280</c:v>
                </c:pt>
                <c:pt idx="29">
                  <c:v>290</c:v>
                </c:pt>
                <c:pt idx="30">
                  <c:v>300</c:v>
                </c:pt>
                <c:pt idx="31">
                  <c:v>310</c:v>
                </c:pt>
                <c:pt idx="32">
                  <c:v>320</c:v>
                </c:pt>
                <c:pt idx="33">
                  <c:v>330</c:v>
                </c:pt>
                <c:pt idx="34">
                  <c:v>340</c:v>
                </c:pt>
                <c:pt idx="35">
                  <c:v>350</c:v>
                </c:pt>
                <c:pt idx="36">
                  <c:v>360</c:v>
                </c:pt>
                <c:pt idx="37">
                  <c:v>370</c:v>
                </c:pt>
                <c:pt idx="38">
                  <c:v>380</c:v>
                </c:pt>
                <c:pt idx="39">
                  <c:v>390</c:v>
                </c:pt>
                <c:pt idx="40">
                  <c:v>400</c:v>
                </c:pt>
                <c:pt idx="41">
                  <c:v>410</c:v>
                </c:pt>
                <c:pt idx="42">
                  <c:v>420</c:v>
                </c:pt>
                <c:pt idx="43">
                  <c:v>430</c:v>
                </c:pt>
                <c:pt idx="44">
                  <c:v>440</c:v>
                </c:pt>
                <c:pt idx="45">
                  <c:v>450</c:v>
                </c:pt>
                <c:pt idx="46">
                  <c:v>460</c:v>
                </c:pt>
                <c:pt idx="47">
                  <c:v>470</c:v>
                </c:pt>
                <c:pt idx="48">
                  <c:v>480</c:v>
                </c:pt>
                <c:pt idx="49">
                  <c:v>490</c:v>
                </c:pt>
                <c:pt idx="50">
                  <c:v>500</c:v>
                </c:pt>
                <c:pt idx="51">
                  <c:v>510</c:v>
                </c:pt>
                <c:pt idx="52">
                  <c:v>520</c:v>
                </c:pt>
                <c:pt idx="53">
                  <c:v>530</c:v>
                </c:pt>
                <c:pt idx="54">
                  <c:v>540</c:v>
                </c:pt>
                <c:pt idx="55">
                  <c:v>550</c:v>
                </c:pt>
                <c:pt idx="56">
                  <c:v>560</c:v>
                </c:pt>
                <c:pt idx="57">
                  <c:v>570</c:v>
                </c:pt>
                <c:pt idx="58">
                  <c:v>580</c:v>
                </c:pt>
                <c:pt idx="59">
                  <c:v>590</c:v>
                </c:pt>
                <c:pt idx="60">
                  <c:v>600</c:v>
                </c:pt>
                <c:pt idx="61">
                  <c:v>610</c:v>
                </c:pt>
                <c:pt idx="62">
                  <c:v>620</c:v>
                </c:pt>
                <c:pt idx="63">
                  <c:v>630</c:v>
                </c:pt>
                <c:pt idx="64">
                  <c:v>640</c:v>
                </c:pt>
                <c:pt idx="65">
                  <c:v>650</c:v>
                </c:pt>
                <c:pt idx="66">
                  <c:v>660</c:v>
                </c:pt>
                <c:pt idx="67">
                  <c:v>670</c:v>
                </c:pt>
                <c:pt idx="68">
                  <c:v>680</c:v>
                </c:pt>
                <c:pt idx="69">
                  <c:v>690</c:v>
                </c:pt>
                <c:pt idx="70">
                  <c:v>700</c:v>
                </c:pt>
                <c:pt idx="71">
                  <c:v>710</c:v>
                </c:pt>
                <c:pt idx="72">
                  <c:v>720</c:v>
                </c:pt>
                <c:pt idx="73">
                  <c:v>730</c:v>
                </c:pt>
                <c:pt idx="74">
                  <c:v>740</c:v>
                </c:pt>
                <c:pt idx="75">
                  <c:v>750</c:v>
                </c:pt>
                <c:pt idx="76">
                  <c:v>760</c:v>
                </c:pt>
                <c:pt idx="77">
                  <c:v>770</c:v>
                </c:pt>
                <c:pt idx="78">
                  <c:v>780</c:v>
                </c:pt>
                <c:pt idx="79">
                  <c:v>790</c:v>
                </c:pt>
                <c:pt idx="80">
                  <c:v>800</c:v>
                </c:pt>
                <c:pt idx="81">
                  <c:v>810</c:v>
                </c:pt>
                <c:pt idx="82">
                  <c:v>820</c:v>
                </c:pt>
                <c:pt idx="83">
                  <c:v>830</c:v>
                </c:pt>
                <c:pt idx="84">
                  <c:v>840</c:v>
                </c:pt>
                <c:pt idx="85">
                  <c:v>850</c:v>
                </c:pt>
                <c:pt idx="86">
                  <c:v>860</c:v>
                </c:pt>
                <c:pt idx="87">
                  <c:v>870</c:v>
                </c:pt>
                <c:pt idx="88">
                  <c:v>880</c:v>
                </c:pt>
                <c:pt idx="89">
                  <c:v>890</c:v>
                </c:pt>
                <c:pt idx="90">
                  <c:v>900</c:v>
                </c:pt>
                <c:pt idx="91">
                  <c:v>910</c:v>
                </c:pt>
                <c:pt idx="92">
                  <c:v>920</c:v>
                </c:pt>
                <c:pt idx="93">
                  <c:v>930</c:v>
                </c:pt>
                <c:pt idx="94">
                  <c:v>940</c:v>
                </c:pt>
                <c:pt idx="95">
                  <c:v>950</c:v>
                </c:pt>
                <c:pt idx="96">
                  <c:v>960</c:v>
                </c:pt>
                <c:pt idx="97">
                  <c:v>970</c:v>
                </c:pt>
                <c:pt idx="98">
                  <c:v>980</c:v>
                </c:pt>
                <c:pt idx="99">
                  <c:v>990</c:v>
                </c:pt>
                <c:pt idx="100">
                  <c:v>1000</c:v>
                </c:pt>
              </c:numCache>
            </c:numRef>
          </c:cat>
          <c:val>
            <c:numRef>
              <c:f>'Calculations - Single'!$AN$217:$AN$317</c:f>
              <c:numCache>
                <c:formatCode>0.0</c:formatCode>
                <c:ptCount val="101"/>
                <c:pt idx="0">
                  <c:v>12</c:v>
                </c:pt>
                <c:pt idx="1">
                  <c:v>67.561825444038433</c:v>
                </c:pt>
                <c:pt idx="2">
                  <c:v>135.12365088807687</c:v>
                </c:pt>
                <c:pt idx="3">
                  <c:v>202.68547633211526</c:v>
                </c:pt>
                <c:pt idx="4">
                  <c:v>270.24730177615373</c:v>
                </c:pt>
                <c:pt idx="5">
                  <c:v>337.80912722019218</c:v>
                </c:pt>
                <c:pt idx="6">
                  <c:v>350</c:v>
                </c:pt>
                <c:pt idx="7">
                  <c:v>350</c:v>
                </c:pt>
                <c:pt idx="8">
                  <c:v>350</c:v>
                </c:pt>
                <c:pt idx="9">
                  <c:v>350</c:v>
                </c:pt>
                <c:pt idx="10">
                  <c:v>350</c:v>
                </c:pt>
                <c:pt idx="11">
                  <c:v>350</c:v>
                </c:pt>
                <c:pt idx="12">
                  <c:v>350</c:v>
                </c:pt>
                <c:pt idx="13">
                  <c:v>350</c:v>
                </c:pt>
                <c:pt idx="14">
                  <c:v>350</c:v>
                </c:pt>
                <c:pt idx="15">
                  <c:v>350</c:v>
                </c:pt>
                <c:pt idx="16">
                  <c:v>350</c:v>
                </c:pt>
                <c:pt idx="17">
                  <c:v>350</c:v>
                </c:pt>
                <c:pt idx="18">
                  <c:v>350</c:v>
                </c:pt>
                <c:pt idx="19">
                  <c:v>350</c:v>
                </c:pt>
                <c:pt idx="20">
                  <c:v>350</c:v>
                </c:pt>
                <c:pt idx="21">
                  <c:v>350</c:v>
                </c:pt>
                <c:pt idx="22">
                  <c:v>350</c:v>
                </c:pt>
                <c:pt idx="23">
                  <c:v>350</c:v>
                </c:pt>
                <c:pt idx="24">
                  <c:v>350</c:v>
                </c:pt>
                <c:pt idx="25">
                  <c:v>350</c:v>
                </c:pt>
                <c:pt idx="26">
                  <c:v>350</c:v>
                </c:pt>
                <c:pt idx="27">
                  <c:v>350</c:v>
                </c:pt>
                <c:pt idx="28">
                  <c:v>350</c:v>
                </c:pt>
                <c:pt idx="29">
                  <c:v>350</c:v>
                </c:pt>
                <c:pt idx="30">
                  <c:v>350</c:v>
                </c:pt>
                <c:pt idx="31">
                  <c:v>350</c:v>
                </c:pt>
                <c:pt idx="32">
                  <c:v>350</c:v>
                </c:pt>
                <c:pt idx="33">
                  <c:v>350</c:v>
                </c:pt>
                <c:pt idx="34">
                  <c:v>350</c:v>
                </c:pt>
                <c:pt idx="35">
                  <c:v>350</c:v>
                </c:pt>
                <c:pt idx="36">
                  <c:v>350</c:v>
                </c:pt>
                <c:pt idx="37">
                  <c:v>350</c:v>
                </c:pt>
                <c:pt idx="38">
                  <c:v>350</c:v>
                </c:pt>
                <c:pt idx="39">
                  <c:v>350</c:v>
                </c:pt>
                <c:pt idx="40">
                  <c:v>350</c:v>
                </c:pt>
                <c:pt idx="41">
                  <c:v>350</c:v>
                </c:pt>
                <c:pt idx="42">
                  <c:v>350</c:v>
                </c:pt>
                <c:pt idx="43">
                  <c:v>350</c:v>
                </c:pt>
                <c:pt idx="44">
                  <c:v>350</c:v>
                </c:pt>
                <c:pt idx="45">
                  <c:v>350</c:v>
                </c:pt>
                <c:pt idx="46">
                  <c:v>350</c:v>
                </c:pt>
                <c:pt idx="47">
                  <c:v>350</c:v>
                </c:pt>
                <c:pt idx="48">
                  <c:v>350</c:v>
                </c:pt>
                <c:pt idx="49">
                  <c:v>350</c:v>
                </c:pt>
                <c:pt idx="50">
                  <c:v>350</c:v>
                </c:pt>
                <c:pt idx="51">
                  <c:v>350</c:v>
                </c:pt>
                <c:pt idx="52">
                  <c:v>350</c:v>
                </c:pt>
                <c:pt idx="53">
                  <c:v>350</c:v>
                </c:pt>
                <c:pt idx="54">
                  <c:v>350</c:v>
                </c:pt>
                <c:pt idx="55">
                  <c:v>350</c:v>
                </c:pt>
                <c:pt idx="56">
                  <c:v>350</c:v>
                </c:pt>
                <c:pt idx="57">
                  <c:v>350</c:v>
                </c:pt>
                <c:pt idx="58">
                  <c:v>350</c:v>
                </c:pt>
                <c:pt idx="59">
                  <c:v>350</c:v>
                </c:pt>
                <c:pt idx="60">
                  <c:v>350</c:v>
                </c:pt>
                <c:pt idx="61">
                  <c:v>350</c:v>
                </c:pt>
                <c:pt idx="62">
                  <c:v>350</c:v>
                </c:pt>
                <c:pt idx="63">
                  <c:v>350</c:v>
                </c:pt>
                <c:pt idx="64">
                  <c:v>350</c:v>
                </c:pt>
                <c:pt idx="65">
                  <c:v>350</c:v>
                </c:pt>
                <c:pt idx="66">
                  <c:v>350</c:v>
                </c:pt>
                <c:pt idx="67">
                  <c:v>350</c:v>
                </c:pt>
                <c:pt idx="68">
                  <c:v>350</c:v>
                </c:pt>
                <c:pt idx="69">
                  <c:v>350</c:v>
                </c:pt>
                <c:pt idx="70">
                  <c:v>350</c:v>
                </c:pt>
                <c:pt idx="71">
                  <c:v>350</c:v>
                </c:pt>
                <c:pt idx="72">
                  <c:v>350</c:v>
                </c:pt>
                <c:pt idx="73">
                  <c:v>350</c:v>
                </c:pt>
                <c:pt idx="74">
                  <c:v>350</c:v>
                </c:pt>
                <c:pt idx="75">
                  <c:v>350</c:v>
                </c:pt>
                <c:pt idx="76">
                  <c:v>350</c:v>
                </c:pt>
                <c:pt idx="77">
                  <c:v>350</c:v>
                </c:pt>
                <c:pt idx="78">
                  <c:v>350</c:v>
                </c:pt>
                <c:pt idx="79">
                  <c:v>350</c:v>
                </c:pt>
                <c:pt idx="80">
                  <c:v>350</c:v>
                </c:pt>
                <c:pt idx="81">
                  <c:v>350</c:v>
                </c:pt>
                <c:pt idx="82">
                  <c:v>350</c:v>
                </c:pt>
                <c:pt idx="83">
                  <c:v>350</c:v>
                </c:pt>
                <c:pt idx="84">
                  <c:v>350</c:v>
                </c:pt>
                <c:pt idx="85">
                  <c:v>350</c:v>
                </c:pt>
                <c:pt idx="86">
                  <c:v>350</c:v>
                </c:pt>
                <c:pt idx="87">
                  <c:v>350</c:v>
                </c:pt>
                <c:pt idx="88">
                  <c:v>350</c:v>
                </c:pt>
                <c:pt idx="89">
                  <c:v>350</c:v>
                </c:pt>
                <c:pt idx="90">
                  <c:v>350</c:v>
                </c:pt>
                <c:pt idx="91">
                  <c:v>350</c:v>
                </c:pt>
                <c:pt idx="92">
                  <c:v>350</c:v>
                </c:pt>
                <c:pt idx="93">
                  <c:v>350</c:v>
                </c:pt>
                <c:pt idx="94">
                  <c:v>350</c:v>
                </c:pt>
                <c:pt idx="95">
                  <c:v>350</c:v>
                </c:pt>
                <c:pt idx="96">
                  <c:v>350</c:v>
                </c:pt>
                <c:pt idx="97">
                  <c:v>350</c:v>
                </c:pt>
                <c:pt idx="98">
                  <c:v>350</c:v>
                </c:pt>
                <c:pt idx="99">
                  <c:v>350</c:v>
                </c:pt>
                <c:pt idx="100">
                  <c:v>350</c:v>
                </c:pt>
              </c:numCache>
            </c:numRef>
          </c:val>
          <c:smooth val="0"/>
          <c:extLst>
            <c:ext xmlns:c16="http://schemas.microsoft.com/office/drawing/2014/chart" uri="{C3380CC4-5D6E-409C-BE32-E72D297353CC}">
              <c16:uniqueId val="{00000002-BF86-4FB2-8232-832AAE27F06E}"/>
            </c:ext>
          </c:extLst>
        </c:ser>
        <c:ser>
          <c:idx val="3"/>
          <c:order val="3"/>
          <c:spPr>
            <a:ln>
              <a:noFill/>
            </a:ln>
          </c:spPr>
          <c:marker>
            <c:symbol val="x"/>
            <c:size val="10"/>
            <c:spPr>
              <a:pattFill prst="pct5">
                <a:fgClr>
                  <a:schemeClr val="tx1"/>
                </a:fgClr>
                <a:bgClr>
                  <a:schemeClr val="bg1"/>
                </a:bgClr>
              </a:pattFill>
              <a:ln>
                <a:solidFill>
                  <a:srgbClr val="33CC33"/>
                </a:solidFill>
              </a:ln>
            </c:spPr>
          </c:marker>
          <c:cat>
            <c:numRef>
              <c:f>'Calculations - Single'!$AM$5:$AM$105</c:f>
              <c:numCache>
                <c:formatCode>0</c:formatCode>
                <c:ptCount val="101"/>
                <c:pt idx="0">
                  <c:v>1.0000000000000002E-6</c:v>
                </c:pt>
                <c:pt idx="1">
                  <c:v>10</c:v>
                </c:pt>
                <c:pt idx="2">
                  <c:v>20</c:v>
                </c:pt>
                <c:pt idx="3">
                  <c:v>30</c:v>
                </c:pt>
                <c:pt idx="4">
                  <c:v>40</c:v>
                </c:pt>
                <c:pt idx="5">
                  <c:v>50</c:v>
                </c:pt>
                <c:pt idx="6">
                  <c:v>60</c:v>
                </c:pt>
                <c:pt idx="7">
                  <c:v>70</c:v>
                </c:pt>
                <c:pt idx="8">
                  <c:v>80</c:v>
                </c:pt>
                <c:pt idx="9">
                  <c:v>90</c:v>
                </c:pt>
                <c:pt idx="10">
                  <c:v>100</c:v>
                </c:pt>
                <c:pt idx="11">
                  <c:v>110</c:v>
                </c:pt>
                <c:pt idx="12">
                  <c:v>120</c:v>
                </c:pt>
                <c:pt idx="13">
                  <c:v>130</c:v>
                </c:pt>
                <c:pt idx="14">
                  <c:v>140</c:v>
                </c:pt>
                <c:pt idx="15">
                  <c:v>150</c:v>
                </c:pt>
                <c:pt idx="16">
                  <c:v>160</c:v>
                </c:pt>
                <c:pt idx="17">
                  <c:v>170</c:v>
                </c:pt>
                <c:pt idx="18">
                  <c:v>180</c:v>
                </c:pt>
                <c:pt idx="19">
                  <c:v>190</c:v>
                </c:pt>
                <c:pt idx="20">
                  <c:v>200</c:v>
                </c:pt>
                <c:pt idx="21">
                  <c:v>210</c:v>
                </c:pt>
                <c:pt idx="22">
                  <c:v>220</c:v>
                </c:pt>
                <c:pt idx="23">
                  <c:v>230</c:v>
                </c:pt>
                <c:pt idx="24">
                  <c:v>240</c:v>
                </c:pt>
                <c:pt idx="25">
                  <c:v>250</c:v>
                </c:pt>
                <c:pt idx="26">
                  <c:v>260</c:v>
                </c:pt>
                <c:pt idx="27">
                  <c:v>270</c:v>
                </c:pt>
                <c:pt idx="28">
                  <c:v>280</c:v>
                </c:pt>
                <c:pt idx="29">
                  <c:v>290</c:v>
                </c:pt>
                <c:pt idx="30">
                  <c:v>300</c:v>
                </c:pt>
                <c:pt idx="31">
                  <c:v>310</c:v>
                </c:pt>
                <c:pt idx="32">
                  <c:v>320</c:v>
                </c:pt>
                <c:pt idx="33">
                  <c:v>330</c:v>
                </c:pt>
                <c:pt idx="34">
                  <c:v>340</c:v>
                </c:pt>
                <c:pt idx="35">
                  <c:v>350</c:v>
                </c:pt>
                <c:pt idx="36">
                  <c:v>360</c:v>
                </c:pt>
                <c:pt idx="37">
                  <c:v>370</c:v>
                </c:pt>
                <c:pt idx="38">
                  <c:v>380</c:v>
                </c:pt>
                <c:pt idx="39">
                  <c:v>390</c:v>
                </c:pt>
                <c:pt idx="40">
                  <c:v>400</c:v>
                </c:pt>
                <c:pt idx="41">
                  <c:v>410</c:v>
                </c:pt>
                <c:pt idx="42">
                  <c:v>420</c:v>
                </c:pt>
                <c:pt idx="43">
                  <c:v>430</c:v>
                </c:pt>
                <c:pt idx="44">
                  <c:v>440</c:v>
                </c:pt>
                <c:pt idx="45">
                  <c:v>450</c:v>
                </c:pt>
                <c:pt idx="46">
                  <c:v>460</c:v>
                </c:pt>
                <c:pt idx="47">
                  <c:v>470</c:v>
                </c:pt>
                <c:pt idx="48">
                  <c:v>480</c:v>
                </c:pt>
                <c:pt idx="49">
                  <c:v>490</c:v>
                </c:pt>
                <c:pt idx="50">
                  <c:v>500</c:v>
                </c:pt>
                <c:pt idx="51">
                  <c:v>510</c:v>
                </c:pt>
                <c:pt idx="52">
                  <c:v>520</c:v>
                </c:pt>
                <c:pt idx="53">
                  <c:v>530</c:v>
                </c:pt>
                <c:pt idx="54">
                  <c:v>540</c:v>
                </c:pt>
                <c:pt idx="55">
                  <c:v>550</c:v>
                </c:pt>
                <c:pt idx="56">
                  <c:v>560</c:v>
                </c:pt>
                <c:pt idx="57">
                  <c:v>570</c:v>
                </c:pt>
                <c:pt idx="58">
                  <c:v>580</c:v>
                </c:pt>
                <c:pt idx="59">
                  <c:v>590</c:v>
                </c:pt>
                <c:pt idx="60">
                  <c:v>600</c:v>
                </c:pt>
                <c:pt idx="61">
                  <c:v>610</c:v>
                </c:pt>
                <c:pt idx="62">
                  <c:v>620</c:v>
                </c:pt>
                <c:pt idx="63">
                  <c:v>630</c:v>
                </c:pt>
                <c:pt idx="64">
                  <c:v>640</c:v>
                </c:pt>
                <c:pt idx="65">
                  <c:v>650</c:v>
                </c:pt>
                <c:pt idx="66">
                  <c:v>660</c:v>
                </c:pt>
                <c:pt idx="67">
                  <c:v>670</c:v>
                </c:pt>
                <c:pt idx="68">
                  <c:v>680</c:v>
                </c:pt>
                <c:pt idx="69">
                  <c:v>690</c:v>
                </c:pt>
                <c:pt idx="70">
                  <c:v>700</c:v>
                </c:pt>
                <c:pt idx="71">
                  <c:v>710</c:v>
                </c:pt>
                <c:pt idx="72">
                  <c:v>720</c:v>
                </c:pt>
                <c:pt idx="73">
                  <c:v>730</c:v>
                </c:pt>
                <c:pt idx="74">
                  <c:v>740</c:v>
                </c:pt>
                <c:pt idx="75">
                  <c:v>750</c:v>
                </c:pt>
                <c:pt idx="76">
                  <c:v>760</c:v>
                </c:pt>
                <c:pt idx="77">
                  <c:v>770</c:v>
                </c:pt>
                <c:pt idx="78">
                  <c:v>780</c:v>
                </c:pt>
                <c:pt idx="79">
                  <c:v>790</c:v>
                </c:pt>
                <c:pt idx="80">
                  <c:v>800</c:v>
                </c:pt>
                <c:pt idx="81">
                  <c:v>810</c:v>
                </c:pt>
                <c:pt idx="82">
                  <c:v>820</c:v>
                </c:pt>
                <c:pt idx="83">
                  <c:v>830</c:v>
                </c:pt>
                <c:pt idx="84">
                  <c:v>840</c:v>
                </c:pt>
                <c:pt idx="85">
                  <c:v>850</c:v>
                </c:pt>
                <c:pt idx="86">
                  <c:v>860</c:v>
                </c:pt>
                <c:pt idx="87">
                  <c:v>870</c:v>
                </c:pt>
                <c:pt idx="88">
                  <c:v>880</c:v>
                </c:pt>
                <c:pt idx="89">
                  <c:v>890</c:v>
                </c:pt>
                <c:pt idx="90">
                  <c:v>900</c:v>
                </c:pt>
                <c:pt idx="91">
                  <c:v>910</c:v>
                </c:pt>
                <c:pt idx="92">
                  <c:v>920</c:v>
                </c:pt>
                <c:pt idx="93">
                  <c:v>930</c:v>
                </c:pt>
                <c:pt idx="94">
                  <c:v>940</c:v>
                </c:pt>
                <c:pt idx="95">
                  <c:v>950</c:v>
                </c:pt>
                <c:pt idx="96">
                  <c:v>960</c:v>
                </c:pt>
                <c:pt idx="97">
                  <c:v>970</c:v>
                </c:pt>
                <c:pt idx="98">
                  <c:v>980</c:v>
                </c:pt>
                <c:pt idx="99">
                  <c:v>990</c:v>
                </c:pt>
                <c:pt idx="100">
                  <c:v>1000</c:v>
                </c:pt>
              </c:numCache>
            </c:numRef>
          </c:cat>
          <c:val>
            <c:numRef>
              <c:f>'Calculations - Single'!$CD$110:$CD$210</c:f>
              <c:numCache>
                <c:formatCode>General</c:formatCode>
                <c:ptCount val="10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numCache>
            </c:numRef>
          </c:val>
          <c:smooth val="0"/>
          <c:extLst>
            <c:ext xmlns:c16="http://schemas.microsoft.com/office/drawing/2014/chart" uri="{C3380CC4-5D6E-409C-BE32-E72D297353CC}">
              <c16:uniqueId val="{00000003-BF86-4FB2-8232-832AAE27F06E}"/>
            </c:ext>
          </c:extLst>
        </c:ser>
        <c:ser>
          <c:idx val="4"/>
          <c:order val="4"/>
          <c:spPr>
            <a:ln>
              <a:noFill/>
            </a:ln>
          </c:spPr>
          <c:marker>
            <c:symbol val="x"/>
            <c:size val="10"/>
            <c:spPr>
              <a:pattFill prst="pct5">
                <a:fgClr>
                  <a:schemeClr val="tx1"/>
                </a:fgClr>
                <a:bgClr>
                  <a:schemeClr val="bg1"/>
                </a:bgClr>
              </a:pattFill>
              <a:ln>
                <a:solidFill>
                  <a:srgbClr val="0000FF"/>
                </a:solidFill>
              </a:ln>
            </c:spPr>
          </c:marker>
          <c:cat>
            <c:numRef>
              <c:f>'Calculations - Single'!$AM$5:$AM$105</c:f>
              <c:numCache>
                <c:formatCode>0</c:formatCode>
                <c:ptCount val="101"/>
                <c:pt idx="0">
                  <c:v>1.0000000000000002E-6</c:v>
                </c:pt>
                <c:pt idx="1">
                  <c:v>10</c:v>
                </c:pt>
                <c:pt idx="2">
                  <c:v>20</c:v>
                </c:pt>
                <c:pt idx="3">
                  <c:v>30</c:v>
                </c:pt>
                <c:pt idx="4">
                  <c:v>40</c:v>
                </c:pt>
                <c:pt idx="5">
                  <c:v>50</c:v>
                </c:pt>
                <c:pt idx="6">
                  <c:v>60</c:v>
                </c:pt>
                <c:pt idx="7">
                  <c:v>70</c:v>
                </c:pt>
                <c:pt idx="8">
                  <c:v>80</c:v>
                </c:pt>
                <c:pt idx="9">
                  <c:v>90</c:v>
                </c:pt>
                <c:pt idx="10">
                  <c:v>100</c:v>
                </c:pt>
                <c:pt idx="11">
                  <c:v>110</c:v>
                </c:pt>
                <c:pt idx="12">
                  <c:v>120</c:v>
                </c:pt>
                <c:pt idx="13">
                  <c:v>130</c:v>
                </c:pt>
                <c:pt idx="14">
                  <c:v>140</c:v>
                </c:pt>
                <c:pt idx="15">
                  <c:v>150</c:v>
                </c:pt>
                <c:pt idx="16">
                  <c:v>160</c:v>
                </c:pt>
                <c:pt idx="17">
                  <c:v>170</c:v>
                </c:pt>
                <c:pt idx="18">
                  <c:v>180</c:v>
                </c:pt>
                <c:pt idx="19">
                  <c:v>190</c:v>
                </c:pt>
                <c:pt idx="20">
                  <c:v>200</c:v>
                </c:pt>
                <c:pt idx="21">
                  <c:v>210</c:v>
                </c:pt>
                <c:pt idx="22">
                  <c:v>220</c:v>
                </c:pt>
                <c:pt idx="23">
                  <c:v>230</c:v>
                </c:pt>
                <c:pt idx="24">
                  <c:v>240</c:v>
                </c:pt>
                <c:pt idx="25">
                  <c:v>250</c:v>
                </c:pt>
                <c:pt idx="26">
                  <c:v>260</c:v>
                </c:pt>
                <c:pt idx="27">
                  <c:v>270</c:v>
                </c:pt>
                <c:pt idx="28">
                  <c:v>280</c:v>
                </c:pt>
                <c:pt idx="29">
                  <c:v>290</c:v>
                </c:pt>
                <c:pt idx="30">
                  <c:v>300</c:v>
                </c:pt>
                <c:pt idx="31">
                  <c:v>310</c:v>
                </c:pt>
                <c:pt idx="32">
                  <c:v>320</c:v>
                </c:pt>
                <c:pt idx="33">
                  <c:v>330</c:v>
                </c:pt>
                <c:pt idx="34">
                  <c:v>340</c:v>
                </c:pt>
                <c:pt idx="35">
                  <c:v>350</c:v>
                </c:pt>
                <c:pt idx="36">
                  <c:v>360</c:v>
                </c:pt>
                <c:pt idx="37">
                  <c:v>370</c:v>
                </c:pt>
                <c:pt idx="38">
                  <c:v>380</c:v>
                </c:pt>
                <c:pt idx="39">
                  <c:v>390</c:v>
                </c:pt>
                <c:pt idx="40">
                  <c:v>400</c:v>
                </c:pt>
                <c:pt idx="41">
                  <c:v>410</c:v>
                </c:pt>
                <c:pt idx="42">
                  <c:v>420</c:v>
                </c:pt>
                <c:pt idx="43">
                  <c:v>430</c:v>
                </c:pt>
                <c:pt idx="44">
                  <c:v>440</c:v>
                </c:pt>
                <c:pt idx="45">
                  <c:v>450</c:v>
                </c:pt>
                <c:pt idx="46">
                  <c:v>460</c:v>
                </c:pt>
                <c:pt idx="47">
                  <c:v>470</c:v>
                </c:pt>
                <c:pt idx="48">
                  <c:v>480</c:v>
                </c:pt>
                <c:pt idx="49">
                  <c:v>490</c:v>
                </c:pt>
                <c:pt idx="50">
                  <c:v>500</c:v>
                </c:pt>
                <c:pt idx="51">
                  <c:v>510</c:v>
                </c:pt>
                <c:pt idx="52">
                  <c:v>520</c:v>
                </c:pt>
                <c:pt idx="53">
                  <c:v>530</c:v>
                </c:pt>
                <c:pt idx="54">
                  <c:v>540</c:v>
                </c:pt>
                <c:pt idx="55">
                  <c:v>550</c:v>
                </c:pt>
                <c:pt idx="56">
                  <c:v>560</c:v>
                </c:pt>
                <c:pt idx="57">
                  <c:v>570</c:v>
                </c:pt>
                <c:pt idx="58">
                  <c:v>580</c:v>
                </c:pt>
                <c:pt idx="59">
                  <c:v>590</c:v>
                </c:pt>
                <c:pt idx="60">
                  <c:v>600</c:v>
                </c:pt>
                <c:pt idx="61">
                  <c:v>610</c:v>
                </c:pt>
                <c:pt idx="62">
                  <c:v>620</c:v>
                </c:pt>
                <c:pt idx="63">
                  <c:v>630</c:v>
                </c:pt>
                <c:pt idx="64">
                  <c:v>640</c:v>
                </c:pt>
                <c:pt idx="65">
                  <c:v>650</c:v>
                </c:pt>
                <c:pt idx="66">
                  <c:v>660</c:v>
                </c:pt>
                <c:pt idx="67">
                  <c:v>670</c:v>
                </c:pt>
                <c:pt idx="68">
                  <c:v>680</c:v>
                </c:pt>
                <c:pt idx="69">
                  <c:v>690</c:v>
                </c:pt>
                <c:pt idx="70">
                  <c:v>700</c:v>
                </c:pt>
                <c:pt idx="71">
                  <c:v>710</c:v>
                </c:pt>
                <c:pt idx="72">
                  <c:v>720</c:v>
                </c:pt>
                <c:pt idx="73">
                  <c:v>730</c:v>
                </c:pt>
                <c:pt idx="74">
                  <c:v>740</c:v>
                </c:pt>
                <c:pt idx="75">
                  <c:v>750</c:v>
                </c:pt>
                <c:pt idx="76">
                  <c:v>760</c:v>
                </c:pt>
                <c:pt idx="77">
                  <c:v>770</c:v>
                </c:pt>
                <c:pt idx="78">
                  <c:v>780</c:v>
                </c:pt>
                <c:pt idx="79">
                  <c:v>790</c:v>
                </c:pt>
                <c:pt idx="80">
                  <c:v>800</c:v>
                </c:pt>
                <c:pt idx="81">
                  <c:v>810</c:v>
                </c:pt>
                <c:pt idx="82">
                  <c:v>820</c:v>
                </c:pt>
                <c:pt idx="83">
                  <c:v>830</c:v>
                </c:pt>
                <c:pt idx="84">
                  <c:v>840</c:v>
                </c:pt>
                <c:pt idx="85">
                  <c:v>850</c:v>
                </c:pt>
                <c:pt idx="86">
                  <c:v>860</c:v>
                </c:pt>
                <c:pt idx="87">
                  <c:v>870</c:v>
                </c:pt>
                <c:pt idx="88">
                  <c:v>880</c:v>
                </c:pt>
                <c:pt idx="89">
                  <c:v>890</c:v>
                </c:pt>
                <c:pt idx="90">
                  <c:v>900</c:v>
                </c:pt>
                <c:pt idx="91">
                  <c:v>910</c:v>
                </c:pt>
                <c:pt idx="92">
                  <c:v>920</c:v>
                </c:pt>
                <c:pt idx="93">
                  <c:v>930</c:v>
                </c:pt>
                <c:pt idx="94">
                  <c:v>940</c:v>
                </c:pt>
                <c:pt idx="95">
                  <c:v>950</c:v>
                </c:pt>
                <c:pt idx="96">
                  <c:v>960</c:v>
                </c:pt>
                <c:pt idx="97">
                  <c:v>970</c:v>
                </c:pt>
                <c:pt idx="98">
                  <c:v>980</c:v>
                </c:pt>
                <c:pt idx="99">
                  <c:v>990</c:v>
                </c:pt>
                <c:pt idx="100">
                  <c:v>1000</c:v>
                </c:pt>
              </c:numCache>
            </c:numRef>
          </c:cat>
          <c:val>
            <c:numRef>
              <c:f>'Calculations - Single'!$CD$5:$CD$105</c:f>
              <c:numCache>
                <c:formatCode>General</c:formatCode>
                <c:ptCount val="10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numCache>
            </c:numRef>
          </c:val>
          <c:smooth val="0"/>
          <c:extLst>
            <c:ext xmlns:c16="http://schemas.microsoft.com/office/drawing/2014/chart" uri="{C3380CC4-5D6E-409C-BE32-E72D297353CC}">
              <c16:uniqueId val="{00000004-BF86-4FB2-8232-832AAE27F06E}"/>
            </c:ext>
          </c:extLst>
        </c:ser>
        <c:ser>
          <c:idx val="5"/>
          <c:order val="5"/>
          <c:spPr>
            <a:ln>
              <a:noFill/>
            </a:ln>
          </c:spPr>
          <c:marker>
            <c:symbol val="x"/>
            <c:size val="10"/>
            <c:spPr>
              <a:pattFill prst="pct5">
                <a:fgClr>
                  <a:schemeClr val="tx1"/>
                </a:fgClr>
                <a:bgClr>
                  <a:schemeClr val="bg1"/>
                </a:bgClr>
              </a:pattFill>
              <a:ln>
                <a:solidFill>
                  <a:srgbClr val="FF0000"/>
                </a:solidFill>
              </a:ln>
            </c:spPr>
          </c:marker>
          <c:cat>
            <c:numRef>
              <c:f>'Calculations - Single'!$AM$5:$AM$105</c:f>
              <c:numCache>
                <c:formatCode>0</c:formatCode>
                <c:ptCount val="101"/>
                <c:pt idx="0">
                  <c:v>1.0000000000000002E-6</c:v>
                </c:pt>
                <c:pt idx="1">
                  <c:v>10</c:v>
                </c:pt>
                <c:pt idx="2">
                  <c:v>20</c:v>
                </c:pt>
                <c:pt idx="3">
                  <c:v>30</c:v>
                </c:pt>
                <c:pt idx="4">
                  <c:v>40</c:v>
                </c:pt>
                <c:pt idx="5">
                  <c:v>50</c:v>
                </c:pt>
                <c:pt idx="6">
                  <c:v>60</c:v>
                </c:pt>
                <c:pt idx="7">
                  <c:v>70</c:v>
                </c:pt>
                <c:pt idx="8">
                  <c:v>80</c:v>
                </c:pt>
                <c:pt idx="9">
                  <c:v>90</c:v>
                </c:pt>
                <c:pt idx="10">
                  <c:v>100</c:v>
                </c:pt>
                <c:pt idx="11">
                  <c:v>110</c:v>
                </c:pt>
                <c:pt idx="12">
                  <c:v>120</c:v>
                </c:pt>
                <c:pt idx="13">
                  <c:v>130</c:v>
                </c:pt>
                <c:pt idx="14">
                  <c:v>140</c:v>
                </c:pt>
                <c:pt idx="15">
                  <c:v>150</c:v>
                </c:pt>
                <c:pt idx="16">
                  <c:v>160</c:v>
                </c:pt>
                <c:pt idx="17">
                  <c:v>170</c:v>
                </c:pt>
                <c:pt idx="18">
                  <c:v>180</c:v>
                </c:pt>
                <c:pt idx="19">
                  <c:v>190</c:v>
                </c:pt>
                <c:pt idx="20">
                  <c:v>200</c:v>
                </c:pt>
                <c:pt idx="21">
                  <c:v>210</c:v>
                </c:pt>
                <c:pt idx="22">
                  <c:v>220</c:v>
                </c:pt>
                <c:pt idx="23">
                  <c:v>230</c:v>
                </c:pt>
                <c:pt idx="24">
                  <c:v>240</c:v>
                </c:pt>
                <c:pt idx="25">
                  <c:v>250</c:v>
                </c:pt>
                <c:pt idx="26">
                  <c:v>260</c:v>
                </c:pt>
                <c:pt idx="27">
                  <c:v>270</c:v>
                </c:pt>
                <c:pt idx="28">
                  <c:v>280</c:v>
                </c:pt>
                <c:pt idx="29">
                  <c:v>290</c:v>
                </c:pt>
                <c:pt idx="30">
                  <c:v>300</c:v>
                </c:pt>
                <c:pt idx="31">
                  <c:v>310</c:v>
                </c:pt>
                <c:pt idx="32">
                  <c:v>320</c:v>
                </c:pt>
                <c:pt idx="33">
                  <c:v>330</c:v>
                </c:pt>
                <c:pt idx="34">
                  <c:v>340</c:v>
                </c:pt>
                <c:pt idx="35">
                  <c:v>350</c:v>
                </c:pt>
                <c:pt idx="36">
                  <c:v>360</c:v>
                </c:pt>
                <c:pt idx="37">
                  <c:v>370</c:v>
                </c:pt>
                <c:pt idx="38">
                  <c:v>380</c:v>
                </c:pt>
                <c:pt idx="39">
                  <c:v>390</c:v>
                </c:pt>
                <c:pt idx="40">
                  <c:v>400</c:v>
                </c:pt>
                <c:pt idx="41">
                  <c:v>410</c:v>
                </c:pt>
                <c:pt idx="42">
                  <c:v>420</c:v>
                </c:pt>
                <c:pt idx="43">
                  <c:v>430</c:v>
                </c:pt>
                <c:pt idx="44">
                  <c:v>440</c:v>
                </c:pt>
                <c:pt idx="45">
                  <c:v>450</c:v>
                </c:pt>
                <c:pt idx="46">
                  <c:v>460</c:v>
                </c:pt>
                <c:pt idx="47">
                  <c:v>470</c:v>
                </c:pt>
                <c:pt idx="48">
                  <c:v>480</c:v>
                </c:pt>
                <c:pt idx="49">
                  <c:v>490</c:v>
                </c:pt>
                <c:pt idx="50">
                  <c:v>500</c:v>
                </c:pt>
                <c:pt idx="51">
                  <c:v>510</c:v>
                </c:pt>
                <c:pt idx="52">
                  <c:v>520</c:v>
                </c:pt>
                <c:pt idx="53">
                  <c:v>530</c:v>
                </c:pt>
                <c:pt idx="54">
                  <c:v>540</c:v>
                </c:pt>
                <c:pt idx="55">
                  <c:v>550</c:v>
                </c:pt>
                <c:pt idx="56">
                  <c:v>560</c:v>
                </c:pt>
                <c:pt idx="57">
                  <c:v>570</c:v>
                </c:pt>
                <c:pt idx="58">
                  <c:v>580</c:v>
                </c:pt>
                <c:pt idx="59">
                  <c:v>590</c:v>
                </c:pt>
                <c:pt idx="60">
                  <c:v>600</c:v>
                </c:pt>
                <c:pt idx="61">
                  <c:v>610</c:v>
                </c:pt>
                <c:pt idx="62">
                  <c:v>620</c:v>
                </c:pt>
                <c:pt idx="63">
                  <c:v>630</c:v>
                </c:pt>
                <c:pt idx="64">
                  <c:v>640</c:v>
                </c:pt>
                <c:pt idx="65">
                  <c:v>650</c:v>
                </c:pt>
                <c:pt idx="66">
                  <c:v>660</c:v>
                </c:pt>
                <c:pt idx="67">
                  <c:v>670</c:v>
                </c:pt>
                <c:pt idx="68">
                  <c:v>680</c:v>
                </c:pt>
                <c:pt idx="69">
                  <c:v>690</c:v>
                </c:pt>
                <c:pt idx="70">
                  <c:v>700</c:v>
                </c:pt>
                <c:pt idx="71">
                  <c:v>710</c:v>
                </c:pt>
                <c:pt idx="72">
                  <c:v>720</c:v>
                </c:pt>
                <c:pt idx="73">
                  <c:v>730</c:v>
                </c:pt>
                <c:pt idx="74">
                  <c:v>740</c:v>
                </c:pt>
                <c:pt idx="75">
                  <c:v>750</c:v>
                </c:pt>
                <c:pt idx="76">
                  <c:v>760</c:v>
                </c:pt>
                <c:pt idx="77">
                  <c:v>770</c:v>
                </c:pt>
                <c:pt idx="78">
                  <c:v>780</c:v>
                </c:pt>
                <c:pt idx="79">
                  <c:v>790</c:v>
                </c:pt>
                <c:pt idx="80">
                  <c:v>800</c:v>
                </c:pt>
                <c:pt idx="81">
                  <c:v>810</c:v>
                </c:pt>
                <c:pt idx="82">
                  <c:v>820</c:v>
                </c:pt>
                <c:pt idx="83">
                  <c:v>830</c:v>
                </c:pt>
                <c:pt idx="84">
                  <c:v>840</c:v>
                </c:pt>
                <c:pt idx="85">
                  <c:v>850</c:v>
                </c:pt>
                <c:pt idx="86">
                  <c:v>860</c:v>
                </c:pt>
                <c:pt idx="87">
                  <c:v>870</c:v>
                </c:pt>
                <c:pt idx="88">
                  <c:v>880</c:v>
                </c:pt>
                <c:pt idx="89">
                  <c:v>890</c:v>
                </c:pt>
                <c:pt idx="90">
                  <c:v>900</c:v>
                </c:pt>
                <c:pt idx="91">
                  <c:v>910</c:v>
                </c:pt>
                <c:pt idx="92">
                  <c:v>920</c:v>
                </c:pt>
                <c:pt idx="93">
                  <c:v>930</c:v>
                </c:pt>
                <c:pt idx="94">
                  <c:v>940</c:v>
                </c:pt>
                <c:pt idx="95">
                  <c:v>950</c:v>
                </c:pt>
                <c:pt idx="96">
                  <c:v>960</c:v>
                </c:pt>
                <c:pt idx="97">
                  <c:v>970</c:v>
                </c:pt>
                <c:pt idx="98">
                  <c:v>980</c:v>
                </c:pt>
                <c:pt idx="99">
                  <c:v>990</c:v>
                </c:pt>
                <c:pt idx="100">
                  <c:v>1000</c:v>
                </c:pt>
              </c:numCache>
            </c:numRef>
          </c:cat>
          <c:val>
            <c:numRef>
              <c:f>'Calculations - Single'!$CD$217:$CD$317</c:f>
              <c:numCache>
                <c:formatCode>General</c:formatCode>
                <c:ptCount val="10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numCache>
            </c:numRef>
          </c:val>
          <c:smooth val="0"/>
          <c:extLst>
            <c:ext xmlns:c16="http://schemas.microsoft.com/office/drawing/2014/chart" uri="{C3380CC4-5D6E-409C-BE32-E72D297353CC}">
              <c16:uniqueId val="{00000005-BF86-4FB2-8232-832AAE27F06E}"/>
            </c:ext>
          </c:extLst>
        </c:ser>
        <c:dLbls>
          <c:showLegendKey val="0"/>
          <c:showVal val="0"/>
          <c:showCatName val="0"/>
          <c:showSerName val="0"/>
          <c:showPercent val="0"/>
          <c:showBubbleSize val="0"/>
        </c:dLbls>
        <c:marker val="1"/>
        <c:smooth val="0"/>
        <c:axId val="139924992"/>
        <c:axId val="139926912"/>
      </c:lineChart>
      <c:lineChart>
        <c:grouping val="standard"/>
        <c:varyColors val="0"/>
        <c:ser>
          <c:idx val="6"/>
          <c:order val="6"/>
          <c:spPr>
            <a:ln w="31750">
              <a:solidFill>
                <a:srgbClr val="FF0000"/>
              </a:solidFill>
            </a:ln>
          </c:spPr>
          <c:marker>
            <c:symbol val="none"/>
          </c:marker>
          <c:val>
            <c:numRef>
              <c:f>'Calculations - Single'!$AW$5:$AW$105</c:f>
              <c:numCache>
                <c:formatCode>0.000</c:formatCode>
                <c:ptCount val="101"/>
                <c:pt idx="0">
                  <c:v>4.5919999999999997E-3</c:v>
                </c:pt>
                <c:pt idx="1">
                  <c:v>2.5853658536585368E-2</c:v>
                </c:pt>
                <c:pt idx="2">
                  <c:v>5.1707317073170736E-2</c:v>
                </c:pt>
                <c:pt idx="3">
                  <c:v>7.7560975609756083E-2</c:v>
                </c:pt>
                <c:pt idx="4">
                  <c:v>0.10341463414634147</c:v>
                </c:pt>
                <c:pt idx="5">
                  <c:v>0.13029623835329829</c:v>
                </c:pt>
                <c:pt idx="6">
                  <c:v>0.14788331104019323</c:v>
                </c:pt>
                <c:pt idx="7">
                  <c:v>0.15973223207891477</c:v>
                </c:pt>
                <c:pt idx="8">
                  <c:v>0.17076093887541743</c:v>
                </c:pt>
                <c:pt idx="9">
                  <c:v>0.1811193267608838</c:v>
                </c:pt>
                <c:pt idx="10">
                  <c:v>0.19091653361355987</c:v>
                </c:pt>
                <c:pt idx="11">
                  <c:v>0.20023494971587577</c:v>
                </c:pt>
                <c:pt idx="12">
                  <c:v>0.20913858412168013</c:v>
                </c:pt>
                <c:pt idx="13">
                  <c:v>0.21767833987129456</c:v>
                </c:pt>
                <c:pt idx="14">
                  <c:v>0.22589548895412803</c:v>
                </c:pt>
                <c:pt idx="15">
                  <c:v>0.23382404540706739</c:v>
                </c:pt>
                <c:pt idx="16">
                  <c:v>0.24149243568117842</c:v>
                </c:pt>
                <c:pt idx="17">
                  <c:v>0.24892470502529443</c:v>
                </c:pt>
                <c:pt idx="18">
                  <c:v>0.2561414083131261</c:v>
                </c:pt>
                <c:pt idx="19">
                  <c:v>0.26316028069093811</c:v>
                </c:pt>
                <c:pt idx="20">
                  <c:v>0.26999675111755533</c:v>
                </c:pt>
                <c:pt idx="21">
                  <c:v>0.2766643415670636</c:v>
                </c:pt>
                <c:pt idx="22">
                  <c:v>0.28317498154928622</c:v>
                </c:pt>
                <c:pt idx="23">
                  <c:v>0.28953925892034121</c:v>
                </c:pt>
                <c:pt idx="24">
                  <c:v>0.29576662208038645</c:v>
                </c:pt>
                <c:pt idx="25">
                  <c:v>0.30186554460147297</c:v>
                </c:pt>
                <c:pt idx="26">
                  <c:v>0.30784366048084472</c:v>
                </c:pt>
                <c:pt idx="27">
                  <c:v>0.31370787618252016</c:v>
                </c:pt>
                <c:pt idx="28">
                  <c:v>0.31946446415782953</c:v>
                </c:pt>
                <c:pt idx="29">
                  <c:v>0.32511914145486864</c:v>
                </c:pt>
                <c:pt idx="30">
                  <c:v>0.33067713622361711</c:v>
                </c:pt>
                <c:pt idx="31">
                  <c:v>0.33614324431967157</c:v>
                </c:pt>
                <c:pt idx="32">
                  <c:v>0.34152187775083487</c:v>
                </c:pt>
                <c:pt idx="33">
                  <c:v>0.34681710635889618</c:v>
                </c:pt>
                <c:pt idx="34">
                  <c:v>0.35203269385649349</c:v>
                </c:pt>
                <c:pt idx="35">
                  <c:v>0.35717212912622592</c:v>
                </c:pt>
                <c:pt idx="36">
                  <c:v>0.3622386535217676</c:v>
                </c:pt>
                <c:pt idx="37">
                  <c:v>0.36723528477798112</c:v>
                </c:pt>
                <c:pt idx="38">
                  <c:v>0.37216483803103523</c:v>
                </c:pt>
                <c:pt idx="39">
                  <c:v>0.3770299443643283</c:v>
                </c:pt>
                <c:pt idx="40">
                  <c:v>0.38183306722711974</c:v>
                </c:pt>
                <c:pt idx="41">
                  <c:v>0.3865765170167117</c:v>
                </c:pt>
                <c:pt idx="42">
                  <c:v>0.39126246406916382</c:v>
                </c:pt>
                <c:pt idx="43">
                  <c:v>0.3958929502658205</c:v>
                </c:pt>
                <c:pt idx="44">
                  <c:v>0.40046989943175154</c:v>
                </c:pt>
                <c:pt idx="45">
                  <c:v>0.40499512667633297</c:v>
                </c:pt>
                <c:pt idx="46">
                  <c:v>0.4094703468046017</c:v>
                </c:pt>
                <c:pt idx="47">
                  <c:v>0.41389718190993097</c:v>
                </c:pt>
                <c:pt idx="48">
                  <c:v>0.41827716824336025</c:v>
                </c:pt>
                <c:pt idx="49">
                  <c:v>0.42261176244206222</c:v>
                </c:pt>
                <c:pt idx="50">
                  <c:v>0.42690234718854347</c:v>
                </c:pt>
                <c:pt idx="51">
                  <c:v>0.43115023636290578</c:v>
                </c:pt>
                <c:pt idx="52">
                  <c:v>0.43535667974258913</c:v>
                </c:pt>
                <c:pt idx="53">
                  <c:v>0.4395228672972466</c:v>
                </c:pt>
                <c:pt idx="54">
                  <c:v>0.44364993312057965</c:v>
                </c:pt>
                <c:pt idx="55">
                  <c:v>0.44773895903595051</c:v>
                </c:pt>
                <c:pt idx="56">
                  <c:v>0.45179097790825606</c:v>
                </c:pt>
                <c:pt idx="57">
                  <c:v>0.45580697669079179</c:v>
                </c:pt>
                <c:pt idx="58">
                  <c:v>0.45978789923257196</c:v>
                </c:pt>
                <c:pt idx="59">
                  <c:v>0.46373464886872917</c:v>
                </c:pt>
                <c:pt idx="60">
                  <c:v>0.46764809081413478</c:v>
                </c:pt>
                <c:pt idx="61">
                  <c:v>0.47152905437820797</c:v>
                </c:pt>
                <c:pt idx="62">
                  <c:v>0.47537833501697235</c:v>
                </c:pt>
                <c:pt idx="63">
                  <c:v>0.47919669623674432</c:v>
                </c:pt>
                <c:pt idx="64">
                  <c:v>0.48298487136235685</c:v>
                </c:pt>
                <c:pt idx="65">
                  <c:v>0.4867435651815174</c:v>
                </c:pt>
                <c:pt idx="66">
                  <c:v>0.49047345547574311</c:v>
                </c:pt>
                <c:pt idx="67">
                  <c:v>0.49417519444729074</c:v>
                </c:pt>
                <c:pt idx="68">
                  <c:v>0.49784941005058886</c:v>
                </c:pt>
                <c:pt idx="69">
                  <c:v>0.50149670723587114</c:v>
                </c:pt>
                <c:pt idx="70">
                  <c:v>0.50511766911198308</c:v>
                </c:pt>
                <c:pt idx="71">
                  <c:v>0.50871285803469191</c:v>
                </c:pt>
                <c:pt idx="72">
                  <c:v>0.51228281662625219</c:v>
                </c:pt>
                <c:pt idx="73">
                  <c:v>0.51582806873146014</c:v>
                </c:pt>
                <c:pt idx="74">
                  <c:v>0.51934912031496683</c:v>
                </c:pt>
                <c:pt idx="75">
                  <c:v>0.52284646030420023</c:v>
                </c:pt>
                <c:pt idx="76">
                  <c:v>0.52632056138187622</c:v>
                </c:pt>
                <c:pt idx="77">
                  <c:v>0.52977188073173076</c:v>
                </c:pt>
                <c:pt idx="78">
                  <c:v>0.53320086074080653</c:v>
                </c:pt>
                <c:pt idx="79">
                  <c:v>0.53660792966134852</c:v>
                </c:pt>
                <c:pt idx="80">
                  <c:v>0.53999350223511067</c:v>
                </c:pt>
                <c:pt idx="81">
                  <c:v>0.54335798028265136</c:v>
                </c:pt>
                <c:pt idx="82">
                  <c:v>0.54670175325998716</c:v>
                </c:pt>
                <c:pt idx="83">
                  <c:v>0.55002519878478806</c:v>
                </c:pt>
                <c:pt idx="84">
                  <c:v>0.5533286831341272</c:v>
                </c:pt>
                <c:pt idx="85">
                  <c:v>0.55661256171564177</c:v>
                </c:pt>
                <c:pt idx="86">
                  <c:v>0.55987717951382066</c:v>
                </c:pt>
                <c:pt idx="87">
                  <c:v>0.56312287151300522</c:v>
                </c:pt>
                <c:pt idx="88">
                  <c:v>0.56634996309857244</c:v>
                </c:pt>
                <c:pt idx="89">
                  <c:v>0.56955877043765746</c:v>
                </c:pt>
                <c:pt idx="90">
                  <c:v>0.57274960084067983</c:v>
                </c:pt>
                <c:pt idx="91">
                  <c:v>0.57592275310484098</c:v>
                </c:pt>
                <c:pt idx="92">
                  <c:v>0.57907851784068243</c:v>
                </c:pt>
                <c:pt idx="93">
                  <c:v>0.58221717778270965</c:v>
                </c:pt>
                <c:pt idx="94">
                  <c:v>0.58533900808502837</c:v>
                </c:pt>
                <c:pt idx="95">
                  <c:v>0.58844427660286291</c:v>
                </c:pt>
                <c:pt idx="96">
                  <c:v>0.59153324416077291</c:v>
                </c:pt>
                <c:pt idx="97">
                  <c:v>0.59460616480832951</c:v>
                </c:pt>
                <c:pt idx="98">
                  <c:v>0.59766328606396102</c:v>
                </c:pt>
                <c:pt idx="99">
                  <c:v>0.60070484914762745</c:v>
                </c:pt>
                <c:pt idx="100">
                  <c:v>0.60373108920294594</c:v>
                </c:pt>
              </c:numCache>
            </c:numRef>
          </c:val>
          <c:smooth val="0"/>
          <c:extLst>
            <c:ext xmlns:c16="http://schemas.microsoft.com/office/drawing/2014/chart" uri="{C3380CC4-5D6E-409C-BE32-E72D297353CC}">
              <c16:uniqueId val="{00000006-BF86-4FB2-8232-832AAE27F06E}"/>
            </c:ext>
          </c:extLst>
        </c:ser>
        <c:ser>
          <c:idx val="7"/>
          <c:order val="7"/>
          <c:spPr>
            <a:ln w="31750">
              <a:solidFill>
                <a:srgbClr val="00B050"/>
              </a:solidFill>
            </a:ln>
          </c:spPr>
          <c:marker>
            <c:symbol val="none"/>
          </c:marker>
          <c:val>
            <c:numRef>
              <c:f>'Calculations - Single'!$AW$110:$AW$210</c:f>
              <c:numCache>
                <c:formatCode>0.000</c:formatCode>
                <c:ptCount val="101"/>
                <c:pt idx="0">
                  <c:v>5.7399999999999986E-3</c:v>
                </c:pt>
                <c:pt idx="1">
                  <c:v>3.2317073170731708E-2</c:v>
                </c:pt>
                <c:pt idx="2">
                  <c:v>6.4634146341463417E-2</c:v>
                </c:pt>
                <c:pt idx="3">
                  <c:v>9.6951219512195097E-2</c:v>
                </c:pt>
                <c:pt idx="4">
                  <c:v>0.12926829268292683</c:v>
                </c:pt>
                <c:pt idx="5">
                  <c:v>0.16158536585365854</c:v>
                </c:pt>
                <c:pt idx="6">
                  <c:v>0.1801735274672725</c:v>
                </c:pt>
                <c:pt idx="7">
                  <c:v>0.19460965203880992</c:v>
                </c:pt>
                <c:pt idx="8">
                  <c:v>0.20804646916814848</c:v>
                </c:pt>
                <c:pt idx="9">
                  <c:v>0.22066660372607361</c:v>
                </c:pt>
                <c:pt idx="10">
                  <c:v>0.23260302376939704</c:v>
                </c:pt>
                <c:pt idx="11">
                  <c:v>0.24395610944047569</c:v>
                </c:pt>
                <c:pt idx="12">
                  <c:v>0.25480384612481816</c:v>
                </c:pt>
                <c:pt idx="13">
                  <c:v>0.26520825150561711</c:v>
                </c:pt>
                <c:pt idx="14">
                  <c:v>0.27521960928199379</c:v>
                </c:pt>
                <c:pt idx="15">
                  <c:v>0.28487936043174483</c:v>
                </c:pt>
                <c:pt idx="16">
                  <c:v>0.29422213830143146</c:v>
                </c:pt>
                <c:pt idx="17">
                  <c:v>0.30327723840297238</c:v>
                </c:pt>
                <c:pt idx="18">
                  <c:v>0.31206970375222259</c:v>
                </c:pt>
                <c:pt idx="19">
                  <c:v>0.3206211419520969</c:v>
                </c:pt>
                <c:pt idx="20">
                  <c:v>0.32895035086367264</c:v>
                </c:pt>
                <c:pt idx="21">
                  <c:v>0.33707380497451894</c:v>
                </c:pt>
                <c:pt idx="22">
                  <c:v>0.34500603859449575</c:v>
                </c:pt>
                <c:pt idx="23">
                  <c:v>0.35275995143062</c:v>
                </c:pt>
                <c:pt idx="24">
                  <c:v>0.360347054934545</c:v>
                </c:pt>
                <c:pt idx="25">
                  <c:v>0.36777767287678936</c:v>
                </c:pt>
                <c:pt idx="26">
                  <c:v>0.3750611061324986</c:v>
                </c:pt>
                <c:pt idx="27">
                  <c:v>0.38220576918722721</c:v>
                </c:pt>
                <c:pt idx="28">
                  <c:v>0.38921930407761984</c:v>
                </c:pt>
                <c:pt idx="29">
                  <c:v>0.39610867616518242</c:v>
                </c:pt>
                <c:pt idx="30">
                  <c:v>0.40288025516274689</c:v>
                </c:pt>
                <c:pt idx="31">
                  <c:v>0.40953988409758901</c:v>
                </c:pt>
                <c:pt idx="32">
                  <c:v>0.41609293833629696</c:v>
                </c:pt>
                <c:pt idx="33">
                  <c:v>0.42254437636773728</c:v>
                </c:pt>
                <c:pt idx="34">
                  <c:v>0.42889878370854201</c:v>
                </c:pt>
                <c:pt idx="35">
                  <c:v>0.4351604110363595</c:v>
                </c:pt>
                <c:pt idx="36">
                  <c:v>0.44133320745214721</c:v>
                </c:pt>
                <c:pt idx="37">
                  <c:v>0.447420849611042</c:v>
                </c:pt>
                <c:pt idx="38">
                  <c:v>0.45342676733220483</c:v>
                </c:pt>
                <c:pt idx="39">
                  <c:v>0.45935416619423414</c:v>
                </c:pt>
                <c:pt idx="40">
                  <c:v>0.46520604753879408</c:v>
                </c:pt>
                <c:pt idx="41">
                  <c:v>0.47098522623680394</c:v>
                </c:pt>
                <c:pt idx="42">
                  <c:v>0.47669434651566833</c:v>
                </c:pt>
                <c:pt idx="43">
                  <c:v>0.48233589610007954</c:v>
                </c:pt>
                <c:pt idx="44">
                  <c:v>0.48791221888095138</c:v>
                </c:pt>
                <c:pt idx="45">
                  <c:v>0.49342552629550901</c:v>
                </c:pt>
                <c:pt idx="46">
                  <c:v>0.49887790757525702</c:v>
                </c:pt>
                <c:pt idx="47">
                  <c:v>0.50427133899651011</c:v>
                </c:pt>
                <c:pt idx="48">
                  <c:v>0.50960769224963631</c:v>
                </c:pt>
                <c:pt idx="49">
                  <c:v>0.51488874202750512</c:v>
                </c:pt>
                <c:pt idx="50">
                  <c:v>0.52011617292037127</c:v>
                </c:pt>
                <c:pt idx="51">
                  <c:v>0.52529158569312728</c:v>
                </c:pt>
                <c:pt idx="52">
                  <c:v>0.53041650301123422</c:v>
                </c:pt>
                <c:pt idx="53">
                  <c:v>0.53549237467337785</c:v>
                </c:pt>
                <c:pt idx="54">
                  <c:v>0.54052058240181755</c:v>
                </c:pt>
                <c:pt idx="55">
                  <c:v>0.54550244423528182</c:v>
                </c:pt>
                <c:pt idx="56">
                  <c:v>0.55043921856398759</c:v>
                </c:pt>
                <c:pt idx="57">
                  <c:v>0.55533210784178499</c:v>
                </c:pt>
                <c:pt idx="58">
                  <c:v>0.56018226200645338</c:v>
                </c:pt>
                <c:pt idx="59">
                  <c:v>0.56499078163571248</c:v>
                </c:pt>
                <c:pt idx="60">
                  <c:v>0.56975872086348966</c:v>
                </c:pt>
                <c:pt idx="61">
                  <c:v>0.57448709007832954</c:v>
                </c:pt>
                <c:pt idx="62">
                  <c:v>0.57917685842351596</c:v>
                </c:pt>
                <c:pt idx="63">
                  <c:v>0.58382895611642971</c:v>
                </c:pt>
                <c:pt idx="64">
                  <c:v>0.58844427660286291</c:v>
                </c:pt>
                <c:pt idx="65">
                  <c:v>0.59302367856042093</c:v>
                </c:pt>
                <c:pt idx="66">
                  <c:v>0.59756798776373565</c:v>
                </c:pt>
                <c:pt idx="67">
                  <c:v>0.60207799882296542</c:v>
                </c:pt>
                <c:pt idx="68">
                  <c:v>0.60655447680594476</c:v>
                </c:pt>
                <c:pt idx="69">
                  <c:v>0.61099815875336327</c:v>
                </c:pt>
                <c:pt idx="70">
                  <c:v>0.61540975509547025</c:v>
                </c:pt>
                <c:pt idx="71">
                  <c:v>0.61978995097801759</c:v>
                </c:pt>
                <c:pt idx="72">
                  <c:v>0.62413940750444519</c:v>
                </c:pt>
                <c:pt idx="73">
                  <c:v>0.62845876290069069</c:v>
                </c:pt>
                <c:pt idx="74">
                  <c:v>0.63274863360842859</c:v>
                </c:pt>
                <c:pt idx="75">
                  <c:v>0.63700961531204536</c:v>
                </c:pt>
                <c:pt idx="76">
                  <c:v>0.6412422839041938</c:v>
                </c:pt>
                <c:pt idx="77">
                  <c:v>0.64544719639435522</c:v>
                </c:pt>
                <c:pt idx="78">
                  <c:v>0.64962489176447058</c:v>
                </c:pt>
                <c:pt idx="79">
                  <c:v>0.65377589177535966</c:v>
                </c:pt>
                <c:pt idx="80">
                  <c:v>0.65790070172734527</c:v>
                </c:pt>
                <c:pt idx="81">
                  <c:v>0.66199981117822093</c:v>
                </c:pt>
                <c:pt idx="82">
                  <c:v>0.66224070396116075</c:v>
                </c:pt>
                <c:pt idx="83">
                  <c:v>0.66527196652719667</c:v>
                </c:pt>
                <c:pt idx="84">
                  <c:v>0.66527196652719667</c:v>
                </c:pt>
                <c:pt idx="85">
                  <c:v>0.66527196652719656</c:v>
                </c:pt>
                <c:pt idx="86">
                  <c:v>0.66527196652719667</c:v>
                </c:pt>
                <c:pt idx="87">
                  <c:v>0.66527196652719667</c:v>
                </c:pt>
                <c:pt idx="88">
                  <c:v>0.66527196652719656</c:v>
                </c:pt>
                <c:pt idx="89">
                  <c:v>0.66527196652719667</c:v>
                </c:pt>
                <c:pt idx="90">
                  <c:v>0.66527196652719678</c:v>
                </c:pt>
                <c:pt idx="91">
                  <c:v>0.66527196652719656</c:v>
                </c:pt>
                <c:pt idx="92">
                  <c:v>0.66527196652719667</c:v>
                </c:pt>
                <c:pt idx="93">
                  <c:v>0.66527196652719667</c:v>
                </c:pt>
                <c:pt idx="94">
                  <c:v>0.66527196652719678</c:v>
                </c:pt>
                <c:pt idx="95">
                  <c:v>0.66527196652719667</c:v>
                </c:pt>
                <c:pt idx="96">
                  <c:v>0.66527196652719678</c:v>
                </c:pt>
                <c:pt idx="97">
                  <c:v>0.66527196652719689</c:v>
                </c:pt>
                <c:pt idx="98">
                  <c:v>0.66527196652719667</c:v>
                </c:pt>
                <c:pt idx="99">
                  <c:v>0.66527196652719667</c:v>
                </c:pt>
                <c:pt idx="100">
                  <c:v>0.66527196652719656</c:v>
                </c:pt>
              </c:numCache>
            </c:numRef>
          </c:val>
          <c:smooth val="0"/>
          <c:extLst>
            <c:ext xmlns:c16="http://schemas.microsoft.com/office/drawing/2014/chart" uri="{C3380CC4-5D6E-409C-BE32-E72D297353CC}">
              <c16:uniqueId val="{00000007-BF86-4FB2-8232-832AAE27F06E}"/>
            </c:ext>
          </c:extLst>
        </c:ser>
        <c:ser>
          <c:idx val="8"/>
          <c:order val="8"/>
          <c:spPr>
            <a:ln w="31750">
              <a:solidFill>
                <a:srgbClr val="0000FF"/>
              </a:solidFill>
            </a:ln>
          </c:spPr>
          <c:marker>
            <c:symbol val="none"/>
          </c:marker>
          <c:val>
            <c:numRef>
              <c:f>'Calculations - Single'!$AW$217:$AW$317</c:f>
              <c:numCache>
                <c:formatCode>0.000</c:formatCode>
                <c:ptCount val="101"/>
                <c:pt idx="0">
                  <c:v>4.0517647058823528E-3</c:v>
                </c:pt>
                <c:pt idx="1">
                  <c:v>2.2812051649928267E-2</c:v>
                </c:pt>
                <c:pt idx="2">
                  <c:v>4.5624103299856535E-2</c:v>
                </c:pt>
                <c:pt idx="3">
                  <c:v>6.8436154949784778E-2</c:v>
                </c:pt>
                <c:pt idx="4">
                  <c:v>9.1248206599713069E-2</c:v>
                </c:pt>
                <c:pt idx="5">
                  <c:v>0.11406025824964133</c:v>
                </c:pt>
                <c:pt idx="6">
                  <c:v>0.12718131350631001</c:v>
                </c:pt>
                <c:pt idx="7">
                  <c:v>0.13737151908621878</c:v>
                </c:pt>
                <c:pt idx="8">
                  <c:v>0.14685633117751656</c:v>
                </c:pt>
                <c:pt idx="9">
                  <c:v>0.15576466145369902</c:v>
                </c:pt>
                <c:pt idx="10">
                  <c:v>0.16419036971957437</c:v>
                </c:pt>
                <c:pt idx="11">
                  <c:v>0.17220431254621812</c:v>
                </c:pt>
                <c:pt idx="12">
                  <c:v>0.1798615384410481</c:v>
                </c:pt>
                <c:pt idx="13">
                  <c:v>0.18720582459220034</c:v>
                </c:pt>
                <c:pt idx="14">
                  <c:v>0.19427266537552507</c:v>
                </c:pt>
                <c:pt idx="15">
                  <c:v>0.20109131324593751</c:v>
                </c:pt>
                <c:pt idx="16">
                  <c:v>0.20768621527159872</c:v>
                </c:pt>
                <c:pt idx="17">
                  <c:v>0.2140780506373923</c:v>
                </c:pt>
                <c:pt idx="18">
                  <c:v>0.22028449676627476</c:v>
                </c:pt>
                <c:pt idx="19">
                  <c:v>0.22632080608383312</c:v>
                </c:pt>
                <c:pt idx="20">
                  <c:v>0.2322002476684748</c:v>
                </c:pt>
                <c:pt idx="21">
                  <c:v>0.23793445057024867</c:v>
                </c:pt>
                <c:pt idx="22">
                  <c:v>0.24353367430199696</c:v>
                </c:pt>
                <c:pt idx="23">
                  <c:v>0.24900702453926116</c:v>
                </c:pt>
                <c:pt idx="24">
                  <c:v>0.25436262701262002</c:v>
                </c:pt>
                <c:pt idx="25">
                  <c:v>0.25960776908949834</c:v>
                </c:pt>
                <c:pt idx="26">
                  <c:v>0.26474901609352841</c:v>
                </c:pt>
                <c:pt idx="27">
                  <c:v>0.26979230766157219</c:v>
                </c:pt>
                <c:pt idx="28">
                  <c:v>0.27474303817243756</c:v>
                </c:pt>
                <c:pt idx="29">
                  <c:v>0.27960612435189347</c:v>
                </c:pt>
                <c:pt idx="30">
                  <c:v>0.28438606246782133</c:v>
                </c:pt>
                <c:pt idx="31">
                  <c:v>0.28908697701006286</c:v>
                </c:pt>
                <c:pt idx="32">
                  <c:v>0.29371266235503313</c:v>
                </c:pt>
                <c:pt idx="33">
                  <c:v>0.29826661861252046</c:v>
                </c:pt>
                <c:pt idx="34">
                  <c:v>0.30275208261779435</c:v>
                </c:pt>
                <c:pt idx="35">
                  <c:v>0.30717205484919491</c:v>
                </c:pt>
                <c:pt idx="36">
                  <c:v>0.31152932290739804</c:v>
                </c:pt>
                <c:pt idx="37">
                  <c:v>0.31582648207838265</c:v>
                </c:pt>
                <c:pt idx="38">
                  <c:v>0.32006595341096811</c:v>
                </c:pt>
                <c:pt idx="39">
                  <c:v>0.32424999966651818</c:v>
                </c:pt>
                <c:pt idx="40">
                  <c:v>0.32838073943914875</c:v>
                </c:pt>
                <c:pt idx="41">
                  <c:v>0.3324601596965675</c:v>
                </c:pt>
                <c:pt idx="42">
                  <c:v>0.33649012695223646</c:v>
                </c:pt>
                <c:pt idx="43">
                  <c:v>0.34047239724711498</c:v>
                </c:pt>
                <c:pt idx="44">
                  <c:v>0.34440862509243625</c:v>
                </c:pt>
                <c:pt idx="45">
                  <c:v>0.34830037150271226</c:v>
                </c:pt>
                <c:pt idx="46">
                  <c:v>0.35214911122959325</c:v>
                </c:pt>
                <c:pt idx="47">
                  <c:v>0.35595623929165421</c:v>
                </c:pt>
                <c:pt idx="48">
                  <c:v>0.3597230768820962</c:v>
                </c:pt>
                <c:pt idx="49">
                  <c:v>0.36345087672529774</c:v>
                </c:pt>
                <c:pt idx="50">
                  <c:v>0.36714082794379144</c:v>
                </c:pt>
                <c:pt idx="51">
                  <c:v>0.37079406048926633</c:v>
                </c:pt>
                <c:pt idx="52">
                  <c:v>0.37441164918440067</c:v>
                </c:pt>
                <c:pt idx="53">
                  <c:v>0.37799461741650209</c:v>
                </c:pt>
                <c:pt idx="54">
                  <c:v>0.38154394051893004</c:v>
                </c:pt>
                <c:pt idx="55">
                  <c:v>0.38506054887196367</c:v>
                </c:pt>
                <c:pt idx="56">
                  <c:v>0.38854533075105013</c:v>
                </c:pt>
                <c:pt idx="57">
                  <c:v>0.39199913494714239</c:v>
                </c:pt>
                <c:pt idx="58">
                  <c:v>0.39542277318102587</c:v>
                </c:pt>
                <c:pt idx="59">
                  <c:v>0.39881702233109123</c:v>
                </c:pt>
                <c:pt idx="60">
                  <c:v>0.40218262649187503</c:v>
                </c:pt>
                <c:pt idx="61">
                  <c:v>0.40552029887882085</c:v>
                </c:pt>
                <c:pt idx="62">
                  <c:v>0.40883072359307004</c:v>
                </c:pt>
                <c:pt idx="63">
                  <c:v>0.41211455725865631</c:v>
                </c:pt>
                <c:pt idx="64">
                  <c:v>0.41537243054319745</c:v>
                </c:pt>
                <c:pt idx="65">
                  <c:v>0.41860494957206185</c:v>
                </c:pt>
                <c:pt idx="66">
                  <c:v>0.42181269724498982</c:v>
                </c:pt>
                <c:pt idx="67">
                  <c:v>0.42499623446326967</c:v>
                </c:pt>
                <c:pt idx="68">
                  <c:v>0.4281561012747846</c:v>
                </c:pt>
                <c:pt idx="69">
                  <c:v>0.43129281794355057</c:v>
                </c:pt>
                <c:pt idx="70">
                  <c:v>0.43440688594974375</c:v>
                </c:pt>
                <c:pt idx="71">
                  <c:v>0.43749878892565947</c:v>
                </c:pt>
                <c:pt idx="72">
                  <c:v>0.44056899353254952</c:v>
                </c:pt>
                <c:pt idx="73">
                  <c:v>0.44361795028284051</c:v>
                </c:pt>
                <c:pt idx="74">
                  <c:v>0.446646094311832</c:v>
                </c:pt>
                <c:pt idx="75">
                  <c:v>0.44965384610262027</c:v>
                </c:pt>
                <c:pt idx="76">
                  <c:v>0.45264161216766624</c:v>
                </c:pt>
                <c:pt idx="77">
                  <c:v>0.45560978569013316</c:v>
                </c:pt>
                <c:pt idx="78">
                  <c:v>0.4585587471278616</c:v>
                </c:pt>
                <c:pt idx="79">
                  <c:v>0.46148886478260676</c:v>
                </c:pt>
                <c:pt idx="80">
                  <c:v>0.4644004953369496</c:v>
                </c:pt>
                <c:pt idx="81">
                  <c:v>0.46729398436109709</c:v>
                </c:pt>
                <c:pt idx="82">
                  <c:v>0.47016966679161071</c:v>
                </c:pt>
                <c:pt idx="83">
                  <c:v>0.47302786738394115</c:v>
                </c:pt>
                <c:pt idx="84">
                  <c:v>0.47586890114049735</c:v>
                </c:pt>
                <c:pt idx="85">
                  <c:v>0.47869307371585135</c:v>
                </c:pt>
                <c:pt idx="86">
                  <c:v>0.48150068180054995</c:v>
                </c:pt>
                <c:pt idx="87">
                  <c:v>0.48429201348490097</c:v>
                </c:pt>
                <c:pt idx="88">
                  <c:v>0.48706734860399392</c:v>
                </c:pt>
                <c:pt idx="89">
                  <c:v>0.48982695906512702</c:v>
                </c:pt>
                <c:pt idx="90">
                  <c:v>0.49257110915872304</c:v>
                </c:pt>
                <c:pt idx="91">
                  <c:v>0.49530005585374176</c:v>
                </c:pt>
                <c:pt idx="92">
                  <c:v>0.49801404907852231</c:v>
                </c:pt>
                <c:pt idx="93">
                  <c:v>0.50071333198792489</c:v>
                </c:pt>
                <c:pt idx="94">
                  <c:v>0.50339814121758031</c:v>
                </c:pt>
                <c:pt idx="95">
                  <c:v>0.50606870712599883</c:v>
                </c:pt>
                <c:pt idx="96">
                  <c:v>0.50872525402524005</c:v>
                </c:pt>
                <c:pt idx="97">
                  <c:v>0.51136800040079766</c:v>
                </c:pt>
                <c:pt idx="98">
                  <c:v>0.51399715912130783</c:v>
                </c:pt>
                <c:pt idx="99">
                  <c:v>0.51661293763865446</c:v>
                </c:pt>
                <c:pt idx="100">
                  <c:v>0.51921553817899668</c:v>
                </c:pt>
              </c:numCache>
            </c:numRef>
          </c:val>
          <c:smooth val="0"/>
          <c:extLst>
            <c:ext xmlns:c16="http://schemas.microsoft.com/office/drawing/2014/chart" uri="{C3380CC4-5D6E-409C-BE32-E72D297353CC}">
              <c16:uniqueId val="{00000008-BF86-4FB2-8232-832AAE27F06E}"/>
            </c:ext>
          </c:extLst>
        </c:ser>
        <c:dLbls>
          <c:showLegendKey val="0"/>
          <c:showVal val="0"/>
          <c:showCatName val="0"/>
          <c:showSerName val="0"/>
          <c:showPercent val="0"/>
          <c:showBubbleSize val="0"/>
        </c:dLbls>
        <c:marker val="1"/>
        <c:smooth val="0"/>
        <c:axId val="139931008"/>
        <c:axId val="139929088"/>
      </c:lineChart>
      <c:catAx>
        <c:axId val="139924992"/>
        <c:scaling>
          <c:orientation val="minMax"/>
        </c:scaling>
        <c:delete val="0"/>
        <c:axPos val="b"/>
        <c:majorGridlines>
          <c:spPr>
            <a:ln w="15875">
              <a:solidFill>
                <a:srgbClr val="969696"/>
              </a:solidFill>
              <a:prstDash val="sysDash"/>
            </a:ln>
          </c:spPr>
        </c:majorGridlines>
        <c:title>
          <c:tx>
            <c:rich>
              <a:bodyPr/>
              <a:lstStyle/>
              <a:p>
                <a:pPr>
                  <a:defRPr sz="1400" b="1" i="0" u="none" strike="noStrike" baseline="0">
                    <a:solidFill>
                      <a:schemeClr val="tx1"/>
                    </a:solidFill>
                    <a:latin typeface="Arial" pitchFamily="34" charset="0"/>
                    <a:ea typeface="Calibri"/>
                    <a:cs typeface="Arial" pitchFamily="34" charset="0"/>
                  </a:defRPr>
                </a:pPr>
                <a:r>
                  <a:rPr lang="en-US" sz="1400">
                    <a:solidFill>
                      <a:schemeClr val="tx1"/>
                    </a:solidFill>
                    <a:latin typeface="Arial" pitchFamily="34" charset="0"/>
                    <a:cs typeface="Arial" pitchFamily="34" charset="0"/>
                  </a:rPr>
                  <a:t>Load Current (mA)</a:t>
                </a:r>
              </a:p>
            </c:rich>
          </c:tx>
          <c:layout>
            <c:manualLayout>
              <c:xMode val="edge"/>
              <c:yMode val="edge"/>
              <c:x val="0.4112305719849535"/>
              <c:y val="0.9410669161053864"/>
            </c:manualLayout>
          </c:layout>
          <c:overlay val="0"/>
          <c:spPr>
            <a:noFill/>
            <a:ln w="25400">
              <a:noFill/>
            </a:ln>
          </c:spPr>
        </c:title>
        <c:numFmt formatCode="0" sourceLinked="1"/>
        <c:majorTickMark val="in"/>
        <c:minorTickMark val="in"/>
        <c:tickLblPos val="nextTo"/>
        <c:spPr>
          <a:ln w="3175">
            <a:solidFill>
              <a:schemeClr val="tx1"/>
            </a:solidFill>
            <a:prstDash val="solid"/>
          </a:ln>
        </c:spPr>
        <c:txPr>
          <a:bodyPr rot="0" vert="horz"/>
          <a:lstStyle/>
          <a:p>
            <a:pPr>
              <a:defRPr sz="1200" b="1" i="0" u="none" strike="noStrike" baseline="0">
                <a:solidFill>
                  <a:schemeClr val="tx1"/>
                </a:solidFill>
                <a:latin typeface="Arial" pitchFamily="34" charset="0"/>
                <a:ea typeface="Calibri"/>
                <a:cs typeface="Arial" pitchFamily="34" charset="0"/>
              </a:defRPr>
            </a:pPr>
            <a:endParaRPr lang="en-US"/>
          </a:p>
        </c:txPr>
        <c:crossAx val="139926912"/>
        <c:crosses val="autoZero"/>
        <c:auto val="1"/>
        <c:lblAlgn val="ctr"/>
        <c:lblOffset val="100"/>
        <c:tickLblSkip val="20"/>
        <c:tickMarkSkip val="10"/>
        <c:noMultiLvlLbl val="0"/>
      </c:catAx>
      <c:valAx>
        <c:axId val="139926912"/>
        <c:scaling>
          <c:orientation val="minMax"/>
          <c:max val="400"/>
          <c:min val="0"/>
        </c:scaling>
        <c:delete val="0"/>
        <c:axPos val="l"/>
        <c:majorGridlines>
          <c:spPr>
            <a:ln w="15875">
              <a:solidFill>
                <a:srgbClr val="808080"/>
              </a:solidFill>
              <a:prstDash val="solid"/>
            </a:ln>
          </c:spPr>
        </c:majorGridlines>
        <c:title>
          <c:tx>
            <c:rich>
              <a:bodyPr/>
              <a:lstStyle/>
              <a:p>
                <a:pPr>
                  <a:defRPr sz="1400" b="1" i="0" u="none" strike="noStrike" baseline="0">
                    <a:solidFill>
                      <a:schemeClr val="tx1"/>
                    </a:solidFill>
                    <a:latin typeface="Arial" pitchFamily="34" charset="0"/>
                    <a:ea typeface="Calibri"/>
                    <a:cs typeface="Arial" pitchFamily="34" charset="0"/>
                  </a:defRPr>
                </a:pPr>
                <a:r>
                  <a:rPr lang="en-US" sz="1400" b="1">
                    <a:solidFill>
                      <a:schemeClr val="tx1"/>
                    </a:solidFill>
                    <a:latin typeface="Arial" pitchFamily="34" charset="0"/>
                    <a:cs typeface="Arial" pitchFamily="34" charset="0"/>
                  </a:rPr>
                  <a:t>Switching</a:t>
                </a:r>
                <a:r>
                  <a:rPr lang="en-US" sz="1400" b="1" baseline="0">
                    <a:solidFill>
                      <a:schemeClr val="tx1"/>
                    </a:solidFill>
                    <a:latin typeface="Arial" pitchFamily="34" charset="0"/>
                    <a:cs typeface="Arial" pitchFamily="34" charset="0"/>
                  </a:rPr>
                  <a:t> Frquency (kHz)</a:t>
                </a:r>
                <a:endParaRPr lang="en-US" sz="1400" b="1">
                  <a:solidFill>
                    <a:schemeClr val="tx1"/>
                  </a:solidFill>
                  <a:latin typeface="Arial" pitchFamily="34" charset="0"/>
                  <a:cs typeface="Arial" pitchFamily="34" charset="0"/>
                </a:endParaRPr>
              </a:p>
            </c:rich>
          </c:tx>
          <c:layout>
            <c:manualLayout>
              <c:xMode val="edge"/>
              <c:yMode val="edge"/>
              <c:x val="8.5568268367748525E-3"/>
              <c:y val="0.30050661099568304"/>
            </c:manualLayout>
          </c:layout>
          <c:overlay val="0"/>
          <c:spPr>
            <a:noFill/>
            <a:ln w="25400">
              <a:noFill/>
            </a:ln>
          </c:spPr>
        </c:title>
        <c:numFmt formatCode="#,##0" sourceLinked="0"/>
        <c:majorTickMark val="out"/>
        <c:minorTickMark val="in"/>
        <c:tickLblPos val="nextTo"/>
        <c:spPr>
          <a:ln w="3175">
            <a:solidFill>
              <a:srgbClr val="000000"/>
            </a:solidFill>
            <a:prstDash val="solid"/>
          </a:ln>
        </c:spPr>
        <c:txPr>
          <a:bodyPr rot="0" vert="horz"/>
          <a:lstStyle/>
          <a:p>
            <a:pPr>
              <a:defRPr sz="1200" b="1" i="0" u="none" strike="noStrike" baseline="0">
                <a:solidFill>
                  <a:schemeClr val="tx1"/>
                </a:solidFill>
                <a:latin typeface="Arial" pitchFamily="34" charset="0"/>
                <a:ea typeface="Calibri"/>
                <a:cs typeface="Arial" pitchFamily="34" charset="0"/>
              </a:defRPr>
            </a:pPr>
            <a:endParaRPr lang="en-US"/>
          </a:p>
        </c:txPr>
        <c:crossAx val="139924992"/>
        <c:crossesAt val="0"/>
        <c:crossBetween val="between"/>
        <c:majorUnit val="50"/>
        <c:minorUnit val="25"/>
      </c:valAx>
      <c:valAx>
        <c:axId val="139929088"/>
        <c:scaling>
          <c:orientation val="minMax"/>
          <c:min val="0"/>
        </c:scaling>
        <c:delete val="0"/>
        <c:axPos val="r"/>
        <c:title>
          <c:tx>
            <c:rich>
              <a:bodyPr rot="-5400000" vert="horz"/>
              <a:lstStyle/>
              <a:p>
                <a:pPr>
                  <a:defRPr sz="1400" b="1"/>
                </a:pPr>
                <a:r>
                  <a:rPr lang="en-US" sz="1400" b="1"/>
                  <a:t>Duty Cycle</a:t>
                </a:r>
              </a:p>
            </c:rich>
          </c:tx>
          <c:layout>
            <c:manualLayout>
              <c:xMode val="edge"/>
              <c:yMode val="edge"/>
              <c:x val="0.96323100741439582"/>
              <c:y val="0.41073169332818471"/>
            </c:manualLayout>
          </c:layout>
          <c:overlay val="0"/>
        </c:title>
        <c:numFmt formatCode="General" sourceLinked="0"/>
        <c:majorTickMark val="in"/>
        <c:minorTickMark val="in"/>
        <c:tickLblPos val="nextTo"/>
        <c:txPr>
          <a:bodyPr/>
          <a:lstStyle/>
          <a:p>
            <a:pPr>
              <a:defRPr sz="1200" b="1"/>
            </a:pPr>
            <a:endParaRPr lang="en-US"/>
          </a:p>
        </c:txPr>
        <c:crossAx val="139931008"/>
        <c:crosses val="max"/>
        <c:crossBetween val="between"/>
        <c:majorUnit val="0.1"/>
        <c:minorUnit val="2.0000000000000004E-2"/>
      </c:valAx>
      <c:catAx>
        <c:axId val="139931008"/>
        <c:scaling>
          <c:orientation val="minMax"/>
        </c:scaling>
        <c:delete val="1"/>
        <c:axPos val="b"/>
        <c:majorTickMark val="out"/>
        <c:minorTickMark val="none"/>
        <c:tickLblPos val="nextTo"/>
        <c:crossAx val="139929088"/>
        <c:crosses val="autoZero"/>
        <c:auto val="1"/>
        <c:lblAlgn val="ctr"/>
        <c:lblOffset val="100"/>
        <c:noMultiLvlLbl val="0"/>
      </c:catAx>
      <c:spPr>
        <a:solidFill>
          <a:srgbClr val="FFFFFF"/>
        </a:solidFill>
        <a:ln w="25400">
          <a:noFill/>
        </a:ln>
      </c:spPr>
    </c:plotArea>
    <c:legend>
      <c:legendPos val="t"/>
      <c:legendEntry>
        <c:idx val="3"/>
        <c:delete val="1"/>
      </c:legendEntry>
      <c:legendEntry>
        <c:idx val="4"/>
        <c:delete val="1"/>
      </c:legendEntry>
      <c:legendEntry>
        <c:idx val="5"/>
        <c:delete val="1"/>
      </c:legendEntry>
      <c:legendEntry>
        <c:idx val="6"/>
        <c:delete val="1"/>
      </c:legendEntry>
      <c:legendEntry>
        <c:idx val="7"/>
        <c:delete val="1"/>
      </c:legendEntry>
      <c:legendEntry>
        <c:idx val="8"/>
        <c:delete val="1"/>
      </c:legendEntry>
      <c:layout>
        <c:manualLayout>
          <c:xMode val="edge"/>
          <c:yMode val="edge"/>
          <c:x val="0.21364188347424315"/>
          <c:y val="3.4655227110648466E-2"/>
          <c:w val="0.56362386153343735"/>
          <c:h val="5.4335766847817754E-2"/>
        </c:manualLayout>
      </c:layout>
      <c:overlay val="0"/>
      <c:spPr>
        <a:solidFill>
          <a:srgbClr val="FFFFFF"/>
        </a:solidFill>
        <a:ln w="25400">
          <a:noFill/>
        </a:ln>
      </c:spPr>
      <c:txPr>
        <a:bodyPr/>
        <a:lstStyle/>
        <a:p>
          <a:pPr>
            <a:defRPr sz="1400" b="1" i="0" u="none" strike="noStrike" baseline="0">
              <a:solidFill>
                <a:srgbClr val="000000"/>
              </a:solidFill>
              <a:latin typeface="Arial" pitchFamily="34" charset="0"/>
              <a:ea typeface="Calibri"/>
              <a:cs typeface="Arial" pitchFamily="34" charset="0"/>
            </a:defRPr>
          </a:pPr>
          <a:endParaRPr lang="en-US"/>
        </a:p>
      </c:txPr>
    </c:legend>
    <c:plotVisOnly val="1"/>
    <c:dispBlanksAs val="gap"/>
    <c:showDLblsOverMax val="0"/>
  </c:chart>
  <c:spPr>
    <a:solidFill>
      <a:srgbClr val="FFFFFF"/>
    </a:solidFill>
    <a:ln w="9525">
      <a:noFill/>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0000000000006" r="0.750000000000006" t="1" header="0.5" footer="0.5"/>
    <c:pageSetup paperSize="5"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93009796772281"/>
          <c:y val="9.6043598935517463E-2"/>
          <c:w val="0.79387547420256122"/>
          <c:h val="0.75083975467433728"/>
        </c:manualLayout>
      </c:layout>
      <c:lineChart>
        <c:grouping val="standard"/>
        <c:varyColors val="0"/>
        <c:ser>
          <c:idx val="9"/>
          <c:order val="6"/>
          <c:tx>
            <c:v>VIN-min</c:v>
          </c:tx>
          <c:spPr>
            <a:ln>
              <a:solidFill>
                <a:srgbClr val="00B050"/>
              </a:solidFill>
              <a:prstDash val="sysDash"/>
            </a:ln>
          </c:spPr>
          <c:marker>
            <c:symbol val="none"/>
          </c:marker>
          <c:cat>
            <c:numRef>
              <c:f>'Calculations - Dual'!$CC$5:$CC$105</c:f>
              <c:numCache>
                <c:formatCode>General</c:formatCode>
                <c:ptCount val="101"/>
                <c:pt idx="0">
                  <c:v>0</c:v>
                </c:pt>
                <c:pt idx="1">
                  <c:v>1</c:v>
                </c:pt>
                <c:pt idx="2">
                  <c:v>2</c:v>
                </c:pt>
                <c:pt idx="3">
                  <c:v>3</c:v>
                </c:pt>
                <c:pt idx="4">
                  <c:v>4</c:v>
                </c:pt>
                <c:pt idx="5">
                  <c:v>5</c:v>
                </c:pt>
                <c:pt idx="6">
                  <c:v>6</c:v>
                </c:pt>
                <c:pt idx="7">
                  <c:v>7.0000000000000009</c:v>
                </c:pt>
                <c:pt idx="8">
                  <c:v>8</c:v>
                </c:pt>
                <c:pt idx="9">
                  <c:v>9</c:v>
                </c:pt>
                <c:pt idx="10">
                  <c:v>10</c:v>
                </c:pt>
                <c:pt idx="11">
                  <c:v>11</c:v>
                </c:pt>
                <c:pt idx="12">
                  <c:v>12</c:v>
                </c:pt>
                <c:pt idx="13">
                  <c:v>13</c:v>
                </c:pt>
                <c:pt idx="14">
                  <c:v>14.000000000000002</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Dual'!$AM$110:$AM$210</c:f>
              <c:numCache>
                <c:formatCode>0.0</c:formatCode>
                <c:ptCount val="101"/>
                <c:pt idx="0">
                  <c:v>10</c:v>
                </c:pt>
                <c:pt idx="1">
                  <c:v>75.444038412509585</c:v>
                </c:pt>
                <c:pt idx="2">
                  <c:v>150.88807682501917</c:v>
                </c:pt>
                <c:pt idx="3">
                  <c:v>226.33211523752871</c:v>
                </c:pt>
                <c:pt idx="4">
                  <c:v>301.77615365003834</c:v>
                </c:pt>
                <c:pt idx="5">
                  <c:v>350</c:v>
                </c:pt>
                <c:pt idx="6">
                  <c:v>350</c:v>
                </c:pt>
                <c:pt idx="7">
                  <c:v>350</c:v>
                </c:pt>
                <c:pt idx="8">
                  <c:v>350</c:v>
                </c:pt>
                <c:pt idx="9">
                  <c:v>350</c:v>
                </c:pt>
                <c:pt idx="10">
                  <c:v>350</c:v>
                </c:pt>
                <c:pt idx="11">
                  <c:v>350</c:v>
                </c:pt>
                <c:pt idx="12">
                  <c:v>350</c:v>
                </c:pt>
                <c:pt idx="13">
                  <c:v>350</c:v>
                </c:pt>
                <c:pt idx="14">
                  <c:v>350</c:v>
                </c:pt>
                <c:pt idx="15">
                  <c:v>350</c:v>
                </c:pt>
                <c:pt idx="16">
                  <c:v>350</c:v>
                </c:pt>
                <c:pt idx="17">
                  <c:v>350</c:v>
                </c:pt>
                <c:pt idx="18">
                  <c:v>350</c:v>
                </c:pt>
                <c:pt idx="19">
                  <c:v>350</c:v>
                </c:pt>
                <c:pt idx="20">
                  <c:v>350</c:v>
                </c:pt>
                <c:pt idx="21">
                  <c:v>350</c:v>
                </c:pt>
                <c:pt idx="22">
                  <c:v>350</c:v>
                </c:pt>
                <c:pt idx="23">
                  <c:v>350</c:v>
                </c:pt>
                <c:pt idx="24">
                  <c:v>350</c:v>
                </c:pt>
                <c:pt idx="25">
                  <c:v>350</c:v>
                </c:pt>
                <c:pt idx="26">
                  <c:v>350</c:v>
                </c:pt>
                <c:pt idx="27">
                  <c:v>350</c:v>
                </c:pt>
                <c:pt idx="28">
                  <c:v>350</c:v>
                </c:pt>
                <c:pt idx="29">
                  <c:v>350</c:v>
                </c:pt>
                <c:pt idx="30">
                  <c:v>350</c:v>
                </c:pt>
                <c:pt idx="31">
                  <c:v>350</c:v>
                </c:pt>
                <c:pt idx="32">
                  <c:v>350</c:v>
                </c:pt>
                <c:pt idx="33">
                  <c:v>350</c:v>
                </c:pt>
                <c:pt idx="34">
                  <c:v>350</c:v>
                </c:pt>
                <c:pt idx="35">
                  <c:v>350</c:v>
                </c:pt>
                <c:pt idx="36">
                  <c:v>350</c:v>
                </c:pt>
                <c:pt idx="37">
                  <c:v>350</c:v>
                </c:pt>
                <c:pt idx="38">
                  <c:v>350</c:v>
                </c:pt>
                <c:pt idx="39">
                  <c:v>350</c:v>
                </c:pt>
                <c:pt idx="40">
                  <c:v>350</c:v>
                </c:pt>
                <c:pt idx="41">
                  <c:v>350</c:v>
                </c:pt>
                <c:pt idx="42">
                  <c:v>350</c:v>
                </c:pt>
                <c:pt idx="43">
                  <c:v>350</c:v>
                </c:pt>
                <c:pt idx="44">
                  <c:v>350</c:v>
                </c:pt>
                <c:pt idx="45">
                  <c:v>350</c:v>
                </c:pt>
                <c:pt idx="46">
                  <c:v>350</c:v>
                </c:pt>
                <c:pt idx="47">
                  <c:v>350</c:v>
                </c:pt>
                <c:pt idx="48">
                  <c:v>350</c:v>
                </c:pt>
                <c:pt idx="49">
                  <c:v>350</c:v>
                </c:pt>
                <c:pt idx="50">
                  <c:v>350</c:v>
                </c:pt>
                <c:pt idx="51">
                  <c:v>350</c:v>
                </c:pt>
                <c:pt idx="52">
                  <c:v>350</c:v>
                </c:pt>
                <c:pt idx="53">
                  <c:v>350</c:v>
                </c:pt>
                <c:pt idx="54">
                  <c:v>350</c:v>
                </c:pt>
                <c:pt idx="55">
                  <c:v>350</c:v>
                </c:pt>
                <c:pt idx="56">
                  <c:v>350</c:v>
                </c:pt>
                <c:pt idx="57">
                  <c:v>350</c:v>
                </c:pt>
                <c:pt idx="58">
                  <c:v>350</c:v>
                </c:pt>
                <c:pt idx="59">
                  <c:v>350</c:v>
                </c:pt>
                <c:pt idx="60">
                  <c:v>350</c:v>
                </c:pt>
                <c:pt idx="61">
                  <c:v>350</c:v>
                </c:pt>
                <c:pt idx="62">
                  <c:v>350</c:v>
                </c:pt>
                <c:pt idx="63">
                  <c:v>350</c:v>
                </c:pt>
                <c:pt idx="64">
                  <c:v>350</c:v>
                </c:pt>
                <c:pt idx="65">
                  <c:v>350</c:v>
                </c:pt>
                <c:pt idx="66">
                  <c:v>350</c:v>
                </c:pt>
                <c:pt idx="67">
                  <c:v>350</c:v>
                </c:pt>
                <c:pt idx="68">
                  <c:v>350</c:v>
                </c:pt>
                <c:pt idx="69">
                  <c:v>350</c:v>
                </c:pt>
                <c:pt idx="70">
                  <c:v>350</c:v>
                </c:pt>
                <c:pt idx="71">
                  <c:v>350</c:v>
                </c:pt>
                <c:pt idx="72">
                  <c:v>350</c:v>
                </c:pt>
                <c:pt idx="73">
                  <c:v>350</c:v>
                </c:pt>
                <c:pt idx="74">
                  <c:v>348.90723676796284</c:v>
                </c:pt>
                <c:pt idx="75">
                  <c:v>344.2551402777234</c:v>
                </c:pt>
                <c:pt idx="76">
                  <c:v>339.72546737933231</c:v>
                </c:pt>
                <c:pt idx="77">
                  <c:v>335.31344832245782</c:v>
                </c:pt>
                <c:pt idx="78">
                  <c:v>331.01455795934936</c:v>
                </c:pt>
                <c:pt idx="79">
                  <c:v>326.82450026366138</c:v>
                </c:pt>
                <c:pt idx="80">
                  <c:v>322.73919401036568</c:v>
                </c:pt>
                <c:pt idx="81">
                  <c:v>318.7547595164105</c:v>
                </c:pt>
                <c:pt idx="82">
                  <c:v>314.86750635157625</c:v>
                </c:pt>
                <c:pt idx="83">
                  <c:v>311.07392193770181</c:v>
                </c:pt>
                <c:pt idx="84">
                  <c:v>307.37066096225306</c:v>
                </c:pt>
                <c:pt idx="85">
                  <c:v>303.75453553916765</c:v>
                </c:pt>
                <c:pt idx="86">
                  <c:v>300.22250605615415</c:v>
                </c:pt>
                <c:pt idx="87">
                  <c:v>296.77167265320981</c:v>
                </c:pt>
                <c:pt idx="88">
                  <c:v>293.39926728215067</c:v>
                </c:pt>
                <c:pt idx="89">
                  <c:v>290.10264630145235</c:v>
                </c:pt>
                <c:pt idx="90">
                  <c:v>286.87928356476948</c:v>
                </c:pt>
                <c:pt idx="91">
                  <c:v>283.72676396515664</c:v>
                </c:pt>
                <c:pt idx="92">
                  <c:v>280.64277740031798</c:v>
                </c:pt>
                <c:pt idx="93">
                  <c:v>277.99259372905385</c:v>
                </c:pt>
                <c:pt idx="94">
                  <c:v>277.05140177070552</c:v>
                </c:pt>
                <c:pt idx="95">
                  <c:v>276.11769626307222</c:v>
                </c:pt>
                <c:pt idx="96">
                  <c:v>275.19138823664792</c:v>
                </c:pt>
                <c:pt idx="97">
                  <c:v>274.27239012612398</c:v>
                </c:pt>
                <c:pt idx="98">
                  <c:v>273.36061574279483</c:v>
                </c:pt>
                <c:pt idx="99">
                  <c:v>272.45598024761273</c:v>
                </c:pt>
                <c:pt idx="100">
                  <c:v>271.55840012487153</c:v>
                </c:pt>
              </c:numCache>
            </c:numRef>
          </c:val>
          <c:smooth val="0"/>
          <c:extLst>
            <c:ext xmlns:c16="http://schemas.microsoft.com/office/drawing/2014/chart" uri="{C3380CC4-5D6E-409C-BE32-E72D297353CC}">
              <c16:uniqueId val="{00000000-5712-4ACE-99B4-3DA56DE3FEAB}"/>
            </c:ext>
          </c:extLst>
        </c:ser>
        <c:ser>
          <c:idx val="10"/>
          <c:order val="7"/>
          <c:tx>
            <c:v>VIN-nom</c:v>
          </c:tx>
          <c:spPr>
            <a:ln w="28575">
              <a:solidFill>
                <a:srgbClr val="0000FF"/>
              </a:solidFill>
              <a:prstDash val="lgDash"/>
            </a:ln>
          </c:spPr>
          <c:marker>
            <c:symbol val="none"/>
          </c:marker>
          <c:cat>
            <c:numRef>
              <c:f>'Calculations - Dual'!$CC$5:$CC$105</c:f>
              <c:numCache>
                <c:formatCode>General</c:formatCode>
                <c:ptCount val="101"/>
                <c:pt idx="0">
                  <c:v>0</c:v>
                </c:pt>
                <c:pt idx="1">
                  <c:v>1</c:v>
                </c:pt>
                <c:pt idx="2">
                  <c:v>2</c:v>
                </c:pt>
                <c:pt idx="3">
                  <c:v>3</c:v>
                </c:pt>
                <c:pt idx="4">
                  <c:v>4</c:v>
                </c:pt>
                <c:pt idx="5">
                  <c:v>5</c:v>
                </c:pt>
                <c:pt idx="6">
                  <c:v>6</c:v>
                </c:pt>
                <c:pt idx="7">
                  <c:v>7.0000000000000009</c:v>
                </c:pt>
                <c:pt idx="8">
                  <c:v>8</c:v>
                </c:pt>
                <c:pt idx="9">
                  <c:v>9</c:v>
                </c:pt>
                <c:pt idx="10">
                  <c:v>10</c:v>
                </c:pt>
                <c:pt idx="11">
                  <c:v>11</c:v>
                </c:pt>
                <c:pt idx="12">
                  <c:v>12</c:v>
                </c:pt>
                <c:pt idx="13">
                  <c:v>13</c:v>
                </c:pt>
                <c:pt idx="14">
                  <c:v>14.000000000000002</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Dual'!$AM$5:$AM$105</c:f>
              <c:numCache>
                <c:formatCode>0.0</c:formatCode>
                <c:ptCount val="101"/>
                <c:pt idx="0">
                  <c:v>10</c:v>
                </c:pt>
                <c:pt idx="1">
                  <c:v>75.444038412509585</c:v>
                </c:pt>
                <c:pt idx="2">
                  <c:v>150.88807682501917</c:v>
                </c:pt>
                <c:pt idx="3">
                  <c:v>226.33211523752871</c:v>
                </c:pt>
                <c:pt idx="4">
                  <c:v>301.77615365003834</c:v>
                </c:pt>
                <c:pt idx="5">
                  <c:v>350</c:v>
                </c:pt>
                <c:pt idx="6">
                  <c:v>350</c:v>
                </c:pt>
                <c:pt idx="7">
                  <c:v>350</c:v>
                </c:pt>
                <c:pt idx="8">
                  <c:v>350</c:v>
                </c:pt>
                <c:pt idx="9">
                  <c:v>350</c:v>
                </c:pt>
                <c:pt idx="10">
                  <c:v>350</c:v>
                </c:pt>
                <c:pt idx="11">
                  <c:v>350</c:v>
                </c:pt>
                <c:pt idx="12">
                  <c:v>350</c:v>
                </c:pt>
                <c:pt idx="13">
                  <c:v>350</c:v>
                </c:pt>
                <c:pt idx="14">
                  <c:v>350</c:v>
                </c:pt>
                <c:pt idx="15">
                  <c:v>350</c:v>
                </c:pt>
                <c:pt idx="16">
                  <c:v>350</c:v>
                </c:pt>
                <c:pt idx="17">
                  <c:v>350</c:v>
                </c:pt>
                <c:pt idx="18">
                  <c:v>350</c:v>
                </c:pt>
                <c:pt idx="19">
                  <c:v>350</c:v>
                </c:pt>
                <c:pt idx="20">
                  <c:v>350</c:v>
                </c:pt>
                <c:pt idx="21">
                  <c:v>350</c:v>
                </c:pt>
                <c:pt idx="22">
                  <c:v>350</c:v>
                </c:pt>
                <c:pt idx="23">
                  <c:v>350</c:v>
                </c:pt>
                <c:pt idx="24">
                  <c:v>350</c:v>
                </c:pt>
                <c:pt idx="25">
                  <c:v>350</c:v>
                </c:pt>
                <c:pt idx="26">
                  <c:v>350</c:v>
                </c:pt>
                <c:pt idx="27">
                  <c:v>350</c:v>
                </c:pt>
                <c:pt idx="28">
                  <c:v>350</c:v>
                </c:pt>
                <c:pt idx="29">
                  <c:v>350</c:v>
                </c:pt>
                <c:pt idx="30">
                  <c:v>350</c:v>
                </c:pt>
                <c:pt idx="31">
                  <c:v>350</c:v>
                </c:pt>
                <c:pt idx="32">
                  <c:v>350</c:v>
                </c:pt>
                <c:pt idx="33">
                  <c:v>350</c:v>
                </c:pt>
                <c:pt idx="34">
                  <c:v>350</c:v>
                </c:pt>
                <c:pt idx="35">
                  <c:v>350</c:v>
                </c:pt>
                <c:pt idx="36">
                  <c:v>350</c:v>
                </c:pt>
                <c:pt idx="37">
                  <c:v>350</c:v>
                </c:pt>
                <c:pt idx="38">
                  <c:v>350</c:v>
                </c:pt>
                <c:pt idx="39">
                  <c:v>350</c:v>
                </c:pt>
                <c:pt idx="40">
                  <c:v>350</c:v>
                </c:pt>
                <c:pt idx="41">
                  <c:v>350</c:v>
                </c:pt>
                <c:pt idx="42">
                  <c:v>350</c:v>
                </c:pt>
                <c:pt idx="43">
                  <c:v>350</c:v>
                </c:pt>
                <c:pt idx="44">
                  <c:v>350</c:v>
                </c:pt>
                <c:pt idx="45">
                  <c:v>350</c:v>
                </c:pt>
                <c:pt idx="46">
                  <c:v>350</c:v>
                </c:pt>
                <c:pt idx="47">
                  <c:v>350</c:v>
                </c:pt>
                <c:pt idx="48">
                  <c:v>350</c:v>
                </c:pt>
                <c:pt idx="49">
                  <c:v>350</c:v>
                </c:pt>
                <c:pt idx="50">
                  <c:v>350</c:v>
                </c:pt>
                <c:pt idx="51">
                  <c:v>350</c:v>
                </c:pt>
                <c:pt idx="52">
                  <c:v>350</c:v>
                </c:pt>
                <c:pt idx="53">
                  <c:v>350</c:v>
                </c:pt>
                <c:pt idx="54">
                  <c:v>350</c:v>
                </c:pt>
                <c:pt idx="55">
                  <c:v>350</c:v>
                </c:pt>
                <c:pt idx="56">
                  <c:v>350</c:v>
                </c:pt>
                <c:pt idx="57">
                  <c:v>350</c:v>
                </c:pt>
                <c:pt idx="58">
                  <c:v>350</c:v>
                </c:pt>
                <c:pt idx="59">
                  <c:v>350</c:v>
                </c:pt>
                <c:pt idx="60">
                  <c:v>350</c:v>
                </c:pt>
                <c:pt idx="61">
                  <c:v>350</c:v>
                </c:pt>
                <c:pt idx="62">
                  <c:v>350</c:v>
                </c:pt>
                <c:pt idx="63">
                  <c:v>350</c:v>
                </c:pt>
                <c:pt idx="64">
                  <c:v>350</c:v>
                </c:pt>
                <c:pt idx="65">
                  <c:v>350</c:v>
                </c:pt>
                <c:pt idx="66">
                  <c:v>350</c:v>
                </c:pt>
                <c:pt idx="67">
                  <c:v>350</c:v>
                </c:pt>
                <c:pt idx="68">
                  <c:v>350</c:v>
                </c:pt>
                <c:pt idx="69">
                  <c:v>350</c:v>
                </c:pt>
                <c:pt idx="70">
                  <c:v>350</c:v>
                </c:pt>
                <c:pt idx="71">
                  <c:v>350</c:v>
                </c:pt>
                <c:pt idx="72">
                  <c:v>350</c:v>
                </c:pt>
                <c:pt idx="73">
                  <c:v>350</c:v>
                </c:pt>
                <c:pt idx="74">
                  <c:v>350</c:v>
                </c:pt>
                <c:pt idx="75">
                  <c:v>350</c:v>
                </c:pt>
                <c:pt idx="76">
                  <c:v>350</c:v>
                </c:pt>
                <c:pt idx="77">
                  <c:v>350</c:v>
                </c:pt>
                <c:pt idx="78">
                  <c:v>350</c:v>
                </c:pt>
                <c:pt idx="79">
                  <c:v>350</c:v>
                </c:pt>
                <c:pt idx="80">
                  <c:v>350</c:v>
                </c:pt>
                <c:pt idx="81">
                  <c:v>350</c:v>
                </c:pt>
                <c:pt idx="82">
                  <c:v>350</c:v>
                </c:pt>
                <c:pt idx="83">
                  <c:v>350</c:v>
                </c:pt>
                <c:pt idx="84">
                  <c:v>350</c:v>
                </c:pt>
                <c:pt idx="85">
                  <c:v>350</c:v>
                </c:pt>
                <c:pt idx="86">
                  <c:v>350</c:v>
                </c:pt>
                <c:pt idx="87">
                  <c:v>350</c:v>
                </c:pt>
                <c:pt idx="88">
                  <c:v>350</c:v>
                </c:pt>
                <c:pt idx="89">
                  <c:v>350</c:v>
                </c:pt>
                <c:pt idx="90">
                  <c:v>350</c:v>
                </c:pt>
                <c:pt idx="91">
                  <c:v>350</c:v>
                </c:pt>
                <c:pt idx="92">
                  <c:v>350</c:v>
                </c:pt>
                <c:pt idx="93">
                  <c:v>350</c:v>
                </c:pt>
                <c:pt idx="94">
                  <c:v>350</c:v>
                </c:pt>
                <c:pt idx="95">
                  <c:v>350</c:v>
                </c:pt>
                <c:pt idx="96">
                  <c:v>350</c:v>
                </c:pt>
                <c:pt idx="97">
                  <c:v>350</c:v>
                </c:pt>
                <c:pt idx="98">
                  <c:v>350</c:v>
                </c:pt>
                <c:pt idx="99">
                  <c:v>346.9946686846194</c:v>
                </c:pt>
                <c:pt idx="100">
                  <c:v>343.52472199777316</c:v>
                </c:pt>
              </c:numCache>
            </c:numRef>
          </c:val>
          <c:smooth val="0"/>
          <c:extLst>
            <c:ext xmlns:c16="http://schemas.microsoft.com/office/drawing/2014/chart" uri="{C3380CC4-5D6E-409C-BE32-E72D297353CC}">
              <c16:uniqueId val="{00000001-5712-4ACE-99B4-3DA56DE3FEAB}"/>
            </c:ext>
          </c:extLst>
        </c:ser>
        <c:ser>
          <c:idx val="11"/>
          <c:order val="8"/>
          <c:tx>
            <c:v>VIN-max</c:v>
          </c:tx>
          <c:spPr>
            <a:ln>
              <a:solidFill>
                <a:srgbClr val="FF0000"/>
              </a:solidFill>
              <a:prstDash val="solid"/>
            </a:ln>
          </c:spPr>
          <c:marker>
            <c:symbol val="none"/>
          </c:marker>
          <c:cat>
            <c:numRef>
              <c:f>'Calculations - Dual'!$CC$5:$CC$105</c:f>
              <c:numCache>
                <c:formatCode>General</c:formatCode>
                <c:ptCount val="101"/>
                <c:pt idx="0">
                  <c:v>0</c:v>
                </c:pt>
                <c:pt idx="1">
                  <c:v>1</c:v>
                </c:pt>
                <c:pt idx="2">
                  <c:v>2</c:v>
                </c:pt>
                <c:pt idx="3">
                  <c:v>3</c:v>
                </c:pt>
                <c:pt idx="4">
                  <c:v>4</c:v>
                </c:pt>
                <c:pt idx="5">
                  <c:v>5</c:v>
                </c:pt>
                <c:pt idx="6">
                  <c:v>6</c:v>
                </c:pt>
                <c:pt idx="7">
                  <c:v>7.0000000000000009</c:v>
                </c:pt>
                <c:pt idx="8">
                  <c:v>8</c:v>
                </c:pt>
                <c:pt idx="9">
                  <c:v>9</c:v>
                </c:pt>
                <c:pt idx="10">
                  <c:v>10</c:v>
                </c:pt>
                <c:pt idx="11">
                  <c:v>11</c:v>
                </c:pt>
                <c:pt idx="12">
                  <c:v>12</c:v>
                </c:pt>
                <c:pt idx="13">
                  <c:v>13</c:v>
                </c:pt>
                <c:pt idx="14">
                  <c:v>14.000000000000002</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Dual'!$AM$218:$AM$318</c:f>
              <c:numCache>
                <c:formatCode>0.0</c:formatCode>
                <c:ptCount val="101"/>
                <c:pt idx="0">
                  <c:v>10</c:v>
                </c:pt>
                <c:pt idx="1">
                  <c:v>75.444038412509585</c:v>
                </c:pt>
                <c:pt idx="2">
                  <c:v>150.88807682501917</c:v>
                </c:pt>
                <c:pt idx="3">
                  <c:v>226.33211523752871</c:v>
                </c:pt>
                <c:pt idx="4">
                  <c:v>301.77615365003834</c:v>
                </c:pt>
                <c:pt idx="5">
                  <c:v>350</c:v>
                </c:pt>
                <c:pt idx="6">
                  <c:v>350</c:v>
                </c:pt>
                <c:pt idx="7">
                  <c:v>350</c:v>
                </c:pt>
                <c:pt idx="8">
                  <c:v>350</c:v>
                </c:pt>
                <c:pt idx="9">
                  <c:v>350</c:v>
                </c:pt>
                <c:pt idx="10">
                  <c:v>350</c:v>
                </c:pt>
                <c:pt idx="11">
                  <c:v>350</c:v>
                </c:pt>
                <c:pt idx="12">
                  <c:v>350</c:v>
                </c:pt>
                <c:pt idx="13">
                  <c:v>350</c:v>
                </c:pt>
                <c:pt idx="14">
                  <c:v>350</c:v>
                </c:pt>
                <c:pt idx="15">
                  <c:v>350</c:v>
                </c:pt>
                <c:pt idx="16">
                  <c:v>350</c:v>
                </c:pt>
                <c:pt idx="17">
                  <c:v>350</c:v>
                </c:pt>
                <c:pt idx="18">
                  <c:v>350</c:v>
                </c:pt>
                <c:pt idx="19">
                  <c:v>350</c:v>
                </c:pt>
                <c:pt idx="20">
                  <c:v>350</c:v>
                </c:pt>
                <c:pt idx="21">
                  <c:v>350</c:v>
                </c:pt>
                <c:pt idx="22">
                  <c:v>350</c:v>
                </c:pt>
                <c:pt idx="23">
                  <c:v>350</c:v>
                </c:pt>
                <c:pt idx="24">
                  <c:v>350</c:v>
                </c:pt>
                <c:pt idx="25">
                  <c:v>350</c:v>
                </c:pt>
                <c:pt idx="26">
                  <c:v>350</c:v>
                </c:pt>
                <c:pt idx="27">
                  <c:v>350</c:v>
                </c:pt>
                <c:pt idx="28">
                  <c:v>350</c:v>
                </c:pt>
                <c:pt idx="29">
                  <c:v>350</c:v>
                </c:pt>
                <c:pt idx="30">
                  <c:v>350</c:v>
                </c:pt>
                <c:pt idx="31">
                  <c:v>350</c:v>
                </c:pt>
                <c:pt idx="32">
                  <c:v>350</c:v>
                </c:pt>
                <c:pt idx="33">
                  <c:v>350</c:v>
                </c:pt>
                <c:pt idx="34">
                  <c:v>350</c:v>
                </c:pt>
                <c:pt idx="35">
                  <c:v>350</c:v>
                </c:pt>
                <c:pt idx="36">
                  <c:v>350</c:v>
                </c:pt>
                <c:pt idx="37">
                  <c:v>350</c:v>
                </c:pt>
                <c:pt idx="38">
                  <c:v>350</c:v>
                </c:pt>
                <c:pt idx="39">
                  <c:v>350</c:v>
                </c:pt>
                <c:pt idx="40">
                  <c:v>350</c:v>
                </c:pt>
                <c:pt idx="41">
                  <c:v>350</c:v>
                </c:pt>
                <c:pt idx="42">
                  <c:v>350</c:v>
                </c:pt>
                <c:pt idx="43">
                  <c:v>350</c:v>
                </c:pt>
                <c:pt idx="44">
                  <c:v>350</c:v>
                </c:pt>
                <c:pt idx="45">
                  <c:v>350</c:v>
                </c:pt>
                <c:pt idx="46">
                  <c:v>350</c:v>
                </c:pt>
                <c:pt idx="47">
                  <c:v>350</c:v>
                </c:pt>
                <c:pt idx="48">
                  <c:v>350</c:v>
                </c:pt>
                <c:pt idx="49">
                  <c:v>350</c:v>
                </c:pt>
                <c:pt idx="50">
                  <c:v>350</c:v>
                </c:pt>
                <c:pt idx="51">
                  <c:v>350</c:v>
                </c:pt>
                <c:pt idx="52">
                  <c:v>350</c:v>
                </c:pt>
                <c:pt idx="53">
                  <c:v>350</c:v>
                </c:pt>
                <c:pt idx="54">
                  <c:v>350</c:v>
                </c:pt>
                <c:pt idx="55">
                  <c:v>350</c:v>
                </c:pt>
                <c:pt idx="56">
                  <c:v>350</c:v>
                </c:pt>
                <c:pt idx="57">
                  <c:v>350</c:v>
                </c:pt>
                <c:pt idx="58">
                  <c:v>350</c:v>
                </c:pt>
                <c:pt idx="59">
                  <c:v>350</c:v>
                </c:pt>
                <c:pt idx="60">
                  <c:v>350</c:v>
                </c:pt>
                <c:pt idx="61">
                  <c:v>350</c:v>
                </c:pt>
                <c:pt idx="62">
                  <c:v>350</c:v>
                </c:pt>
                <c:pt idx="63">
                  <c:v>350</c:v>
                </c:pt>
                <c:pt idx="64">
                  <c:v>350</c:v>
                </c:pt>
                <c:pt idx="65">
                  <c:v>350</c:v>
                </c:pt>
                <c:pt idx="66">
                  <c:v>350</c:v>
                </c:pt>
                <c:pt idx="67">
                  <c:v>350</c:v>
                </c:pt>
                <c:pt idx="68">
                  <c:v>350</c:v>
                </c:pt>
                <c:pt idx="69">
                  <c:v>350</c:v>
                </c:pt>
                <c:pt idx="70">
                  <c:v>350</c:v>
                </c:pt>
                <c:pt idx="71">
                  <c:v>350</c:v>
                </c:pt>
                <c:pt idx="72">
                  <c:v>350</c:v>
                </c:pt>
                <c:pt idx="73">
                  <c:v>350</c:v>
                </c:pt>
                <c:pt idx="74">
                  <c:v>350</c:v>
                </c:pt>
                <c:pt idx="75">
                  <c:v>350</c:v>
                </c:pt>
                <c:pt idx="76">
                  <c:v>350</c:v>
                </c:pt>
                <c:pt idx="77">
                  <c:v>350</c:v>
                </c:pt>
                <c:pt idx="78">
                  <c:v>350</c:v>
                </c:pt>
                <c:pt idx="79">
                  <c:v>350</c:v>
                </c:pt>
                <c:pt idx="80">
                  <c:v>350</c:v>
                </c:pt>
                <c:pt idx="81">
                  <c:v>350</c:v>
                </c:pt>
                <c:pt idx="82">
                  <c:v>350</c:v>
                </c:pt>
                <c:pt idx="83">
                  <c:v>350</c:v>
                </c:pt>
                <c:pt idx="84">
                  <c:v>350</c:v>
                </c:pt>
                <c:pt idx="85">
                  <c:v>350</c:v>
                </c:pt>
                <c:pt idx="86">
                  <c:v>350</c:v>
                </c:pt>
                <c:pt idx="87">
                  <c:v>350</c:v>
                </c:pt>
                <c:pt idx="88">
                  <c:v>350</c:v>
                </c:pt>
                <c:pt idx="89">
                  <c:v>350</c:v>
                </c:pt>
                <c:pt idx="90">
                  <c:v>350</c:v>
                </c:pt>
                <c:pt idx="91">
                  <c:v>350</c:v>
                </c:pt>
                <c:pt idx="92">
                  <c:v>350</c:v>
                </c:pt>
                <c:pt idx="93">
                  <c:v>350</c:v>
                </c:pt>
                <c:pt idx="94">
                  <c:v>350</c:v>
                </c:pt>
                <c:pt idx="95">
                  <c:v>350</c:v>
                </c:pt>
                <c:pt idx="96">
                  <c:v>350</c:v>
                </c:pt>
                <c:pt idx="97">
                  <c:v>350</c:v>
                </c:pt>
                <c:pt idx="98">
                  <c:v>350</c:v>
                </c:pt>
                <c:pt idx="99">
                  <c:v>350</c:v>
                </c:pt>
                <c:pt idx="100">
                  <c:v>350</c:v>
                </c:pt>
              </c:numCache>
            </c:numRef>
          </c:val>
          <c:smooth val="0"/>
          <c:extLst>
            <c:ext xmlns:c16="http://schemas.microsoft.com/office/drawing/2014/chart" uri="{C3380CC4-5D6E-409C-BE32-E72D297353CC}">
              <c16:uniqueId val="{00000002-5712-4ACE-99B4-3DA56DE3FEAB}"/>
            </c:ext>
          </c:extLst>
        </c:ser>
        <c:ser>
          <c:idx val="12"/>
          <c:order val="9"/>
          <c:spPr>
            <a:ln>
              <a:noFill/>
            </a:ln>
          </c:spPr>
          <c:marker>
            <c:symbol val="none"/>
          </c:marker>
          <c:cat>
            <c:numRef>
              <c:f>'Calculations - Dual'!$CC$5:$CC$105</c:f>
              <c:numCache>
                <c:formatCode>General</c:formatCode>
                <c:ptCount val="101"/>
                <c:pt idx="0">
                  <c:v>0</c:v>
                </c:pt>
                <c:pt idx="1">
                  <c:v>1</c:v>
                </c:pt>
                <c:pt idx="2">
                  <c:v>2</c:v>
                </c:pt>
                <c:pt idx="3">
                  <c:v>3</c:v>
                </c:pt>
                <c:pt idx="4">
                  <c:v>4</c:v>
                </c:pt>
                <c:pt idx="5">
                  <c:v>5</c:v>
                </c:pt>
                <c:pt idx="6">
                  <c:v>6</c:v>
                </c:pt>
                <c:pt idx="7">
                  <c:v>7.0000000000000009</c:v>
                </c:pt>
                <c:pt idx="8">
                  <c:v>8</c:v>
                </c:pt>
                <c:pt idx="9">
                  <c:v>9</c:v>
                </c:pt>
                <c:pt idx="10">
                  <c:v>10</c:v>
                </c:pt>
                <c:pt idx="11">
                  <c:v>11</c:v>
                </c:pt>
                <c:pt idx="12">
                  <c:v>12</c:v>
                </c:pt>
                <c:pt idx="13">
                  <c:v>13</c:v>
                </c:pt>
                <c:pt idx="14">
                  <c:v>14.000000000000002</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Dual'!$CE$110:$CE$210</c:f>
              <c:numCache>
                <c:formatCode>General</c:formatCode>
                <c:ptCount val="10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277.99259372905385</c:v>
                </c:pt>
                <c:pt idx="94">
                  <c:v>-50</c:v>
                </c:pt>
                <c:pt idx="95">
                  <c:v>-50</c:v>
                </c:pt>
                <c:pt idx="96">
                  <c:v>-50</c:v>
                </c:pt>
                <c:pt idx="97">
                  <c:v>-50</c:v>
                </c:pt>
                <c:pt idx="98">
                  <c:v>-50</c:v>
                </c:pt>
                <c:pt idx="99">
                  <c:v>-50</c:v>
                </c:pt>
                <c:pt idx="100">
                  <c:v>-50</c:v>
                </c:pt>
              </c:numCache>
            </c:numRef>
          </c:val>
          <c:smooth val="0"/>
          <c:extLst>
            <c:ext xmlns:c16="http://schemas.microsoft.com/office/drawing/2014/chart" uri="{C3380CC4-5D6E-409C-BE32-E72D297353CC}">
              <c16:uniqueId val="{00000003-5712-4ACE-99B4-3DA56DE3FEAB}"/>
            </c:ext>
          </c:extLst>
        </c:ser>
        <c:ser>
          <c:idx val="13"/>
          <c:order val="10"/>
          <c:spPr>
            <a:ln>
              <a:noFill/>
            </a:ln>
          </c:spPr>
          <c:marker>
            <c:symbol val="none"/>
          </c:marker>
          <c:cat>
            <c:numRef>
              <c:f>'Calculations - Dual'!$CC$5:$CC$105</c:f>
              <c:numCache>
                <c:formatCode>General</c:formatCode>
                <c:ptCount val="101"/>
                <c:pt idx="0">
                  <c:v>0</c:v>
                </c:pt>
                <c:pt idx="1">
                  <c:v>1</c:v>
                </c:pt>
                <c:pt idx="2">
                  <c:v>2</c:v>
                </c:pt>
                <c:pt idx="3">
                  <c:v>3</c:v>
                </c:pt>
                <c:pt idx="4">
                  <c:v>4</c:v>
                </c:pt>
                <c:pt idx="5">
                  <c:v>5</c:v>
                </c:pt>
                <c:pt idx="6">
                  <c:v>6</c:v>
                </c:pt>
                <c:pt idx="7">
                  <c:v>7.0000000000000009</c:v>
                </c:pt>
                <c:pt idx="8">
                  <c:v>8</c:v>
                </c:pt>
                <c:pt idx="9">
                  <c:v>9</c:v>
                </c:pt>
                <c:pt idx="10">
                  <c:v>10</c:v>
                </c:pt>
                <c:pt idx="11">
                  <c:v>11</c:v>
                </c:pt>
                <c:pt idx="12">
                  <c:v>12</c:v>
                </c:pt>
                <c:pt idx="13">
                  <c:v>13</c:v>
                </c:pt>
                <c:pt idx="14">
                  <c:v>14.000000000000002</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Dual'!$CE$5:$CE$105</c:f>
              <c:numCache>
                <c:formatCode>General</c:formatCode>
                <c:ptCount val="10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numCache>
            </c:numRef>
          </c:val>
          <c:smooth val="0"/>
          <c:extLst>
            <c:ext xmlns:c16="http://schemas.microsoft.com/office/drawing/2014/chart" uri="{C3380CC4-5D6E-409C-BE32-E72D297353CC}">
              <c16:uniqueId val="{00000004-5712-4ACE-99B4-3DA56DE3FEAB}"/>
            </c:ext>
          </c:extLst>
        </c:ser>
        <c:ser>
          <c:idx val="14"/>
          <c:order val="11"/>
          <c:spPr>
            <a:ln>
              <a:noFill/>
            </a:ln>
          </c:spPr>
          <c:marker>
            <c:symbol val="none"/>
          </c:marker>
          <c:cat>
            <c:numRef>
              <c:f>'Calculations - Dual'!$CC$5:$CC$105</c:f>
              <c:numCache>
                <c:formatCode>General</c:formatCode>
                <c:ptCount val="101"/>
                <c:pt idx="0">
                  <c:v>0</c:v>
                </c:pt>
                <c:pt idx="1">
                  <c:v>1</c:v>
                </c:pt>
                <c:pt idx="2">
                  <c:v>2</c:v>
                </c:pt>
                <c:pt idx="3">
                  <c:v>3</c:v>
                </c:pt>
                <c:pt idx="4">
                  <c:v>4</c:v>
                </c:pt>
                <c:pt idx="5">
                  <c:v>5</c:v>
                </c:pt>
                <c:pt idx="6">
                  <c:v>6</c:v>
                </c:pt>
                <c:pt idx="7">
                  <c:v>7.0000000000000009</c:v>
                </c:pt>
                <c:pt idx="8">
                  <c:v>8</c:v>
                </c:pt>
                <c:pt idx="9">
                  <c:v>9</c:v>
                </c:pt>
                <c:pt idx="10">
                  <c:v>10</c:v>
                </c:pt>
                <c:pt idx="11">
                  <c:v>11</c:v>
                </c:pt>
                <c:pt idx="12">
                  <c:v>12</c:v>
                </c:pt>
                <c:pt idx="13">
                  <c:v>13</c:v>
                </c:pt>
                <c:pt idx="14">
                  <c:v>14.000000000000002</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Dual'!$CE$218:$CE$318</c:f>
              <c:numCache>
                <c:formatCode>General</c:formatCode>
                <c:ptCount val="10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numCache>
            </c:numRef>
          </c:val>
          <c:smooth val="0"/>
          <c:extLst>
            <c:ext xmlns:c16="http://schemas.microsoft.com/office/drawing/2014/chart" uri="{C3380CC4-5D6E-409C-BE32-E72D297353CC}">
              <c16:uniqueId val="{00000005-5712-4ACE-99B4-3DA56DE3FEAB}"/>
            </c:ext>
          </c:extLst>
        </c:ser>
        <c:ser>
          <c:idx val="1"/>
          <c:order val="0"/>
          <c:tx>
            <c:v>VIN-min</c:v>
          </c:tx>
          <c:spPr>
            <a:ln>
              <a:solidFill>
                <a:srgbClr val="00B050"/>
              </a:solidFill>
              <a:prstDash val="sysDash"/>
            </a:ln>
          </c:spPr>
          <c:marker>
            <c:symbol val="none"/>
          </c:marker>
          <c:cat>
            <c:numRef>
              <c:f>'Calculations - Dual'!$CC$5:$CC$105</c:f>
              <c:numCache>
                <c:formatCode>General</c:formatCode>
                <c:ptCount val="101"/>
                <c:pt idx="0">
                  <c:v>0</c:v>
                </c:pt>
                <c:pt idx="1">
                  <c:v>1</c:v>
                </c:pt>
                <c:pt idx="2">
                  <c:v>2</c:v>
                </c:pt>
                <c:pt idx="3">
                  <c:v>3</c:v>
                </c:pt>
                <c:pt idx="4">
                  <c:v>4</c:v>
                </c:pt>
                <c:pt idx="5">
                  <c:v>5</c:v>
                </c:pt>
                <c:pt idx="6">
                  <c:v>6</c:v>
                </c:pt>
                <c:pt idx="7">
                  <c:v>7.0000000000000009</c:v>
                </c:pt>
                <c:pt idx="8">
                  <c:v>8</c:v>
                </c:pt>
                <c:pt idx="9">
                  <c:v>9</c:v>
                </c:pt>
                <c:pt idx="10">
                  <c:v>10</c:v>
                </c:pt>
                <c:pt idx="11">
                  <c:v>11</c:v>
                </c:pt>
                <c:pt idx="12">
                  <c:v>12</c:v>
                </c:pt>
                <c:pt idx="13">
                  <c:v>13</c:v>
                </c:pt>
                <c:pt idx="14">
                  <c:v>14.000000000000002</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Dual'!$AM$110:$AM$210</c:f>
              <c:numCache>
                <c:formatCode>0.0</c:formatCode>
                <c:ptCount val="101"/>
                <c:pt idx="0">
                  <c:v>10</c:v>
                </c:pt>
                <c:pt idx="1">
                  <c:v>75.444038412509585</c:v>
                </c:pt>
                <c:pt idx="2">
                  <c:v>150.88807682501917</c:v>
                </c:pt>
                <c:pt idx="3">
                  <c:v>226.33211523752871</c:v>
                </c:pt>
                <c:pt idx="4">
                  <c:v>301.77615365003834</c:v>
                </c:pt>
                <c:pt idx="5">
                  <c:v>350</c:v>
                </c:pt>
                <c:pt idx="6">
                  <c:v>350</c:v>
                </c:pt>
                <c:pt idx="7">
                  <c:v>350</c:v>
                </c:pt>
                <c:pt idx="8">
                  <c:v>350</c:v>
                </c:pt>
                <c:pt idx="9">
                  <c:v>350</c:v>
                </c:pt>
                <c:pt idx="10">
                  <c:v>350</c:v>
                </c:pt>
                <c:pt idx="11">
                  <c:v>350</c:v>
                </c:pt>
                <c:pt idx="12">
                  <c:v>350</c:v>
                </c:pt>
                <c:pt idx="13">
                  <c:v>350</c:v>
                </c:pt>
                <c:pt idx="14">
                  <c:v>350</c:v>
                </c:pt>
                <c:pt idx="15">
                  <c:v>350</c:v>
                </c:pt>
                <c:pt idx="16">
                  <c:v>350</c:v>
                </c:pt>
                <c:pt idx="17">
                  <c:v>350</c:v>
                </c:pt>
                <c:pt idx="18">
                  <c:v>350</c:v>
                </c:pt>
                <c:pt idx="19">
                  <c:v>350</c:v>
                </c:pt>
                <c:pt idx="20">
                  <c:v>350</c:v>
                </c:pt>
                <c:pt idx="21">
                  <c:v>350</c:v>
                </c:pt>
                <c:pt idx="22">
                  <c:v>350</c:v>
                </c:pt>
                <c:pt idx="23">
                  <c:v>350</c:v>
                </c:pt>
                <c:pt idx="24">
                  <c:v>350</c:v>
                </c:pt>
                <c:pt idx="25">
                  <c:v>350</c:v>
                </c:pt>
                <c:pt idx="26">
                  <c:v>350</c:v>
                </c:pt>
                <c:pt idx="27">
                  <c:v>350</c:v>
                </c:pt>
                <c:pt idx="28">
                  <c:v>350</c:v>
                </c:pt>
                <c:pt idx="29">
                  <c:v>350</c:v>
                </c:pt>
                <c:pt idx="30">
                  <c:v>350</c:v>
                </c:pt>
                <c:pt idx="31">
                  <c:v>350</c:v>
                </c:pt>
                <c:pt idx="32">
                  <c:v>350</c:v>
                </c:pt>
                <c:pt idx="33">
                  <c:v>350</c:v>
                </c:pt>
                <c:pt idx="34">
                  <c:v>350</c:v>
                </c:pt>
                <c:pt idx="35">
                  <c:v>350</c:v>
                </c:pt>
                <c:pt idx="36">
                  <c:v>350</c:v>
                </c:pt>
                <c:pt idx="37">
                  <c:v>350</c:v>
                </c:pt>
                <c:pt idx="38">
                  <c:v>350</c:v>
                </c:pt>
                <c:pt idx="39">
                  <c:v>350</c:v>
                </c:pt>
                <c:pt idx="40">
                  <c:v>350</c:v>
                </c:pt>
                <c:pt idx="41">
                  <c:v>350</c:v>
                </c:pt>
                <c:pt idx="42">
                  <c:v>350</c:v>
                </c:pt>
                <c:pt idx="43">
                  <c:v>350</c:v>
                </c:pt>
                <c:pt idx="44">
                  <c:v>350</c:v>
                </c:pt>
                <c:pt idx="45">
                  <c:v>350</c:v>
                </c:pt>
                <c:pt idx="46">
                  <c:v>350</c:v>
                </c:pt>
                <c:pt idx="47">
                  <c:v>350</c:v>
                </c:pt>
                <c:pt idx="48">
                  <c:v>350</c:v>
                </c:pt>
                <c:pt idx="49">
                  <c:v>350</c:v>
                </c:pt>
                <c:pt idx="50">
                  <c:v>350</c:v>
                </c:pt>
                <c:pt idx="51">
                  <c:v>350</c:v>
                </c:pt>
                <c:pt idx="52">
                  <c:v>350</c:v>
                </c:pt>
                <c:pt idx="53">
                  <c:v>350</c:v>
                </c:pt>
                <c:pt idx="54">
                  <c:v>350</c:v>
                </c:pt>
                <c:pt idx="55">
                  <c:v>350</c:v>
                </c:pt>
                <c:pt idx="56">
                  <c:v>350</c:v>
                </c:pt>
                <c:pt idx="57">
                  <c:v>350</c:v>
                </c:pt>
                <c:pt idx="58">
                  <c:v>350</c:v>
                </c:pt>
                <c:pt idx="59">
                  <c:v>350</c:v>
                </c:pt>
                <c:pt idx="60">
                  <c:v>350</c:v>
                </c:pt>
                <c:pt idx="61">
                  <c:v>350</c:v>
                </c:pt>
                <c:pt idx="62">
                  <c:v>350</c:v>
                </c:pt>
                <c:pt idx="63">
                  <c:v>350</c:v>
                </c:pt>
                <c:pt idx="64">
                  <c:v>350</c:v>
                </c:pt>
                <c:pt idx="65">
                  <c:v>350</c:v>
                </c:pt>
                <c:pt idx="66">
                  <c:v>350</c:v>
                </c:pt>
                <c:pt idx="67">
                  <c:v>350</c:v>
                </c:pt>
                <c:pt idx="68">
                  <c:v>350</c:v>
                </c:pt>
                <c:pt idx="69">
                  <c:v>350</c:v>
                </c:pt>
                <c:pt idx="70">
                  <c:v>350</c:v>
                </c:pt>
                <c:pt idx="71">
                  <c:v>350</c:v>
                </c:pt>
                <c:pt idx="72">
                  <c:v>350</c:v>
                </c:pt>
                <c:pt idx="73">
                  <c:v>350</c:v>
                </c:pt>
                <c:pt idx="74">
                  <c:v>348.90723676796284</c:v>
                </c:pt>
                <c:pt idx="75">
                  <c:v>344.2551402777234</c:v>
                </c:pt>
                <c:pt idx="76">
                  <c:v>339.72546737933231</c:v>
                </c:pt>
                <c:pt idx="77">
                  <c:v>335.31344832245782</c:v>
                </c:pt>
                <c:pt idx="78">
                  <c:v>331.01455795934936</c:v>
                </c:pt>
                <c:pt idx="79">
                  <c:v>326.82450026366138</c:v>
                </c:pt>
                <c:pt idx="80">
                  <c:v>322.73919401036568</c:v>
                </c:pt>
                <c:pt idx="81">
                  <c:v>318.7547595164105</c:v>
                </c:pt>
                <c:pt idx="82">
                  <c:v>314.86750635157625</c:v>
                </c:pt>
                <c:pt idx="83">
                  <c:v>311.07392193770181</c:v>
                </c:pt>
                <c:pt idx="84">
                  <c:v>307.37066096225306</c:v>
                </c:pt>
                <c:pt idx="85">
                  <c:v>303.75453553916765</c:v>
                </c:pt>
                <c:pt idx="86">
                  <c:v>300.22250605615415</c:v>
                </c:pt>
                <c:pt idx="87">
                  <c:v>296.77167265320981</c:v>
                </c:pt>
                <c:pt idx="88">
                  <c:v>293.39926728215067</c:v>
                </c:pt>
                <c:pt idx="89">
                  <c:v>290.10264630145235</c:v>
                </c:pt>
                <c:pt idx="90">
                  <c:v>286.87928356476948</c:v>
                </c:pt>
                <c:pt idx="91">
                  <c:v>283.72676396515664</c:v>
                </c:pt>
                <c:pt idx="92">
                  <c:v>280.64277740031798</c:v>
                </c:pt>
                <c:pt idx="93">
                  <c:v>277.99259372905385</c:v>
                </c:pt>
                <c:pt idx="94">
                  <c:v>277.05140177070552</c:v>
                </c:pt>
                <c:pt idx="95">
                  <c:v>276.11769626307222</c:v>
                </c:pt>
                <c:pt idx="96">
                  <c:v>275.19138823664792</c:v>
                </c:pt>
                <c:pt idx="97">
                  <c:v>274.27239012612398</c:v>
                </c:pt>
                <c:pt idx="98">
                  <c:v>273.36061574279483</c:v>
                </c:pt>
                <c:pt idx="99">
                  <c:v>272.45598024761273</c:v>
                </c:pt>
                <c:pt idx="100">
                  <c:v>271.55840012487153</c:v>
                </c:pt>
              </c:numCache>
            </c:numRef>
          </c:val>
          <c:smooth val="0"/>
          <c:extLst>
            <c:ext xmlns:c16="http://schemas.microsoft.com/office/drawing/2014/chart" uri="{C3380CC4-5D6E-409C-BE32-E72D297353CC}">
              <c16:uniqueId val="{00000006-5712-4ACE-99B4-3DA56DE3FEAB}"/>
            </c:ext>
          </c:extLst>
        </c:ser>
        <c:ser>
          <c:idx val="0"/>
          <c:order val="1"/>
          <c:tx>
            <c:v>VIN-nom</c:v>
          </c:tx>
          <c:spPr>
            <a:ln w="28575">
              <a:solidFill>
                <a:srgbClr val="0000FF"/>
              </a:solidFill>
              <a:prstDash val="lgDash"/>
            </a:ln>
          </c:spPr>
          <c:marker>
            <c:symbol val="none"/>
          </c:marker>
          <c:cat>
            <c:numRef>
              <c:f>'Calculations - Dual'!$CC$5:$CC$105</c:f>
              <c:numCache>
                <c:formatCode>General</c:formatCode>
                <c:ptCount val="101"/>
                <c:pt idx="0">
                  <c:v>0</c:v>
                </c:pt>
                <c:pt idx="1">
                  <c:v>1</c:v>
                </c:pt>
                <c:pt idx="2">
                  <c:v>2</c:v>
                </c:pt>
                <c:pt idx="3">
                  <c:v>3</c:v>
                </c:pt>
                <c:pt idx="4">
                  <c:v>4</c:v>
                </c:pt>
                <c:pt idx="5">
                  <c:v>5</c:v>
                </c:pt>
                <c:pt idx="6">
                  <c:v>6</c:v>
                </c:pt>
                <c:pt idx="7">
                  <c:v>7.0000000000000009</c:v>
                </c:pt>
                <c:pt idx="8">
                  <c:v>8</c:v>
                </c:pt>
                <c:pt idx="9">
                  <c:v>9</c:v>
                </c:pt>
                <c:pt idx="10">
                  <c:v>10</c:v>
                </c:pt>
                <c:pt idx="11">
                  <c:v>11</c:v>
                </c:pt>
                <c:pt idx="12">
                  <c:v>12</c:v>
                </c:pt>
                <c:pt idx="13">
                  <c:v>13</c:v>
                </c:pt>
                <c:pt idx="14">
                  <c:v>14.000000000000002</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Dual'!$AM$5:$AM$105</c:f>
              <c:numCache>
                <c:formatCode>0.0</c:formatCode>
                <c:ptCount val="101"/>
                <c:pt idx="0">
                  <c:v>10</c:v>
                </c:pt>
                <c:pt idx="1">
                  <c:v>75.444038412509585</c:v>
                </c:pt>
                <c:pt idx="2">
                  <c:v>150.88807682501917</c:v>
                </c:pt>
                <c:pt idx="3">
                  <c:v>226.33211523752871</c:v>
                </c:pt>
                <c:pt idx="4">
                  <c:v>301.77615365003834</c:v>
                </c:pt>
                <c:pt idx="5">
                  <c:v>350</c:v>
                </c:pt>
                <c:pt idx="6">
                  <c:v>350</c:v>
                </c:pt>
                <c:pt idx="7">
                  <c:v>350</c:v>
                </c:pt>
                <c:pt idx="8">
                  <c:v>350</c:v>
                </c:pt>
                <c:pt idx="9">
                  <c:v>350</c:v>
                </c:pt>
                <c:pt idx="10">
                  <c:v>350</c:v>
                </c:pt>
                <c:pt idx="11">
                  <c:v>350</c:v>
                </c:pt>
                <c:pt idx="12">
                  <c:v>350</c:v>
                </c:pt>
                <c:pt idx="13">
                  <c:v>350</c:v>
                </c:pt>
                <c:pt idx="14">
                  <c:v>350</c:v>
                </c:pt>
                <c:pt idx="15">
                  <c:v>350</c:v>
                </c:pt>
                <c:pt idx="16">
                  <c:v>350</c:v>
                </c:pt>
                <c:pt idx="17">
                  <c:v>350</c:v>
                </c:pt>
                <c:pt idx="18">
                  <c:v>350</c:v>
                </c:pt>
                <c:pt idx="19">
                  <c:v>350</c:v>
                </c:pt>
                <c:pt idx="20">
                  <c:v>350</c:v>
                </c:pt>
                <c:pt idx="21">
                  <c:v>350</c:v>
                </c:pt>
                <c:pt idx="22">
                  <c:v>350</c:v>
                </c:pt>
                <c:pt idx="23">
                  <c:v>350</c:v>
                </c:pt>
                <c:pt idx="24">
                  <c:v>350</c:v>
                </c:pt>
                <c:pt idx="25">
                  <c:v>350</c:v>
                </c:pt>
                <c:pt idx="26">
                  <c:v>350</c:v>
                </c:pt>
                <c:pt idx="27">
                  <c:v>350</c:v>
                </c:pt>
                <c:pt idx="28">
                  <c:v>350</c:v>
                </c:pt>
                <c:pt idx="29">
                  <c:v>350</c:v>
                </c:pt>
                <c:pt idx="30">
                  <c:v>350</c:v>
                </c:pt>
                <c:pt idx="31">
                  <c:v>350</c:v>
                </c:pt>
                <c:pt idx="32">
                  <c:v>350</c:v>
                </c:pt>
                <c:pt idx="33">
                  <c:v>350</c:v>
                </c:pt>
                <c:pt idx="34">
                  <c:v>350</c:v>
                </c:pt>
                <c:pt idx="35">
                  <c:v>350</c:v>
                </c:pt>
                <c:pt idx="36">
                  <c:v>350</c:v>
                </c:pt>
                <c:pt idx="37">
                  <c:v>350</c:v>
                </c:pt>
                <c:pt idx="38">
                  <c:v>350</c:v>
                </c:pt>
                <c:pt idx="39">
                  <c:v>350</c:v>
                </c:pt>
                <c:pt idx="40">
                  <c:v>350</c:v>
                </c:pt>
                <c:pt idx="41">
                  <c:v>350</c:v>
                </c:pt>
                <c:pt idx="42">
                  <c:v>350</c:v>
                </c:pt>
                <c:pt idx="43">
                  <c:v>350</c:v>
                </c:pt>
                <c:pt idx="44">
                  <c:v>350</c:v>
                </c:pt>
                <c:pt idx="45">
                  <c:v>350</c:v>
                </c:pt>
                <c:pt idx="46">
                  <c:v>350</c:v>
                </c:pt>
                <c:pt idx="47">
                  <c:v>350</c:v>
                </c:pt>
                <c:pt idx="48">
                  <c:v>350</c:v>
                </c:pt>
                <c:pt idx="49">
                  <c:v>350</c:v>
                </c:pt>
                <c:pt idx="50">
                  <c:v>350</c:v>
                </c:pt>
                <c:pt idx="51">
                  <c:v>350</c:v>
                </c:pt>
                <c:pt idx="52">
                  <c:v>350</c:v>
                </c:pt>
                <c:pt idx="53">
                  <c:v>350</c:v>
                </c:pt>
                <c:pt idx="54">
                  <c:v>350</c:v>
                </c:pt>
                <c:pt idx="55">
                  <c:v>350</c:v>
                </c:pt>
                <c:pt idx="56">
                  <c:v>350</c:v>
                </c:pt>
                <c:pt idx="57">
                  <c:v>350</c:v>
                </c:pt>
                <c:pt idx="58">
                  <c:v>350</c:v>
                </c:pt>
                <c:pt idx="59">
                  <c:v>350</c:v>
                </c:pt>
                <c:pt idx="60">
                  <c:v>350</c:v>
                </c:pt>
                <c:pt idx="61">
                  <c:v>350</c:v>
                </c:pt>
                <c:pt idx="62">
                  <c:v>350</c:v>
                </c:pt>
                <c:pt idx="63">
                  <c:v>350</c:v>
                </c:pt>
                <c:pt idx="64">
                  <c:v>350</c:v>
                </c:pt>
                <c:pt idx="65">
                  <c:v>350</c:v>
                </c:pt>
                <c:pt idx="66">
                  <c:v>350</c:v>
                </c:pt>
                <c:pt idx="67">
                  <c:v>350</c:v>
                </c:pt>
                <c:pt idx="68">
                  <c:v>350</c:v>
                </c:pt>
                <c:pt idx="69">
                  <c:v>350</c:v>
                </c:pt>
                <c:pt idx="70">
                  <c:v>350</c:v>
                </c:pt>
                <c:pt idx="71">
                  <c:v>350</c:v>
                </c:pt>
                <c:pt idx="72">
                  <c:v>350</c:v>
                </c:pt>
                <c:pt idx="73">
                  <c:v>350</c:v>
                </c:pt>
                <c:pt idx="74">
                  <c:v>350</c:v>
                </c:pt>
                <c:pt idx="75">
                  <c:v>350</c:v>
                </c:pt>
                <c:pt idx="76">
                  <c:v>350</c:v>
                </c:pt>
                <c:pt idx="77">
                  <c:v>350</c:v>
                </c:pt>
                <c:pt idx="78">
                  <c:v>350</c:v>
                </c:pt>
                <c:pt idx="79">
                  <c:v>350</c:v>
                </c:pt>
                <c:pt idx="80">
                  <c:v>350</c:v>
                </c:pt>
                <c:pt idx="81">
                  <c:v>350</c:v>
                </c:pt>
                <c:pt idx="82">
                  <c:v>350</c:v>
                </c:pt>
                <c:pt idx="83">
                  <c:v>350</c:v>
                </c:pt>
                <c:pt idx="84">
                  <c:v>350</c:v>
                </c:pt>
                <c:pt idx="85">
                  <c:v>350</c:v>
                </c:pt>
                <c:pt idx="86">
                  <c:v>350</c:v>
                </c:pt>
                <c:pt idx="87">
                  <c:v>350</c:v>
                </c:pt>
                <c:pt idx="88">
                  <c:v>350</c:v>
                </c:pt>
                <c:pt idx="89">
                  <c:v>350</c:v>
                </c:pt>
                <c:pt idx="90">
                  <c:v>350</c:v>
                </c:pt>
                <c:pt idx="91">
                  <c:v>350</c:v>
                </c:pt>
                <c:pt idx="92">
                  <c:v>350</c:v>
                </c:pt>
                <c:pt idx="93">
                  <c:v>350</c:v>
                </c:pt>
                <c:pt idx="94">
                  <c:v>350</c:v>
                </c:pt>
                <c:pt idx="95">
                  <c:v>350</c:v>
                </c:pt>
                <c:pt idx="96">
                  <c:v>350</c:v>
                </c:pt>
                <c:pt idx="97">
                  <c:v>350</c:v>
                </c:pt>
                <c:pt idx="98">
                  <c:v>350</c:v>
                </c:pt>
                <c:pt idx="99">
                  <c:v>346.9946686846194</c:v>
                </c:pt>
                <c:pt idx="100">
                  <c:v>343.52472199777316</c:v>
                </c:pt>
              </c:numCache>
            </c:numRef>
          </c:val>
          <c:smooth val="0"/>
          <c:extLst>
            <c:ext xmlns:c16="http://schemas.microsoft.com/office/drawing/2014/chart" uri="{C3380CC4-5D6E-409C-BE32-E72D297353CC}">
              <c16:uniqueId val="{00000007-5712-4ACE-99B4-3DA56DE3FEAB}"/>
            </c:ext>
          </c:extLst>
        </c:ser>
        <c:ser>
          <c:idx val="2"/>
          <c:order val="2"/>
          <c:tx>
            <c:v>VIN-max</c:v>
          </c:tx>
          <c:spPr>
            <a:ln>
              <a:solidFill>
                <a:srgbClr val="FF0000"/>
              </a:solidFill>
              <a:prstDash val="solid"/>
            </a:ln>
          </c:spPr>
          <c:marker>
            <c:symbol val="none"/>
          </c:marker>
          <c:cat>
            <c:numRef>
              <c:f>'Calculations - Dual'!$CC$5:$CC$105</c:f>
              <c:numCache>
                <c:formatCode>General</c:formatCode>
                <c:ptCount val="101"/>
                <c:pt idx="0">
                  <c:v>0</c:v>
                </c:pt>
                <c:pt idx="1">
                  <c:v>1</c:v>
                </c:pt>
                <c:pt idx="2">
                  <c:v>2</c:v>
                </c:pt>
                <c:pt idx="3">
                  <c:v>3</c:v>
                </c:pt>
                <c:pt idx="4">
                  <c:v>4</c:v>
                </c:pt>
                <c:pt idx="5">
                  <c:v>5</c:v>
                </c:pt>
                <c:pt idx="6">
                  <c:v>6</c:v>
                </c:pt>
                <c:pt idx="7">
                  <c:v>7.0000000000000009</c:v>
                </c:pt>
                <c:pt idx="8">
                  <c:v>8</c:v>
                </c:pt>
                <c:pt idx="9">
                  <c:v>9</c:v>
                </c:pt>
                <c:pt idx="10">
                  <c:v>10</c:v>
                </c:pt>
                <c:pt idx="11">
                  <c:v>11</c:v>
                </c:pt>
                <c:pt idx="12">
                  <c:v>12</c:v>
                </c:pt>
                <c:pt idx="13">
                  <c:v>13</c:v>
                </c:pt>
                <c:pt idx="14">
                  <c:v>14.000000000000002</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Dual'!$AM$218:$AM$318</c:f>
              <c:numCache>
                <c:formatCode>0.0</c:formatCode>
                <c:ptCount val="101"/>
                <c:pt idx="0">
                  <c:v>10</c:v>
                </c:pt>
                <c:pt idx="1">
                  <c:v>75.444038412509585</c:v>
                </c:pt>
                <c:pt idx="2">
                  <c:v>150.88807682501917</c:v>
                </c:pt>
                <c:pt idx="3">
                  <c:v>226.33211523752871</c:v>
                </c:pt>
                <c:pt idx="4">
                  <c:v>301.77615365003834</c:v>
                </c:pt>
                <c:pt idx="5">
                  <c:v>350</c:v>
                </c:pt>
                <c:pt idx="6">
                  <c:v>350</c:v>
                </c:pt>
                <c:pt idx="7">
                  <c:v>350</c:v>
                </c:pt>
                <c:pt idx="8">
                  <c:v>350</c:v>
                </c:pt>
                <c:pt idx="9">
                  <c:v>350</c:v>
                </c:pt>
                <c:pt idx="10">
                  <c:v>350</c:v>
                </c:pt>
                <c:pt idx="11">
                  <c:v>350</c:v>
                </c:pt>
                <c:pt idx="12">
                  <c:v>350</c:v>
                </c:pt>
                <c:pt idx="13">
                  <c:v>350</c:v>
                </c:pt>
                <c:pt idx="14">
                  <c:v>350</c:v>
                </c:pt>
                <c:pt idx="15">
                  <c:v>350</c:v>
                </c:pt>
                <c:pt idx="16">
                  <c:v>350</c:v>
                </c:pt>
                <c:pt idx="17">
                  <c:v>350</c:v>
                </c:pt>
                <c:pt idx="18">
                  <c:v>350</c:v>
                </c:pt>
                <c:pt idx="19">
                  <c:v>350</c:v>
                </c:pt>
                <c:pt idx="20">
                  <c:v>350</c:v>
                </c:pt>
                <c:pt idx="21">
                  <c:v>350</c:v>
                </c:pt>
                <c:pt idx="22">
                  <c:v>350</c:v>
                </c:pt>
                <c:pt idx="23">
                  <c:v>350</c:v>
                </c:pt>
                <c:pt idx="24">
                  <c:v>350</c:v>
                </c:pt>
                <c:pt idx="25">
                  <c:v>350</c:v>
                </c:pt>
                <c:pt idx="26">
                  <c:v>350</c:v>
                </c:pt>
                <c:pt idx="27">
                  <c:v>350</c:v>
                </c:pt>
                <c:pt idx="28">
                  <c:v>350</c:v>
                </c:pt>
                <c:pt idx="29">
                  <c:v>350</c:v>
                </c:pt>
                <c:pt idx="30">
                  <c:v>350</c:v>
                </c:pt>
                <c:pt idx="31">
                  <c:v>350</c:v>
                </c:pt>
                <c:pt idx="32">
                  <c:v>350</c:v>
                </c:pt>
                <c:pt idx="33">
                  <c:v>350</c:v>
                </c:pt>
                <c:pt idx="34">
                  <c:v>350</c:v>
                </c:pt>
                <c:pt idx="35">
                  <c:v>350</c:v>
                </c:pt>
                <c:pt idx="36">
                  <c:v>350</c:v>
                </c:pt>
                <c:pt idx="37">
                  <c:v>350</c:v>
                </c:pt>
                <c:pt idx="38">
                  <c:v>350</c:v>
                </c:pt>
                <c:pt idx="39">
                  <c:v>350</c:v>
                </c:pt>
                <c:pt idx="40">
                  <c:v>350</c:v>
                </c:pt>
                <c:pt idx="41">
                  <c:v>350</c:v>
                </c:pt>
                <c:pt idx="42">
                  <c:v>350</c:v>
                </c:pt>
                <c:pt idx="43">
                  <c:v>350</c:v>
                </c:pt>
                <c:pt idx="44">
                  <c:v>350</c:v>
                </c:pt>
                <c:pt idx="45">
                  <c:v>350</c:v>
                </c:pt>
                <c:pt idx="46">
                  <c:v>350</c:v>
                </c:pt>
                <c:pt idx="47">
                  <c:v>350</c:v>
                </c:pt>
                <c:pt idx="48">
                  <c:v>350</c:v>
                </c:pt>
                <c:pt idx="49">
                  <c:v>350</c:v>
                </c:pt>
                <c:pt idx="50">
                  <c:v>350</c:v>
                </c:pt>
                <c:pt idx="51">
                  <c:v>350</c:v>
                </c:pt>
                <c:pt idx="52">
                  <c:v>350</c:v>
                </c:pt>
                <c:pt idx="53">
                  <c:v>350</c:v>
                </c:pt>
                <c:pt idx="54">
                  <c:v>350</c:v>
                </c:pt>
                <c:pt idx="55">
                  <c:v>350</c:v>
                </c:pt>
                <c:pt idx="56">
                  <c:v>350</c:v>
                </c:pt>
                <c:pt idx="57">
                  <c:v>350</c:v>
                </c:pt>
                <c:pt idx="58">
                  <c:v>350</c:v>
                </c:pt>
                <c:pt idx="59">
                  <c:v>350</c:v>
                </c:pt>
                <c:pt idx="60">
                  <c:v>350</c:v>
                </c:pt>
                <c:pt idx="61">
                  <c:v>350</c:v>
                </c:pt>
                <c:pt idx="62">
                  <c:v>350</c:v>
                </c:pt>
                <c:pt idx="63">
                  <c:v>350</c:v>
                </c:pt>
                <c:pt idx="64">
                  <c:v>350</c:v>
                </c:pt>
                <c:pt idx="65">
                  <c:v>350</c:v>
                </c:pt>
                <c:pt idx="66">
                  <c:v>350</c:v>
                </c:pt>
                <c:pt idx="67">
                  <c:v>350</c:v>
                </c:pt>
                <c:pt idx="68">
                  <c:v>350</c:v>
                </c:pt>
                <c:pt idx="69">
                  <c:v>350</c:v>
                </c:pt>
                <c:pt idx="70">
                  <c:v>350</c:v>
                </c:pt>
                <c:pt idx="71">
                  <c:v>350</c:v>
                </c:pt>
                <c:pt idx="72">
                  <c:v>350</c:v>
                </c:pt>
                <c:pt idx="73">
                  <c:v>350</c:v>
                </c:pt>
                <c:pt idx="74">
                  <c:v>350</c:v>
                </c:pt>
                <c:pt idx="75">
                  <c:v>350</c:v>
                </c:pt>
                <c:pt idx="76">
                  <c:v>350</c:v>
                </c:pt>
                <c:pt idx="77">
                  <c:v>350</c:v>
                </c:pt>
                <c:pt idx="78">
                  <c:v>350</c:v>
                </c:pt>
                <c:pt idx="79">
                  <c:v>350</c:v>
                </c:pt>
                <c:pt idx="80">
                  <c:v>350</c:v>
                </c:pt>
                <c:pt idx="81">
                  <c:v>350</c:v>
                </c:pt>
                <c:pt idx="82">
                  <c:v>350</c:v>
                </c:pt>
                <c:pt idx="83">
                  <c:v>350</c:v>
                </c:pt>
                <c:pt idx="84">
                  <c:v>350</c:v>
                </c:pt>
                <c:pt idx="85">
                  <c:v>350</c:v>
                </c:pt>
                <c:pt idx="86">
                  <c:v>350</c:v>
                </c:pt>
                <c:pt idx="87">
                  <c:v>350</c:v>
                </c:pt>
                <c:pt idx="88">
                  <c:v>350</c:v>
                </c:pt>
                <c:pt idx="89">
                  <c:v>350</c:v>
                </c:pt>
                <c:pt idx="90">
                  <c:v>350</c:v>
                </c:pt>
                <c:pt idx="91">
                  <c:v>350</c:v>
                </c:pt>
                <c:pt idx="92">
                  <c:v>350</c:v>
                </c:pt>
                <c:pt idx="93">
                  <c:v>350</c:v>
                </c:pt>
                <c:pt idx="94">
                  <c:v>350</c:v>
                </c:pt>
                <c:pt idx="95">
                  <c:v>350</c:v>
                </c:pt>
                <c:pt idx="96">
                  <c:v>350</c:v>
                </c:pt>
                <c:pt idx="97">
                  <c:v>350</c:v>
                </c:pt>
                <c:pt idx="98">
                  <c:v>350</c:v>
                </c:pt>
                <c:pt idx="99">
                  <c:v>350</c:v>
                </c:pt>
                <c:pt idx="100">
                  <c:v>350</c:v>
                </c:pt>
              </c:numCache>
            </c:numRef>
          </c:val>
          <c:smooth val="0"/>
          <c:extLst>
            <c:ext xmlns:c16="http://schemas.microsoft.com/office/drawing/2014/chart" uri="{C3380CC4-5D6E-409C-BE32-E72D297353CC}">
              <c16:uniqueId val="{00000008-5712-4ACE-99B4-3DA56DE3FEAB}"/>
            </c:ext>
          </c:extLst>
        </c:ser>
        <c:ser>
          <c:idx val="3"/>
          <c:order val="3"/>
          <c:spPr>
            <a:ln>
              <a:noFill/>
            </a:ln>
          </c:spPr>
          <c:marker>
            <c:symbol val="x"/>
            <c:size val="10"/>
            <c:spPr>
              <a:pattFill prst="pct5">
                <a:fgClr>
                  <a:schemeClr val="tx1"/>
                </a:fgClr>
                <a:bgClr>
                  <a:schemeClr val="bg1"/>
                </a:bgClr>
              </a:pattFill>
              <a:ln>
                <a:solidFill>
                  <a:srgbClr val="33CC33"/>
                </a:solidFill>
              </a:ln>
            </c:spPr>
          </c:marker>
          <c:cat>
            <c:numRef>
              <c:f>'Calculations - Dual'!$CC$5:$CC$105</c:f>
              <c:numCache>
                <c:formatCode>General</c:formatCode>
                <c:ptCount val="101"/>
                <c:pt idx="0">
                  <c:v>0</c:v>
                </c:pt>
                <c:pt idx="1">
                  <c:v>1</c:v>
                </c:pt>
                <c:pt idx="2">
                  <c:v>2</c:v>
                </c:pt>
                <c:pt idx="3">
                  <c:v>3</c:v>
                </c:pt>
                <c:pt idx="4">
                  <c:v>4</c:v>
                </c:pt>
                <c:pt idx="5">
                  <c:v>5</c:v>
                </c:pt>
                <c:pt idx="6">
                  <c:v>6</c:v>
                </c:pt>
                <c:pt idx="7">
                  <c:v>7.0000000000000009</c:v>
                </c:pt>
                <c:pt idx="8">
                  <c:v>8</c:v>
                </c:pt>
                <c:pt idx="9">
                  <c:v>9</c:v>
                </c:pt>
                <c:pt idx="10">
                  <c:v>10</c:v>
                </c:pt>
                <c:pt idx="11">
                  <c:v>11</c:v>
                </c:pt>
                <c:pt idx="12">
                  <c:v>12</c:v>
                </c:pt>
                <c:pt idx="13">
                  <c:v>13</c:v>
                </c:pt>
                <c:pt idx="14">
                  <c:v>14.000000000000002</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Dual'!$CE$110:$CE$210</c:f>
              <c:numCache>
                <c:formatCode>General</c:formatCode>
                <c:ptCount val="10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277.99259372905385</c:v>
                </c:pt>
                <c:pt idx="94">
                  <c:v>-50</c:v>
                </c:pt>
                <c:pt idx="95">
                  <c:v>-50</c:v>
                </c:pt>
                <c:pt idx="96">
                  <c:v>-50</c:v>
                </c:pt>
                <c:pt idx="97">
                  <c:v>-50</c:v>
                </c:pt>
                <c:pt idx="98">
                  <c:v>-50</c:v>
                </c:pt>
                <c:pt idx="99">
                  <c:v>-50</c:v>
                </c:pt>
                <c:pt idx="100">
                  <c:v>-50</c:v>
                </c:pt>
              </c:numCache>
            </c:numRef>
          </c:val>
          <c:smooth val="0"/>
          <c:extLst>
            <c:ext xmlns:c16="http://schemas.microsoft.com/office/drawing/2014/chart" uri="{C3380CC4-5D6E-409C-BE32-E72D297353CC}">
              <c16:uniqueId val="{00000009-5712-4ACE-99B4-3DA56DE3FEAB}"/>
            </c:ext>
          </c:extLst>
        </c:ser>
        <c:ser>
          <c:idx val="4"/>
          <c:order val="4"/>
          <c:spPr>
            <a:ln>
              <a:noFill/>
            </a:ln>
          </c:spPr>
          <c:marker>
            <c:symbol val="x"/>
            <c:size val="10"/>
            <c:spPr>
              <a:pattFill prst="pct5">
                <a:fgClr>
                  <a:schemeClr val="tx1"/>
                </a:fgClr>
                <a:bgClr>
                  <a:schemeClr val="bg1"/>
                </a:bgClr>
              </a:pattFill>
              <a:ln>
                <a:solidFill>
                  <a:srgbClr val="0000FF"/>
                </a:solidFill>
              </a:ln>
            </c:spPr>
          </c:marker>
          <c:cat>
            <c:numRef>
              <c:f>'Calculations - Dual'!$CC$5:$CC$105</c:f>
              <c:numCache>
                <c:formatCode>General</c:formatCode>
                <c:ptCount val="101"/>
                <c:pt idx="0">
                  <c:v>0</c:v>
                </c:pt>
                <c:pt idx="1">
                  <c:v>1</c:v>
                </c:pt>
                <c:pt idx="2">
                  <c:v>2</c:v>
                </c:pt>
                <c:pt idx="3">
                  <c:v>3</c:v>
                </c:pt>
                <c:pt idx="4">
                  <c:v>4</c:v>
                </c:pt>
                <c:pt idx="5">
                  <c:v>5</c:v>
                </c:pt>
                <c:pt idx="6">
                  <c:v>6</c:v>
                </c:pt>
                <c:pt idx="7">
                  <c:v>7.0000000000000009</c:v>
                </c:pt>
                <c:pt idx="8">
                  <c:v>8</c:v>
                </c:pt>
                <c:pt idx="9">
                  <c:v>9</c:v>
                </c:pt>
                <c:pt idx="10">
                  <c:v>10</c:v>
                </c:pt>
                <c:pt idx="11">
                  <c:v>11</c:v>
                </c:pt>
                <c:pt idx="12">
                  <c:v>12</c:v>
                </c:pt>
                <c:pt idx="13">
                  <c:v>13</c:v>
                </c:pt>
                <c:pt idx="14">
                  <c:v>14.000000000000002</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Dual'!$CE$5:$CE$105</c:f>
              <c:numCache>
                <c:formatCode>General</c:formatCode>
                <c:ptCount val="10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numCache>
            </c:numRef>
          </c:val>
          <c:smooth val="0"/>
          <c:extLst>
            <c:ext xmlns:c16="http://schemas.microsoft.com/office/drawing/2014/chart" uri="{C3380CC4-5D6E-409C-BE32-E72D297353CC}">
              <c16:uniqueId val="{0000000A-5712-4ACE-99B4-3DA56DE3FEAB}"/>
            </c:ext>
          </c:extLst>
        </c:ser>
        <c:ser>
          <c:idx val="5"/>
          <c:order val="5"/>
          <c:spPr>
            <a:ln>
              <a:noFill/>
            </a:ln>
          </c:spPr>
          <c:marker>
            <c:symbol val="x"/>
            <c:size val="10"/>
            <c:spPr>
              <a:pattFill prst="pct5">
                <a:fgClr>
                  <a:schemeClr val="tx1"/>
                </a:fgClr>
                <a:bgClr>
                  <a:schemeClr val="bg1"/>
                </a:bgClr>
              </a:pattFill>
              <a:ln>
                <a:solidFill>
                  <a:srgbClr val="FF0000"/>
                </a:solidFill>
              </a:ln>
            </c:spPr>
          </c:marker>
          <c:cat>
            <c:numRef>
              <c:f>'Calculations - Dual'!$CC$5:$CC$105</c:f>
              <c:numCache>
                <c:formatCode>General</c:formatCode>
                <c:ptCount val="101"/>
                <c:pt idx="0">
                  <c:v>0</c:v>
                </c:pt>
                <c:pt idx="1">
                  <c:v>1</c:v>
                </c:pt>
                <c:pt idx="2">
                  <c:v>2</c:v>
                </c:pt>
                <c:pt idx="3">
                  <c:v>3</c:v>
                </c:pt>
                <c:pt idx="4">
                  <c:v>4</c:v>
                </c:pt>
                <c:pt idx="5">
                  <c:v>5</c:v>
                </c:pt>
                <c:pt idx="6">
                  <c:v>6</c:v>
                </c:pt>
                <c:pt idx="7">
                  <c:v>7.0000000000000009</c:v>
                </c:pt>
                <c:pt idx="8">
                  <c:v>8</c:v>
                </c:pt>
                <c:pt idx="9">
                  <c:v>9</c:v>
                </c:pt>
                <c:pt idx="10">
                  <c:v>10</c:v>
                </c:pt>
                <c:pt idx="11">
                  <c:v>11</c:v>
                </c:pt>
                <c:pt idx="12">
                  <c:v>12</c:v>
                </c:pt>
                <c:pt idx="13">
                  <c:v>13</c:v>
                </c:pt>
                <c:pt idx="14">
                  <c:v>14.000000000000002</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Dual'!$CE$218:$CE$318</c:f>
              <c:numCache>
                <c:formatCode>General</c:formatCode>
                <c:ptCount val="10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numCache>
            </c:numRef>
          </c:val>
          <c:smooth val="0"/>
          <c:extLst>
            <c:ext xmlns:c16="http://schemas.microsoft.com/office/drawing/2014/chart" uri="{C3380CC4-5D6E-409C-BE32-E72D297353CC}">
              <c16:uniqueId val="{0000000B-5712-4ACE-99B4-3DA56DE3FEAB}"/>
            </c:ext>
          </c:extLst>
        </c:ser>
        <c:dLbls>
          <c:showLegendKey val="0"/>
          <c:showVal val="0"/>
          <c:showCatName val="0"/>
          <c:showSerName val="0"/>
          <c:showPercent val="0"/>
          <c:showBubbleSize val="0"/>
        </c:dLbls>
        <c:smooth val="0"/>
        <c:axId val="142007296"/>
        <c:axId val="141694848"/>
      </c:lineChart>
      <c:catAx>
        <c:axId val="142007296"/>
        <c:scaling>
          <c:orientation val="minMax"/>
        </c:scaling>
        <c:delete val="0"/>
        <c:axPos val="b"/>
        <c:majorGridlines>
          <c:spPr>
            <a:ln w="15875">
              <a:solidFill>
                <a:srgbClr val="969696"/>
              </a:solidFill>
              <a:prstDash val="sysDash"/>
            </a:ln>
          </c:spPr>
        </c:majorGridlines>
        <c:title>
          <c:tx>
            <c:rich>
              <a:bodyPr/>
              <a:lstStyle/>
              <a:p>
                <a:pPr>
                  <a:defRPr sz="1100" b="1" i="0" u="none" strike="noStrike" baseline="0">
                    <a:solidFill>
                      <a:schemeClr val="tx1"/>
                    </a:solidFill>
                    <a:latin typeface="Arial" pitchFamily="34" charset="0"/>
                    <a:ea typeface="Calibri"/>
                    <a:cs typeface="Arial" pitchFamily="34" charset="0"/>
                  </a:defRPr>
                </a:pPr>
                <a:r>
                  <a:rPr lang="en-US" sz="1600" b="1" i="0" baseline="0">
                    <a:effectLst/>
                  </a:rPr>
                  <a:t>% Total Rated Output Power</a:t>
                </a:r>
                <a:endParaRPr lang="en-US" sz="1100">
                  <a:effectLst/>
                </a:endParaRPr>
              </a:p>
            </c:rich>
          </c:tx>
          <c:layout>
            <c:manualLayout>
              <c:xMode val="edge"/>
              <c:yMode val="edge"/>
              <c:x val="0.38070688614495507"/>
              <c:y val="0.93853774450069472"/>
            </c:manualLayout>
          </c:layout>
          <c:overlay val="0"/>
          <c:spPr>
            <a:noFill/>
            <a:ln w="25400">
              <a:noFill/>
            </a:ln>
          </c:spPr>
        </c:title>
        <c:numFmt formatCode="General" sourceLinked="1"/>
        <c:majorTickMark val="in"/>
        <c:minorTickMark val="in"/>
        <c:tickLblPos val="nextTo"/>
        <c:spPr>
          <a:ln w="3175">
            <a:solidFill>
              <a:schemeClr val="tx1"/>
            </a:solidFill>
            <a:prstDash val="solid"/>
          </a:ln>
        </c:spPr>
        <c:txPr>
          <a:bodyPr rot="0" vert="horz"/>
          <a:lstStyle/>
          <a:p>
            <a:pPr>
              <a:defRPr sz="1400" b="1" i="0" u="none" strike="noStrike" baseline="0">
                <a:solidFill>
                  <a:schemeClr val="tx1"/>
                </a:solidFill>
                <a:latin typeface="Arial" pitchFamily="34" charset="0"/>
                <a:ea typeface="Calibri"/>
                <a:cs typeface="Arial" pitchFamily="34" charset="0"/>
              </a:defRPr>
            </a:pPr>
            <a:endParaRPr lang="en-US"/>
          </a:p>
        </c:txPr>
        <c:crossAx val="141694848"/>
        <c:crosses val="autoZero"/>
        <c:auto val="1"/>
        <c:lblAlgn val="ctr"/>
        <c:lblOffset val="100"/>
        <c:tickLblSkip val="20"/>
        <c:tickMarkSkip val="10"/>
        <c:noMultiLvlLbl val="0"/>
      </c:catAx>
      <c:valAx>
        <c:axId val="141694848"/>
        <c:scaling>
          <c:orientation val="minMax"/>
          <c:max val="400"/>
          <c:min val="0"/>
        </c:scaling>
        <c:delete val="0"/>
        <c:axPos val="l"/>
        <c:majorGridlines>
          <c:spPr>
            <a:ln w="15875">
              <a:solidFill>
                <a:srgbClr val="808080"/>
              </a:solidFill>
              <a:prstDash val="solid"/>
            </a:ln>
          </c:spPr>
        </c:majorGridlines>
        <c:title>
          <c:tx>
            <c:rich>
              <a:bodyPr/>
              <a:lstStyle/>
              <a:p>
                <a:pPr>
                  <a:defRPr sz="1600" b="1" i="0" u="none" strike="noStrike" baseline="0">
                    <a:solidFill>
                      <a:schemeClr val="tx1"/>
                    </a:solidFill>
                    <a:latin typeface="Arial" pitchFamily="34" charset="0"/>
                    <a:ea typeface="Calibri"/>
                    <a:cs typeface="Arial" pitchFamily="34" charset="0"/>
                  </a:defRPr>
                </a:pPr>
                <a:r>
                  <a:rPr lang="en-US" sz="1600" b="1">
                    <a:solidFill>
                      <a:schemeClr val="tx1"/>
                    </a:solidFill>
                    <a:latin typeface="Arial" pitchFamily="34" charset="0"/>
                    <a:cs typeface="Arial" pitchFamily="34" charset="0"/>
                  </a:rPr>
                  <a:t>Switching</a:t>
                </a:r>
                <a:r>
                  <a:rPr lang="en-US" sz="1600" b="1" baseline="0">
                    <a:solidFill>
                      <a:schemeClr val="tx1"/>
                    </a:solidFill>
                    <a:latin typeface="Arial" pitchFamily="34" charset="0"/>
                    <a:cs typeface="Arial" pitchFamily="34" charset="0"/>
                  </a:rPr>
                  <a:t> Frquency (kHz)</a:t>
                </a:r>
                <a:endParaRPr lang="en-US" sz="1600" b="1">
                  <a:solidFill>
                    <a:schemeClr val="tx1"/>
                  </a:solidFill>
                  <a:latin typeface="Arial" pitchFamily="34" charset="0"/>
                  <a:cs typeface="Arial" pitchFamily="34" charset="0"/>
                </a:endParaRPr>
              </a:p>
            </c:rich>
          </c:tx>
          <c:layout>
            <c:manualLayout>
              <c:xMode val="edge"/>
              <c:yMode val="edge"/>
              <c:x val="8.5568128125503556E-3"/>
              <c:y val="0.22463146285493288"/>
            </c:manualLayout>
          </c:layout>
          <c:overlay val="0"/>
          <c:spPr>
            <a:noFill/>
            <a:ln w="25400">
              <a:noFill/>
            </a:ln>
          </c:spPr>
        </c:title>
        <c:numFmt formatCode="#,##0" sourceLinked="0"/>
        <c:majorTickMark val="in"/>
        <c:minorTickMark val="in"/>
        <c:tickLblPos val="nextTo"/>
        <c:spPr>
          <a:ln w="3175">
            <a:solidFill>
              <a:srgbClr val="000000"/>
            </a:solidFill>
            <a:prstDash val="solid"/>
          </a:ln>
        </c:spPr>
        <c:txPr>
          <a:bodyPr rot="0" vert="horz"/>
          <a:lstStyle/>
          <a:p>
            <a:pPr>
              <a:defRPr sz="1600" b="1" i="0" u="none" strike="noStrike" baseline="0">
                <a:solidFill>
                  <a:schemeClr val="tx1"/>
                </a:solidFill>
                <a:latin typeface="Arial" pitchFamily="34" charset="0"/>
                <a:ea typeface="Calibri"/>
                <a:cs typeface="Arial" pitchFamily="34" charset="0"/>
              </a:defRPr>
            </a:pPr>
            <a:endParaRPr lang="en-US"/>
          </a:p>
        </c:txPr>
        <c:crossAx val="142007296"/>
        <c:crossesAt val="0"/>
        <c:crossBetween val="between"/>
        <c:majorUnit val="50"/>
        <c:minorUnit val="25"/>
      </c:valAx>
      <c:spPr>
        <a:noFill/>
        <a:ln w="25400">
          <a:noFill/>
        </a:ln>
      </c:spPr>
    </c:plotArea>
    <c:legend>
      <c:legendPos val="t"/>
      <c:legendEntry>
        <c:idx val="9"/>
        <c:delete val="1"/>
      </c:legendEntry>
      <c:legendEntry>
        <c:idx val="10"/>
        <c:delete val="1"/>
      </c:legendEntry>
      <c:legendEntry>
        <c:idx val="11"/>
        <c:delete val="1"/>
      </c:legendEntry>
      <c:layout>
        <c:manualLayout>
          <c:xMode val="edge"/>
          <c:yMode val="edge"/>
          <c:x val="0.31430722044239789"/>
          <c:y val="1.5175029628150039E-2"/>
          <c:w val="0.42410841724909248"/>
          <c:h val="5.4335766847817754E-2"/>
        </c:manualLayout>
      </c:layout>
      <c:overlay val="0"/>
      <c:spPr>
        <a:solidFill>
          <a:srgbClr val="FFFFFF"/>
        </a:solidFill>
        <a:ln w="25400">
          <a:noFill/>
        </a:ln>
      </c:spPr>
      <c:txPr>
        <a:bodyPr/>
        <a:lstStyle/>
        <a:p>
          <a:pPr>
            <a:defRPr sz="1400" b="0" i="0" u="none" strike="noStrike" baseline="0">
              <a:solidFill>
                <a:srgbClr val="000000"/>
              </a:solidFill>
              <a:latin typeface="Arial" pitchFamily="34" charset="0"/>
              <a:ea typeface="Calibri"/>
              <a:cs typeface="Arial" pitchFamily="34" charset="0"/>
            </a:defRPr>
          </a:pPr>
          <a:endParaRPr lang="en-US"/>
        </a:p>
      </c:txPr>
    </c:legend>
    <c:plotVisOnly val="1"/>
    <c:dispBlanksAs val="gap"/>
    <c:showDLblsOverMax val="0"/>
  </c:chart>
  <c:spPr>
    <a:solidFill>
      <a:srgbClr val="FFFFFF"/>
    </a:solidFill>
    <a:ln w="9525">
      <a:noFill/>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0000000000006" r="0.750000000000006" t="1" header="0.5" footer="0.5"/>
    <c:pageSetup paperSize="5"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en-US"/>
              <a:t>FSW</a:t>
            </a:r>
            <a:r>
              <a:rPr lang="en-US" baseline="0"/>
              <a:t> vs. VIN</a:t>
            </a:r>
            <a:endParaRPr lang="en-US"/>
          </a:p>
        </c:rich>
      </c:tx>
      <c:layout>
        <c:manualLayout>
          <c:xMode val="edge"/>
          <c:yMode val="edge"/>
          <c:x val="0.46949559660480134"/>
          <c:y val="4.3950758924335628E-2"/>
        </c:manualLayout>
      </c:layout>
      <c:overlay val="0"/>
      <c:spPr>
        <a:noFill/>
        <a:ln w="25400">
          <a:noFill/>
        </a:ln>
      </c:spPr>
    </c:title>
    <c:autoTitleDeleted val="0"/>
    <c:plotArea>
      <c:layout>
        <c:manualLayout>
          <c:layoutTarget val="inner"/>
          <c:xMode val="edge"/>
          <c:yMode val="edge"/>
          <c:x val="0.11549893842887474"/>
          <c:y val="0.12692138023914851"/>
          <c:w val="0.81825902335456679"/>
          <c:h val="0.73598262282121851"/>
        </c:manualLayout>
      </c:layout>
      <c:scatterChart>
        <c:scatterStyle val="lineMarker"/>
        <c:varyColors val="0"/>
        <c:ser>
          <c:idx val="2"/>
          <c:order val="0"/>
          <c:tx>
            <c:strRef>
              <c:f>'Fsw vs VIN'!$M$5</c:f>
              <c:strCache>
                <c:ptCount val="1"/>
                <c:pt idx="0">
                  <c:v>Fsw-BCM (kHz) at Iout-max</c:v>
                </c:pt>
              </c:strCache>
            </c:strRef>
          </c:tx>
          <c:spPr>
            <a:ln w="25400">
              <a:solidFill>
                <a:srgbClr val="000080"/>
              </a:solidFill>
              <a:prstDash val="solid"/>
            </a:ln>
          </c:spPr>
          <c:marker>
            <c:symbol val="none"/>
          </c:marker>
          <c:xVal>
            <c:numRef>
              <c:f>'Fsw vs VIN'!$D$6:$D$106</c:f>
              <c:numCache>
                <c:formatCode>0.00</c:formatCode>
                <c:ptCount val="101"/>
                <c:pt idx="0">
                  <c:v>12</c:v>
                </c:pt>
                <c:pt idx="1">
                  <c:v>12.05</c:v>
                </c:pt>
                <c:pt idx="2">
                  <c:v>12.1</c:v>
                </c:pt>
                <c:pt idx="3">
                  <c:v>12.15</c:v>
                </c:pt>
                <c:pt idx="4">
                  <c:v>12.2</c:v>
                </c:pt>
                <c:pt idx="5">
                  <c:v>12.25</c:v>
                </c:pt>
                <c:pt idx="6">
                  <c:v>12.3</c:v>
                </c:pt>
                <c:pt idx="7">
                  <c:v>12.35</c:v>
                </c:pt>
                <c:pt idx="8">
                  <c:v>12.4</c:v>
                </c:pt>
                <c:pt idx="9">
                  <c:v>12.45</c:v>
                </c:pt>
                <c:pt idx="10">
                  <c:v>12.5</c:v>
                </c:pt>
                <c:pt idx="11">
                  <c:v>12.55</c:v>
                </c:pt>
                <c:pt idx="12">
                  <c:v>12.6</c:v>
                </c:pt>
                <c:pt idx="13">
                  <c:v>12.65</c:v>
                </c:pt>
                <c:pt idx="14">
                  <c:v>12.7</c:v>
                </c:pt>
                <c:pt idx="15">
                  <c:v>12.75</c:v>
                </c:pt>
                <c:pt idx="16">
                  <c:v>12.8</c:v>
                </c:pt>
                <c:pt idx="17">
                  <c:v>12.85</c:v>
                </c:pt>
                <c:pt idx="18">
                  <c:v>12.9</c:v>
                </c:pt>
                <c:pt idx="19">
                  <c:v>12.95</c:v>
                </c:pt>
                <c:pt idx="20">
                  <c:v>13</c:v>
                </c:pt>
                <c:pt idx="21">
                  <c:v>13.05</c:v>
                </c:pt>
                <c:pt idx="22">
                  <c:v>13.1</c:v>
                </c:pt>
                <c:pt idx="23">
                  <c:v>13.15</c:v>
                </c:pt>
                <c:pt idx="24">
                  <c:v>13.2</c:v>
                </c:pt>
                <c:pt idx="25">
                  <c:v>13.25</c:v>
                </c:pt>
                <c:pt idx="26">
                  <c:v>13.3</c:v>
                </c:pt>
                <c:pt idx="27">
                  <c:v>13.35</c:v>
                </c:pt>
                <c:pt idx="28">
                  <c:v>13.4</c:v>
                </c:pt>
                <c:pt idx="29">
                  <c:v>13.45</c:v>
                </c:pt>
                <c:pt idx="30">
                  <c:v>13.5</c:v>
                </c:pt>
                <c:pt idx="31">
                  <c:v>13.55</c:v>
                </c:pt>
                <c:pt idx="32">
                  <c:v>13.6</c:v>
                </c:pt>
                <c:pt idx="33">
                  <c:v>13.65</c:v>
                </c:pt>
                <c:pt idx="34">
                  <c:v>13.7</c:v>
                </c:pt>
                <c:pt idx="35">
                  <c:v>13.75</c:v>
                </c:pt>
                <c:pt idx="36">
                  <c:v>13.8</c:v>
                </c:pt>
                <c:pt idx="37">
                  <c:v>13.85</c:v>
                </c:pt>
                <c:pt idx="38">
                  <c:v>13.9</c:v>
                </c:pt>
                <c:pt idx="39">
                  <c:v>13.95</c:v>
                </c:pt>
                <c:pt idx="40">
                  <c:v>14</c:v>
                </c:pt>
                <c:pt idx="41">
                  <c:v>14.05</c:v>
                </c:pt>
                <c:pt idx="42">
                  <c:v>14.1</c:v>
                </c:pt>
                <c:pt idx="43">
                  <c:v>14.15</c:v>
                </c:pt>
                <c:pt idx="44">
                  <c:v>14.2</c:v>
                </c:pt>
                <c:pt idx="45">
                  <c:v>14.25</c:v>
                </c:pt>
                <c:pt idx="46">
                  <c:v>14.3</c:v>
                </c:pt>
                <c:pt idx="47">
                  <c:v>14.35</c:v>
                </c:pt>
                <c:pt idx="48">
                  <c:v>14.4</c:v>
                </c:pt>
                <c:pt idx="49">
                  <c:v>14.45</c:v>
                </c:pt>
                <c:pt idx="50">
                  <c:v>14.5</c:v>
                </c:pt>
                <c:pt idx="51">
                  <c:v>14.55</c:v>
                </c:pt>
                <c:pt idx="52">
                  <c:v>14.6</c:v>
                </c:pt>
                <c:pt idx="53">
                  <c:v>14.65</c:v>
                </c:pt>
                <c:pt idx="54">
                  <c:v>14.7</c:v>
                </c:pt>
                <c:pt idx="55">
                  <c:v>14.75</c:v>
                </c:pt>
                <c:pt idx="56">
                  <c:v>14.8</c:v>
                </c:pt>
                <c:pt idx="57">
                  <c:v>14.85</c:v>
                </c:pt>
                <c:pt idx="58">
                  <c:v>14.9</c:v>
                </c:pt>
                <c:pt idx="59">
                  <c:v>14.95</c:v>
                </c:pt>
                <c:pt idx="60">
                  <c:v>15</c:v>
                </c:pt>
                <c:pt idx="61">
                  <c:v>15.05</c:v>
                </c:pt>
                <c:pt idx="62">
                  <c:v>15.1</c:v>
                </c:pt>
                <c:pt idx="63">
                  <c:v>15.15</c:v>
                </c:pt>
                <c:pt idx="64">
                  <c:v>15.2</c:v>
                </c:pt>
                <c:pt idx="65">
                  <c:v>15.25</c:v>
                </c:pt>
                <c:pt idx="66">
                  <c:v>15.3</c:v>
                </c:pt>
                <c:pt idx="67">
                  <c:v>15.35</c:v>
                </c:pt>
                <c:pt idx="68">
                  <c:v>15.4</c:v>
                </c:pt>
                <c:pt idx="69">
                  <c:v>15.45</c:v>
                </c:pt>
                <c:pt idx="70">
                  <c:v>15.5</c:v>
                </c:pt>
                <c:pt idx="71">
                  <c:v>15.55</c:v>
                </c:pt>
                <c:pt idx="72">
                  <c:v>15.6</c:v>
                </c:pt>
                <c:pt idx="73">
                  <c:v>15.65</c:v>
                </c:pt>
                <c:pt idx="74">
                  <c:v>15.7</c:v>
                </c:pt>
                <c:pt idx="75">
                  <c:v>15.75</c:v>
                </c:pt>
                <c:pt idx="76">
                  <c:v>15.8</c:v>
                </c:pt>
                <c:pt idx="77">
                  <c:v>15.85</c:v>
                </c:pt>
                <c:pt idx="78">
                  <c:v>15.9</c:v>
                </c:pt>
                <c:pt idx="79">
                  <c:v>15.95</c:v>
                </c:pt>
                <c:pt idx="80">
                  <c:v>16</c:v>
                </c:pt>
                <c:pt idx="81">
                  <c:v>16.05</c:v>
                </c:pt>
                <c:pt idx="82">
                  <c:v>16.100000000000001</c:v>
                </c:pt>
                <c:pt idx="83">
                  <c:v>16.149999999999999</c:v>
                </c:pt>
                <c:pt idx="84">
                  <c:v>16.2</c:v>
                </c:pt>
                <c:pt idx="85">
                  <c:v>16.25</c:v>
                </c:pt>
                <c:pt idx="86">
                  <c:v>16.3</c:v>
                </c:pt>
                <c:pt idx="87">
                  <c:v>16.350000000000001</c:v>
                </c:pt>
                <c:pt idx="88">
                  <c:v>16.399999999999999</c:v>
                </c:pt>
                <c:pt idx="89">
                  <c:v>16.45</c:v>
                </c:pt>
                <c:pt idx="90">
                  <c:v>16.5</c:v>
                </c:pt>
                <c:pt idx="91">
                  <c:v>16.55</c:v>
                </c:pt>
                <c:pt idx="92">
                  <c:v>16.600000000000001</c:v>
                </c:pt>
                <c:pt idx="93">
                  <c:v>16.649999999999999</c:v>
                </c:pt>
                <c:pt idx="94">
                  <c:v>16.7</c:v>
                </c:pt>
                <c:pt idx="95">
                  <c:v>16.75</c:v>
                </c:pt>
                <c:pt idx="96">
                  <c:v>16.8</c:v>
                </c:pt>
                <c:pt idx="97">
                  <c:v>16.850000000000001</c:v>
                </c:pt>
                <c:pt idx="98">
                  <c:v>16.899999999999999</c:v>
                </c:pt>
                <c:pt idx="99">
                  <c:v>16.95</c:v>
                </c:pt>
                <c:pt idx="100">
                  <c:v>17</c:v>
                </c:pt>
              </c:numCache>
            </c:numRef>
          </c:xVal>
          <c:yVal>
            <c:numRef>
              <c:f>'Fsw vs VIN'!$M$6:$M$106</c:f>
              <c:numCache>
                <c:formatCode>0.0</c:formatCode>
                <c:ptCount val="101"/>
                <c:pt idx="0">
                  <c:v>350</c:v>
                </c:pt>
                <c:pt idx="1">
                  <c:v>350</c:v>
                </c:pt>
                <c:pt idx="2">
                  <c:v>350</c:v>
                </c:pt>
                <c:pt idx="3">
                  <c:v>350</c:v>
                </c:pt>
                <c:pt idx="4">
                  <c:v>350</c:v>
                </c:pt>
                <c:pt idx="5">
                  <c:v>350</c:v>
                </c:pt>
                <c:pt idx="6">
                  <c:v>350</c:v>
                </c:pt>
                <c:pt idx="7">
                  <c:v>350</c:v>
                </c:pt>
                <c:pt idx="8">
                  <c:v>350</c:v>
                </c:pt>
                <c:pt idx="9">
                  <c:v>350</c:v>
                </c:pt>
                <c:pt idx="10">
                  <c:v>350</c:v>
                </c:pt>
                <c:pt idx="11">
                  <c:v>350</c:v>
                </c:pt>
                <c:pt idx="12">
                  <c:v>350</c:v>
                </c:pt>
                <c:pt idx="13">
                  <c:v>350</c:v>
                </c:pt>
                <c:pt idx="14">
                  <c:v>350</c:v>
                </c:pt>
                <c:pt idx="15">
                  <c:v>350</c:v>
                </c:pt>
                <c:pt idx="16">
                  <c:v>350</c:v>
                </c:pt>
                <c:pt idx="17">
                  <c:v>350</c:v>
                </c:pt>
                <c:pt idx="18">
                  <c:v>350</c:v>
                </c:pt>
                <c:pt idx="19">
                  <c:v>350</c:v>
                </c:pt>
                <c:pt idx="20">
                  <c:v>350</c:v>
                </c:pt>
                <c:pt idx="21">
                  <c:v>350</c:v>
                </c:pt>
                <c:pt idx="22">
                  <c:v>350</c:v>
                </c:pt>
                <c:pt idx="23">
                  <c:v>350</c:v>
                </c:pt>
                <c:pt idx="24">
                  <c:v>350</c:v>
                </c:pt>
                <c:pt idx="25">
                  <c:v>350</c:v>
                </c:pt>
                <c:pt idx="26">
                  <c:v>350</c:v>
                </c:pt>
                <c:pt idx="27">
                  <c:v>350</c:v>
                </c:pt>
                <c:pt idx="28">
                  <c:v>350</c:v>
                </c:pt>
                <c:pt idx="29">
                  <c:v>350</c:v>
                </c:pt>
                <c:pt idx="30">
                  <c:v>350</c:v>
                </c:pt>
                <c:pt idx="31">
                  <c:v>350</c:v>
                </c:pt>
                <c:pt idx="32">
                  <c:v>350</c:v>
                </c:pt>
                <c:pt idx="33">
                  <c:v>350</c:v>
                </c:pt>
                <c:pt idx="34">
                  <c:v>350</c:v>
                </c:pt>
                <c:pt idx="35">
                  <c:v>350</c:v>
                </c:pt>
                <c:pt idx="36">
                  <c:v>350</c:v>
                </c:pt>
                <c:pt idx="37">
                  <c:v>350</c:v>
                </c:pt>
                <c:pt idx="38">
                  <c:v>350</c:v>
                </c:pt>
                <c:pt idx="39">
                  <c:v>350</c:v>
                </c:pt>
                <c:pt idx="40">
                  <c:v>350</c:v>
                </c:pt>
                <c:pt idx="41">
                  <c:v>350</c:v>
                </c:pt>
                <c:pt idx="42">
                  <c:v>350</c:v>
                </c:pt>
                <c:pt idx="43">
                  <c:v>350</c:v>
                </c:pt>
                <c:pt idx="44">
                  <c:v>350</c:v>
                </c:pt>
                <c:pt idx="45">
                  <c:v>350</c:v>
                </c:pt>
                <c:pt idx="46">
                  <c:v>350</c:v>
                </c:pt>
                <c:pt idx="47">
                  <c:v>350</c:v>
                </c:pt>
                <c:pt idx="48">
                  <c:v>350</c:v>
                </c:pt>
                <c:pt idx="49">
                  <c:v>350</c:v>
                </c:pt>
                <c:pt idx="50">
                  <c:v>350</c:v>
                </c:pt>
                <c:pt idx="51">
                  <c:v>350</c:v>
                </c:pt>
                <c:pt idx="52">
                  <c:v>350</c:v>
                </c:pt>
                <c:pt idx="53">
                  <c:v>350</c:v>
                </c:pt>
                <c:pt idx="54">
                  <c:v>350</c:v>
                </c:pt>
                <c:pt idx="55">
                  <c:v>350</c:v>
                </c:pt>
                <c:pt idx="56">
                  <c:v>350</c:v>
                </c:pt>
                <c:pt idx="57">
                  <c:v>350</c:v>
                </c:pt>
                <c:pt idx="58">
                  <c:v>350</c:v>
                </c:pt>
                <c:pt idx="59">
                  <c:v>350</c:v>
                </c:pt>
                <c:pt idx="60">
                  <c:v>350</c:v>
                </c:pt>
                <c:pt idx="61">
                  <c:v>350</c:v>
                </c:pt>
                <c:pt idx="62">
                  <c:v>350</c:v>
                </c:pt>
                <c:pt idx="63">
                  <c:v>350</c:v>
                </c:pt>
                <c:pt idx="64">
                  <c:v>350</c:v>
                </c:pt>
                <c:pt idx="65">
                  <c:v>350</c:v>
                </c:pt>
                <c:pt idx="66">
                  <c:v>350</c:v>
                </c:pt>
                <c:pt idx="67">
                  <c:v>350</c:v>
                </c:pt>
                <c:pt idx="68">
                  <c:v>350</c:v>
                </c:pt>
                <c:pt idx="69">
                  <c:v>350</c:v>
                </c:pt>
                <c:pt idx="70">
                  <c:v>350</c:v>
                </c:pt>
                <c:pt idx="71">
                  <c:v>350</c:v>
                </c:pt>
                <c:pt idx="72">
                  <c:v>350</c:v>
                </c:pt>
                <c:pt idx="73">
                  <c:v>350</c:v>
                </c:pt>
                <c:pt idx="74">
                  <c:v>350</c:v>
                </c:pt>
                <c:pt idx="75">
                  <c:v>350</c:v>
                </c:pt>
                <c:pt idx="76">
                  <c:v>350</c:v>
                </c:pt>
                <c:pt idx="77">
                  <c:v>350</c:v>
                </c:pt>
                <c:pt idx="78">
                  <c:v>350</c:v>
                </c:pt>
                <c:pt idx="79">
                  <c:v>350</c:v>
                </c:pt>
                <c:pt idx="80">
                  <c:v>350</c:v>
                </c:pt>
                <c:pt idx="81">
                  <c:v>350</c:v>
                </c:pt>
                <c:pt idx="82">
                  <c:v>350</c:v>
                </c:pt>
                <c:pt idx="83">
                  <c:v>350</c:v>
                </c:pt>
                <c:pt idx="84">
                  <c:v>350</c:v>
                </c:pt>
                <c:pt idx="85">
                  <c:v>350</c:v>
                </c:pt>
                <c:pt idx="86">
                  <c:v>350</c:v>
                </c:pt>
                <c:pt idx="87">
                  <c:v>350</c:v>
                </c:pt>
                <c:pt idx="88">
                  <c:v>350</c:v>
                </c:pt>
                <c:pt idx="89">
                  <c:v>350</c:v>
                </c:pt>
                <c:pt idx="90">
                  <c:v>350</c:v>
                </c:pt>
                <c:pt idx="91">
                  <c:v>350</c:v>
                </c:pt>
                <c:pt idx="92">
                  <c:v>350</c:v>
                </c:pt>
                <c:pt idx="93">
                  <c:v>350</c:v>
                </c:pt>
                <c:pt idx="94">
                  <c:v>350</c:v>
                </c:pt>
                <c:pt idx="95">
                  <c:v>350</c:v>
                </c:pt>
                <c:pt idx="96">
                  <c:v>350</c:v>
                </c:pt>
                <c:pt idx="97">
                  <c:v>350</c:v>
                </c:pt>
                <c:pt idx="98">
                  <c:v>350</c:v>
                </c:pt>
                <c:pt idx="99">
                  <c:v>350</c:v>
                </c:pt>
                <c:pt idx="100">
                  <c:v>350</c:v>
                </c:pt>
              </c:numCache>
            </c:numRef>
          </c:yVal>
          <c:smooth val="0"/>
          <c:extLst>
            <c:ext xmlns:c16="http://schemas.microsoft.com/office/drawing/2014/chart" uri="{C3380CC4-5D6E-409C-BE32-E72D297353CC}">
              <c16:uniqueId val="{00000000-8913-4F55-86E6-87FAF6FAA161}"/>
            </c:ext>
          </c:extLst>
        </c:ser>
        <c:dLbls>
          <c:showLegendKey val="0"/>
          <c:showVal val="0"/>
          <c:showCatName val="0"/>
          <c:showSerName val="0"/>
          <c:showPercent val="0"/>
          <c:showBubbleSize val="0"/>
        </c:dLbls>
        <c:axId val="141725056"/>
        <c:axId val="141751808"/>
      </c:scatterChart>
      <c:valAx>
        <c:axId val="141725056"/>
        <c:scaling>
          <c:orientation val="minMax"/>
        </c:scaling>
        <c:delete val="0"/>
        <c:axPos val="b"/>
        <c:majorGridlines/>
        <c:title>
          <c:tx>
            <c:rich>
              <a:bodyPr/>
              <a:lstStyle/>
              <a:p>
                <a:pPr>
                  <a:defRPr sz="1100" b="1" i="0" u="none" strike="noStrike" baseline="0">
                    <a:solidFill>
                      <a:srgbClr val="000000"/>
                    </a:solidFill>
                    <a:latin typeface="Arial"/>
                    <a:ea typeface="Arial"/>
                    <a:cs typeface="Arial"/>
                  </a:defRPr>
                </a:pPr>
                <a:r>
                  <a:rPr lang="en-US" sz="1100"/>
                  <a:t>VIN (V)</a:t>
                </a:r>
              </a:p>
            </c:rich>
          </c:tx>
          <c:layout>
            <c:manualLayout>
              <c:xMode val="edge"/>
              <c:yMode val="edge"/>
              <c:x val="0.48841805795509147"/>
              <c:y val="0.9281222297700175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1" i="0" u="none" strike="noStrike" baseline="0">
                <a:solidFill>
                  <a:srgbClr val="000000"/>
                </a:solidFill>
                <a:latin typeface="Arial"/>
                <a:ea typeface="Arial"/>
                <a:cs typeface="Arial"/>
              </a:defRPr>
            </a:pPr>
            <a:endParaRPr lang="en-US"/>
          </a:p>
        </c:txPr>
        <c:crossAx val="141751808"/>
        <c:crosses val="autoZero"/>
        <c:crossBetween val="midCat"/>
      </c:valAx>
      <c:valAx>
        <c:axId val="141751808"/>
        <c:scaling>
          <c:orientation val="minMax"/>
        </c:scaling>
        <c:delete val="0"/>
        <c:axPos val="l"/>
        <c:majorGridlines>
          <c:spPr>
            <a:ln w="3175">
              <a:solidFill>
                <a:srgbClr val="000000"/>
              </a:solidFill>
              <a:prstDash val="solid"/>
            </a:ln>
          </c:spPr>
        </c:majorGridlines>
        <c:title>
          <c:tx>
            <c:rich>
              <a:bodyPr/>
              <a:lstStyle/>
              <a:p>
                <a:pPr>
                  <a:defRPr sz="1100" b="1" i="0" u="none" strike="noStrike" baseline="0">
                    <a:solidFill>
                      <a:srgbClr val="000000"/>
                    </a:solidFill>
                    <a:latin typeface="Arial"/>
                    <a:ea typeface="Arial"/>
                    <a:cs typeface="Arial"/>
                  </a:defRPr>
                </a:pPr>
                <a:r>
                  <a:rPr lang="en-US" sz="1100"/>
                  <a:t>FSw</a:t>
                </a:r>
                <a:r>
                  <a:rPr lang="en-US" sz="1100" baseline="0"/>
                  <a:t> (kHz)</a:t>
                </a:r>
                <a:endParaRPr lang="en-US" sz="1100"/>
              </a:p>
            </c:rich>
          </c:tx>
          <c:layout>
            <c:manualLayout>
              <c:xMode val="edge"/>
              <c:yMode val="edge"/>
              <c:x val="1.910828025477734E-2"/>
              <c:y val="0.37298429430192825"/>
            </c:manualLayout>
          </c:layout>
          <c:overlay val="0"/>
          <c:spPr>
            <a:noFill/>
            <a:ln w="25400">
              <a:noFill/>
            </a:ln>
          </c:spPr>
        </c:title>
        <c:numFmt formatCode="General" sourceLinked="0"/>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n-US"/>
          </a:p>
        </c:txPr>
        <c:crossAx val="141725056"/>
        <c:crosses val="autoZero"/>
        <c:crossBetween val="midCat"/>
      </c:valAx>
      <c:spPr>
        <a:solidFill>
          <a:schemeClr val="bg1">
            <a:lumMod val="95000"/>
          </a:schemeClr>
        </a:solidFill>
        <a:ln w="12700">
          <a:solidFill>
            <a:srgbClr val="808080"/>
          </a:solidFill>
          <a:prstDash val="solid"/>
        </a:ln>
      </c:spPr>
    </c:plotArea>
    <c:legend>
      <c:legendPos val="r"/>
      <c:layout>
        <c:manualLayout>
          <c:xMode val="edge"/>
          <c:yMode val="edge"/>
          <c:x val="0.13445630576004464"/>
          <c:y val="0.14722888183191415"/>
          <c:w val="0.26461167950535469"/>
          <c:h val="0.15077691641594146"/>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000000000000822" r="0.75000000000000822"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1" i="0" u="none" strike="noStrike" baseline="0">
                <a:solidFill>
                  <a:srgbClr val="000000"/>
                </a:solidFill>
                <a:latin typeface="Arial"/>
                <a:ea typeface="Arial"/>
                <a:cs typeface="Arial"/>
              </a:defRPr>
            </a:pPr>
            <a:r>
              <a:rPr lang="en-US" sz="2000"/>
              <a:t>Breakdown of COT Efficiency Losses vs. Iout</a:t>
            </a:r>
          </a:p>
        </c:rich>
      </c:tx>
      <c:layout>
        <c:manualLayout>
          <c:xMode val="edge"/>
          <c:yMode val="edge"/>
          <c:x val="0.21668095607596721"/>
          <c:y val="3.0815438913941871E-2"/>
        </c:manualLayout>
      </c:layout>
      <c:overlay val="0"/>
      <c:spPr>
        <a:noFill/>
        <a:ln w="25400">
          <a:noFill/>
        </a:ln>
      </c:spPr>
    </c:title>
    <c:autoTitleDeleted val="0"/>
    <c:plotArea>
      <c:layout>
        <c:manualLayout>
          <c:layoutTarget val="inner"/>
          <c:xMode val="edge"/>
          <c:yMode val="edge"/>
          <c:x val="0.18496430825131774"/>
          <c:y val="0.14694417652807107"/>
          <c:w val="0.46181411156941887"/>
          <c:h val="0.69570915435856628"/>
        </c:manualLayout>
      </c:layout>
      <c:areaChart>
        <c:grouping val="percentStacked"/>
        <c:varyColors val="0"/>
        <c:ser>
          <c:idx val="1"/>
          <c:order val="0"/>
          <c:tx>
            <c:strRef>
              <c:f>Parameters!$BI$5</c:f>
              <c:strCache>
                <c:ptCount val="1"/>
                <c:pt idx="0">
                  <c:v>Cin Cout ESR %</c:v>
                </c:pt>
              </c:strCache>
            </c:strRef>
          </c:tx>
          <c:spPr>
            <a:solidFill>
              <a:srgbClr val="FFFF00"/>
            </a:solidFill>
            <a:ln w="12700">
              <a:solidFill>
                <a:srgbClr val="000000"/>
              </a:solidFill>
              <a:prstDash val="solid"/>
            </a:ln>
          </c:spPr>
          <c:val>
            <c:numRef>
              <c:f>Parameters!$BI$6:$BI$106</c:f>
              <c:numCache>
                <c:formatCode>0.000%</c:formatCode>
                <c:ptCount val="101"/>
                <c:pt idx="0">
                  <c:v>0</c:v>
                </c:pt>
                <c:pt idx="1">
                  <c:v>0</c:v>
                </c:pt>
                <c:pt idx="2">
                  <c:v>0</c:v>
                </c:pt>
                <c:pt idx="3">
                  <c:v>0</c:v>
                </c:pt>
                <c:pt idx="100">
                  <c:v>0</c:v>
                </c:pt>
              </c:numCache>
            </c:numRef>
          </c:val>
          <c:extLst>
            <c:ext xmlns:c16="http://schemas.microsoft.com/office/drawing/2014/chart" uri="{C3380CC4-5D6E-409C-BE32-E72D297353CC}">
              <c16:uniqueId val="{00000000-08F2-45BE-8B98-602ABB65192E}"/>
            </c:ext>
          </c:extLst>
        </c:ser>
        <c:ser>
          <c:idx val="3"/>
          <c:order val="1"/>
          <c:tx>
            <c:strRef>
              <c:f>Parameters!$BF$5</c:f>
              <c:strCache>
                <c:ptCount val="1"/>
                <c:pt idx="0">
                  <c:v>Deadtime Loss %</c:v>
                </c:pt>
              </c:strCache>
            </c:strRef>
          </c:tx>
          <c:spPr>
            <a:solidFill>
              <a:srgbClr val="666699"/>
            </a:solidFill>
            <a:ln w="12700">
              <a:solidFill>
                <a:srgbClr val="000000"/>
              </a:solidFill>
              <a:prstDash val="solid"/>
            </a:ln>
          </c:spPr>
          <c:val>
            <c:numRef>
              <c:f>Parameters!$BF$6:$BF$106</c:f>
              <c:numCache>
                <c:formatCode>0.000%</c:formatCode>
                <c:ptCount val="101"/>
                <c:pt idx="0">
                  <c:v>0</c:v>
                </c:pt>
                <c:pt idx="1">
                  <c:v>0</c:v>
                </c:pt>
                <c:pt idx="2">
                  <c:v>0</c:v>
                </c:pt>
                <c:pt idx="3">
                  <c:v>0</c:v>
                </c:pt>
                <c:pt idx="100">
                  <c:v>0</c:v>
                </c:pt>
              </c:numCache>
            </c:numRef>
          </c:val>
          <c:extLst>
            <c:ext xmlns:c16="http://schemas.microsoft.com/office/drawing/2014/chart" uri="{C3380CC4-5D6E-409C-BE32-E72D297353CC}">
              <c16:uniqueId val="{00000001-08F2-45BE-8B98-602ABB65192E}"/>
            </c:ext>
          </c:extLst>
        </c:ser>
        <c:ser>
          <c:idx val="6"/>
          <c:order val="2"/>
          <c:tx>
            <c:strRef>
              <c:f>Parameters!$BA$5</c:f>
              <c:strCache>
                <c:ptCount val="1"/>
                <c:pt idx="0">
                  <c:v>High-side MOSFET Rdson %</c:v>
                </c:pt>
              </c:strCache>
            </c:strRef>
          </c:tx>
          <c:spPr>
            <a:solidFill>
              <a:srgbClr val="FF0000"/>
            </a:solidFill>
            <a:ln w="12700">
              <a:solidFill>
                <a:srgbClr val="000000"/>
              </a:solidFill>
              <a:prstDash val="solid"/>
            </a:ln>
          </c:spPr>
          <c:val>
            <c:numRef>
              <c:f>Parameters!$BA$6:$BA$106</c:f>
              <c:numCache>
                <c:formatCode>0.000%</c:formatCode>
                <c:ptCount val="101"/>
                <c:pt idx="0">
                  <c:v>0</c:v>
                </c:pt>
                <c:pt idx="1">
                  <c:v>0</c:v>
                </c:pt>
                <c:pt idx="2">
                  <c:v>0</c:v>
                </c:pt>
                <c:pt idx="3">
                  <c:v>0</c:v>
                </c:pt>
                <c:pt idx="100">
                  <c:v>0</c:v>
                </c:pt>
              </c:numCache>
            </c:numRef>
          </c:val>
          <c:extLst>
            <c:ext xmlns:c16="http://schemas.microsoft.com/office/drawing/2014/chart" uri="{C3380CC4-5D6E-409C-BE32-E72D297353CC}">
              <c16:uniqueId val="{00000002-08F2-45BE-8B98-602ABB65192E}"/>
            </c:ext>
          </c:extLst>
        </c:ser>
        <c:ser>
          <c:idx val="7"/>
          <c:order val="3"/>
          <c:tx>
            <c:strRef>
              <c:f>Parameters!$BB$5</c:f>
              <c:strCache>
                <c:ptCount val="1"/>
                <c:pt idx="0">
                  <c:v>Low-side MOSFET Rdson %</c:v>
                </c:pt>
              </c:strCache>
            </c:strRef>
          </c:tx>
          <c:spPr>
            <a:solidFill>
              <a:srgbClr val="FF6600"/>
            </a:solidFill>
            <a:ln w="12700">
              <a:solidFill>
                <a:srgbClr val="000000"/>
              </a:solidFill>
              <a:prstDash val="solid"/>
            </a:ln>
          </c:spPr>
          <c:val>
            <c:numRef>
              <c:f>Parameters!$BB$6:$BB$106</c:f>
              <c:numCache>
                <c:formatCode>0.000%</c:formatCode>
                <c:ptCount val="101"/>
                <c:pt idx="0">
                  <c:v>0</c:v>
                </c:pt>
                <c:pt idx="1">
                  <c:v>0</c:v>
                </c:pt>
                <c:pt idx="2">
                  <c:v>0</c:v>
                </c:pt>
                <c:pt idx="3">
                  <c:v>0</c:v>
                </c:pt>
                <c:pt idx="100">
                  <c:v>0</c:v>
                </c:pt>
              </c:numCache>
            </c:numRef>
          </c:val>
          <c:extLst>
            <c:ext xmlns:c16="http://schemas.microsoft.com/office/drawing/2014/chart" uri="{C3380CC4-5D6E-409C-BE32-E72D297353CC}">
              <c16:uniqueId val="{00000003-08F2-45BE-8B98-602ABB65192E}"/>
            </c:ext>
          </c:extLst>
        </c:ser>
        <c:ser>
          <c:idx val="4"/>
          <c:order val="4"/>
          <c:tx>
            <c:strRef>
              <c:f>Parameters!$BH$5</c:f>
              <c:strCache>
                <c:ptCount val="1"/>
                <c:pt idx="0">
                  <c:v>Inductor Core Loss %</c:v>
                </c:pt>
              </c:strCache>
            </c:strRef>
          </c:tx>
          <c:spPr>
            <a:solidFill>
              <a:srgbClr val="99CC00"/>
            </a:solidFill>
            <a:ln w="12700">
              <a:solidFill>
                <a:srgbClr val="000000"/>
              </a:solidFill>
              <a:prstDash val="solid"/>
            </a:ln>
          </c:spPr>
          <c:val>
            <c:numRef>
              <c:f>Parameters!$BH$6:$BH$106</c:f>
              <c:numCache>
                <c:formatCode>0.000%</c:formatCode>
                <c:ptCount val="101"/>
                <c:pt idx="0">
                  <c:v>0</c:v>
                </c:pt>
                <c:pt idx="1">
                  <c:v>0</c:v>
                </c:pt>
                <c:pt idx="2">
                  <c:v>0</c:v>
                </c:pt>
                <c:pt idx="3">
                  <c:v>0</c:v>
                </c:pt>
                <c:pt idx="100">
                  <c:v>0</c:v>
                </c:pt>
              </c:numCache>
            </c:numRef>
          </c:val>
          <c:extLst>
            <c:ext xmlns:c16="http://schemas.microsoft.com/office/drawing/2014/chart" uri="{C3380CC4-5D6E-409C-BE32-E72D297353CC}">
              <c16:uniqueId val="{00000004-08F2-45BE-8B98-602ABB65192E}"/>
            </c:ext>
          </c:extLst>
        </c:ser>
        <c:ser>
          <c:idx val="8"/>
          <c:order val="5"/>
          <c:tx>
            <c:strRef>
              <c:f>Parameters!$BG$5</c:f>
              <c:strCache>
                <c:ptCount val="1"/>
                <c:pt idx="0">
                  <c:v>Inductor Cu Loss %</c:v>
                </c:pt>
              </c:strCache>
            </c:strRef>
          </c:tx>
          <c:spPr>
            <a:solidFill>
              <a:srgbClr val="00FF00"/>
            </a:solidFill>
            <a:ln w="12700">
              <a:solidFill>
                <a:srgbClr val="000000"/>
              </a:solidFill>
              <a:prstDash val="solid"/>
            </a:ln>
          </c:spPr>
          <c:val>
            <c:numRef>
              <c:f>Parameters!$BG$6:$BG$106</c:f>
              <c:numCache>
                <c:formatCode>0.000%</c:formatCode>
                <c:ptCount val="101"/>
                <c:pt idx="0">
                  <c:v>0</c:v>
                </c:pt>
                <c:pt idx="1">
                  <c:v>0</c:v>
                </c:pt>
                <c:pt idx="2">
                  <c:v>0</c:v>
                </c:pt>
                <c:pt idx="3">
                  <c:v>0</c:v>
                </c:pt>
                <c:pt idx="100">
                  <c:v>0</c:v>
                </c:pt>
              </c:numCache>
            </c:numRef>
          </c:val>
          <c:extLst>
            <c:ext xmlns:c16="http://schemas.microsoft.com/office/drawing/2014/chart" uri="{C3380CC4-5D6E-409C-BE32-E72D297353CC}">
              <c16:uniqueId val="{00000005-08F2-45BE-8B98-602ABB65192E}"/>
            </c:ext>
          </c:extLst>
        </c:ser>
        <c:ser>
          <c:idx val="2"/>
          <c:order val="6"/>
          <c:tx>
            <c:strRef>
              <c:f>Parameters!$BC$5</c:f>
              <c:strCache>
                <c:ptCount val="1"/>
                <c:pt idx="0">
                  <c:v>Gate Drive (Qg) Loss from Vin %</c:v>
                </c:pt>
              </c:strCache>
            </c:strRef>
          </c:tx>
          <c:spPr>
            <a:solidFill>
              <a:srgbClr val="00FFFF"/>
            </a:solidFill>
            <a:ln w="12700">
              <a:solidFill>
                <a:srgbClr val="000000"/>
              </a:solidFill>
              <a:prstDash val="solid"/>
            </a:ln>
          </c:spPr>
          <c:val>
            <c:numRef>
              <c:f>Parameters!$BC$6:$BC$106</c:f>
              <c:numCache>
                <c:formatCode>0.000%</c:formatCode>
                <c:ptCount val="101"/>
                <c:pt idx="0">
                  <c:v>0</c:v>
                </c:pt>
                <c:pt idx="1">
                  <c:v>0</c:v>
                </c:pt>
                <c:pt idx="2">
                  <c:v>0</c:v>
                </c:pt>
                <c:pt idx="3">
                  <c:v>0</c:v>
                </c:pt>
                <c:pt idx="100">
                  <c:v>0</c:v>
                </c:pt>
              </c:numCache>
            </c:numRef>
          </c:val>
          <c:extLst>
            <c:ext xmlns:c16="http://schemas.microsoft.com/office/drawing/2014/chart" uri="{C3380CC4-5D6E-409C-BE32-E72D297353CC}">
              <c16:uniqueId val="{00000006-08F2-45BE-8B98-602ABB65192E}"/>
            </c:ext>
          </c:extLst>
        </c:ser>
        <c:ser>
          <c:idx val="5"/>
          <c:order val="7"/>
          <c:tx>
            <c:strRef>
              <c:f>Parameters!$BD$5</c:f>
              <c:strCache>
                <c:ptCount val="1"/>
                <c:pt idx="0">
                  <c:v>High-side MOSFET Switching Loss %</c:v>
                </c:pt>
              </c:strCache>
            </c:strRef>
          </c:tx>
          <c:spPr>
            <a:solidFill>
              <a:srgbClr val="0000FF"/>
            </a:solidFill>
            <a:ln w="12700">
              <a:solidFill>
                <a:srgbClr val="000000"/>
              </a:solidFill>
              <a:prstDash val="solid"/>
            </a:ln>
          </c:spPr>
          <c:val>
            <c:numRef>
              <c:f>Parameters!$BD$6:$BD$106</c:f>
              <c:numCache>
                <c:formatCode>0.000%</c:formatCode>
                <c:ptCount val="101"/>
                <c:pt idx="0">
                  <c:v>0</c:v>
                </c:pt>
                <c:pt idx="1">
                  <c:v>0</c:v>
                </c:pt>
                <c:pt idx="2">
                  <c:v>0</c:v>
                </c:pt>
                <c:pt idx="3">
                  <c:v>0</c:v>
                </c:pt>
                <c:pt idx="100">
                  <c:v>0</c:v>
                </c:pt>
              </c:numCache>
            </c:numRef>
          </c:val>
          <c:extLst>
            <c:ext xmlns:c16="http://schemas.microsoft.com/office/drawing/2014/chart" uri="{C3380CC4-5D6E-409C-BE32-E72D297353CC}">
              <c16:uniqueId val="{00000007-08F2-45BE-8B98-602ABB65192E}"/>
            </c:ext>
          </c:extLst>
        </c:ser>
        <c:ser>
          <c:idx val="10"/>
          <c:order val="8"/>
          <c:tx>
            <c:strRef>
              <c:f>Parameters!$BE$5</c:f>
              <c:strCache>
                <c:ptCount val="1"/>
                <c:pt idx="0">
                  <c:v>Reverse Recovery &amp; Leakage Loss %</c:v>
                </c:pt>
              </c:strCache>
            </c:strRef>
          </c:tx>
          <c:spPr>
            <a:solidFill>
              <a:srgbClr val="FFFF00"/>
            </a:solidFill>
            <a:ln w="12700">
              <a:solidFill>
                <a:srgbClr val="000000"/>
              </a:solidFill>
              <a:prstDash val="solid"/>
            </a:ln>
          </c:spPr>
          <c:val>
            <c:numRef>
              <c:f>Parameters!$BE$6:$BE$106</c:f>
              <c:numCache>
                <c:formatCode>0.000%</c:formatCode>
                <c:ptCount val="101"/>
                <c:pt idx="0">
                  <c:v>0</c:v>
                </c:pt>
                <c:pt idx="1">
                  <c:v>0</c:v>
                </c:pt>
                <c:pt idx="2">
                  <c:v>0</c:v>
                </c:pt>
                <c:pt idx="3">
                  <c:v>0</c:v>
                </c:pt>
                <c:pt idx="100">
                  <c:v>0</c:v>
                </c:pt>
              </c:numCache>
            </c:numRef>
          </c:val>
          <c:extLst>
            <c:ext xmlns:c16="http://schemas.microsoft.com/office/drawing/2014/chart" uri="{C3380CC4-5D6E-409C-BE32-E72D297353CC}">
              <c16:uniqueId val="{00000008-08F2-45BE-8B98-602ABB65192E}"/>
            </c:ext>
          </c:extLst>
        </c:ser>
        <c:ser>
          <c:idx val="0"/>
          <c:order val="9"/>
          <c:tx>
            <c:strRef>
              <c:f>Parameters!$BJ$5</c:f>
              <c:strCache>
                <c:ptCount val="1"/>
                <c:pt idx="0">
                  <c:v>Quiescent Current Loss %</c:v>
                </c:pt>
              </c:strCache>
            </c:strRef>
          </c:tx>
          <c:val>
            <c:numRef>
              <c:f>Parameters!$BJ$6:$BJ$106</c:f>
              <c:numCache>
                <c:formatCode>0.00%</c:formatCode>
                <c:ptCount val="101"/>
                <c:pt idx="0">
                  <c:v>0</c:v>
                </c:pt>
                <c:pt idx="1">
                  <c:v>0</c:v>
                </c:pt>
                <c:pt idx="2">
                  <c:v>0</c:v>
                </c:pt>
                <c:pt idx="3">
                  <c:v>0</c:v>
                </c:pt>
                <c:pt idx="100">
                  <c:v>0</c:v>
                </c:pt>
              </c:numCache>
            </c:numRef>
          </c:val>
          <c:extLst>
            <c:ext xmlns:c16="http://schemas.microsoft.com/office/drawing/2014/chart" uri="{C3380CC4-5D6E-409C-BE32-E72D297353CC}">
              <c16:uniqueId val="{00000009-08F2-45BE-8B98-602ABB65192E}"/>
            </c:ext>
          </c:extLst>
        </c:ser>
        <c:ser>
          <c:idx val="9"/>
          <c:order val="10"/>
          <c:tx>
            <c:strRef>
              <c:f>Parameters!$BL$5</c:f>
              <c:strCache>
                <c:ptCount val="1"/>
                <c:pt idx="0">
                  <c:v>Overall Eff %</c:v>
                </c:pt>
              </c:strCache>
            </c:strRef>
          </c:tx>
          <c:spPr>
            <a:solidFill>
              <a:srgbClr val="000000"/>
            </a:solidFill>
            <a:ln w="12700">
              <a:solidFill>
                <a:srgbClr val="000000"/>
              </a:solidFill>
              <a:prstDash val="solid"/>
            </a:ln>
          </c:spPr>
          <c:val>
            <c:numRef>
              <c:f>Parameters!$BL$6:$BL$106</c:f>
              <c:numCache>
                <c:formatCode>0.00%</c:formatCode>
                <c:ptCount val="101"/>
                <c:pt idx="0">
                  <c:v>1</c:v>
                </c:pt>
                <c:pt idx="1">
                  <c:v>1</c:v>
                </c:pt>
                <c:pt idx="2">
                  <c:v>1</c:v>
                </c:pt>
                <c:pt idx="3">
                  <c:v>1</c:v>
                </c:pt>
                <c:pt idx="100">
                  <c:v>1</c:v>
                </c:pt>
              </c:numCache>
            </c:numRef>
          </c:val>
          <c:extLst>
            <c:ext xmlns:c16="http://schemas.microsoft.com/office/drawing/2014/chart" uri="{C3380CC4-5D6E-409C-BE32-E72D297353CC}">
              <c16:uniqueId val="{0000000A-08F2-45BE-8B98-602ABB65192E}"/>
            </c:ext>
          </c:extLst>
        </c:ser>
        <c:dLbls>
          <c:showLegendKey val="0"/>
          <c:showVal val="0"/>
          <c:showCatName val="0"/>
          <c:showSerName val="0"/>
          <c:showPercent val="0"/>
          <c:showBubbleSize val="0"/>
        </c:dLbls>
        <c:axId val="160311936"/>
        <c:axId val="160322304"/>
      </c:areaChart>
      <c:catAx>
        <c:axId val="160311936"/>
        <c:scaling>
          <c:orientation val="minMax"/>
        </c:scaling>
        <c:delete val="0"/>
        <c:axPos val="b"/>
        <c:majorGridlines>
          <c:spPr>
            <a:ln w="3175">
              <a:solidFill>
                <a:srgbClr val="000000"/>
              </a:solidFill>
              <a:prstDash val="solid"/>
            </a:ln>
          </c:spPr>
        </c:majorGridlines>
        <c:title>
          <c:tx>
            <c:rich>
              <a:bodyPr/>
              <a:lstStyle/>
              <a:p>
                <a:pPr>
                  <a:defRPr sz="1725" b="1" i="0" u="none" strike="noStrike" baseline="0">
                    <a:solidFill>
                      <a:srgbClr val="000000"/>
                    </a:solidFill>
                    <a:latin typeface="Arial"/>
                    <a:ea typeface="Arial"/>
                    <a:cs typeface="Arial"/>
                  </a:defRPr>
                </a:pPr>
                <a:r>
                  <a:rPr lang="en-US"/>
                  <a:t>I</a:t>
                </a:r>
                <a:r>
                  <a:rPr lang="en-US" baseline="-25000"/>
                  <a:t>OUT</a:t>
                </a:r>
                <a:r>
                  <a:rPr lang="en-US"/>
                  <a:t> (log)</a:t>
                </a:r>
              </a:p>
            </c:rich>
          </c:tx>
          <c:layout>
            <c:manualLayout>
              <c:xMode val="edge"/>
              <c:yMode val="edge"/>
              <c:x val="0.37238179041606823"/>
              <c:y val="0.89147900498075083"/>
            </c:manualLayout>
          </c:layout>
          <c:overlay val="0"/>
          <c:spPr>
            <a:noFill/>
            <a:ln w="25400">
              <a:noFill/>
            </a:ln>
          </c:spPr>
        </c:title>
        <c:numFmt formatCode="#,##0" sourceLinked="0"/>
        <c:majorTickMark val="out"/>
        <c:minorTickMark val="none"/>
        <c:tickLblPos val="none"/>
        <c:spPr>
          <a:ln w="3175">
            <a:solidFill>
              <a:srgbClr val="000000"/>
            </a:solidFill>
            <a:prstDash val="solid"/>
          </a:ln>
        </c:spPr>
        <c:txPr>
          <a:bodyPr rot="-5400000" vert="horz"/>
          <a:lstStyle/>
          <a:p>
            <a:pPr>
              <a:defRPr sz="1725" b="0" i="0" u="none" strike="noStrike" baseline="0">
                <a:solidFill>
                  <a:srgbClr val="000000"/>
                </a:solidFill>
                <a:latin typeface="Arial"/>
                <a:ea typeface="Arial"/>
                <a:cs typeface="Arial"/>
              </a:defRPr>
            </a:pPr>
            <a:endParaRPr lang="en-US"/>
          </a:p>
        </c:txPr>
        <c:crossAx val="160322304"/>
        <c:crosses val="autoZero"/>
        <c:auto val="1"/>
        <c:lblAlgn val="ctr"/>
        <c:lblOffset val="100"/>
        <c:tickMarkSkip val="1"/>
        <c:noMultiLvlLbl val="0"/>
      </c:catAx>
      <c:valAx>
        <c:axId val="160322304"/>
        <c:scaling>
          <c:orientation val="minMax"/>
          <c:max val="0.2"/>
          <c:min val="0"/>
        </c:scaling>
        <c:delete val="0"/>
        <c:axPos val="l"/>
        <c:majorGridlines>
          <c:spPr>
            <a:ln w="3175">
              <a:solidFill>
                <a:srgbClr val="000000"/>
              </a:solidFill>
              <a:prstDash val="solid"/>
            </a:ln>
          </c:spPr>
        </c:majorGridlines>
        <c:minorGridlines/>
        <c:title>
          <c:tx>
            <c:rich>
              <a:bodyPr/>
              <a:lstStyle/>
              <a:p>
                <a:pPr>
                  <a:defRPr sz="1725" b="1" i="0" u="none" strike="noStrike" baseline="0">
                    <a:solidFill>
                      <a:srgbClr val="000000"/>
                    </a:solidFill>
                    <a:latin typeface="Arial"/>
                    <a:ea typeface="Arial"/>
                    <a:cs typeface="Arial"/>
                  </a:defRPr>
                </a:pPr>
                <a:r>
                  <a:rPr lang="en-US"/>
                  <a:t>Efficiency (%)</a:t>
                </a:r>
              </a:p>
            </c:rich>
          </c:tx>
          <c:layout>
            <c:manualLayout>
              <c:xMode val="edge"/>
              <c:yMode val="edge"/>
              <c:x val="8.9796428919729693E-2"/>
              <c:y val="0.3456705164996208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725" b="0" i="0" u="none" strike="noStrike" baseline="0">
                <a:solidFill>
                  <a:srgbClr val="000000"/>
                </a:solidFill>
                <a:latin typeface="Arial"/>
                <a:ea typeface="Arial"/>
                <a:cs typeface="Arial"/>
              </a:defRPr>
            </a:pPr>
            <a:endParaRPr lang="en-US"/>
          </a:p>
        </c:txPr>
        <c:crossAx val="160311936"/>
        <c:crosses val="autoZero"/>
        <c:crossBetween val="midCat"/>
        <c:majorUnit val="5.000000000000001E-2"/>
        <c:minorUnit val="2.5000000000000005E-2"/>
      </c:valAx>
      <c:spPr>
        <a:solidFill>
          <a:srgbClr val="C0C0C0"/>
        </a:solidFill>
        <a:ln w="12700">
          <a:solidFill>
            <a:srgbClr val="808080"/>
          </a:solidFill>
          <a:prstDash val="solid"/>
        </a:ln>
      </c:spPr>
    </c:plotArea>
    <c:legend>
      <c:legendPos val="r"/>
      <c:layout>
        <c:manualLayout>
          <c:xMode val="edge"/>
          <c:yMode val="edge"/>
          <c:x val="0.70666185810743165"/>
          <c:y val="9.3155590739667823E-2"/>
          <c:w val="0.26010897805044486"/>
          <c:h val="0.85864261581306134"/>
        </c:manualLayout>
      </c:layout>
      <c:overlay val="0"/>
      <c:spPr>
        <a:solidFill>
          <a:srgbClr val="FFFFFF"/>
        </a:solidFill>
        <a:ln w="3175">
          <a:solidFill>
            <a:srgbClr val="000000"/>
          </a:solidFill>
          <a:prstDash val="solid"/>
        </a:ln>
      </c:spPr>
      <c:txPr>
        <a:bodyPr/>
        <a:lstStyle/>
        <a:p>
          <a:pPr>
            <a:defRPr sz="1335"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3175">
      <a:solidFill>
        <a:srgbClr val="000000"/>
      </a:solidFill>
      <a:prstDash val="solid"/>
    </a:ln>
  </c:spPr>
  <c:txPr>
    <a:bodyPr/>
    <a:lstStyle/>
    <a:p>
      <a:pPr>
        <a:defRPr sz="1725" b="0" i="0" u="none" strike="noStrike" baseline="0">
          <a:solidFill>
            <a:srgbClr val="000000"/>
          </a:solidFill>
          <a:latin typeface="Arial"/>
          <a:ea typeface="Arial"/>
          <a:cs typeface="Arial"/>
        </a:defRPr>
      </a:pPr>
      <a:endParaRPr lang="en-US"/>
    </a:p>
  </c:txPr>
  <c:printSettings>
    <c:headerFooter alignWithMargins="0"/>
    <c:pageMargins b="1" l="0.75000000000000189" r="0.75000000000000189" t="1" header="0.5" footer="0.5"/>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800" b="1" i="0" baseline="0"/>
              <a:t>Breakdown of </a:t>
            </a:r>
            <a:r>
              <a:rPr lang="en-US" sz="1800" b="1" i="0" baseline="0">
                <a:solidFill>
                  <a:srgbClr val="FF0000"/>
                </a:solidFill>
              </a:rPr>
              <a:t>COT</a:t>
            </a:r>
            <a:r>
              <a:rPr lang="en-US" sz="1800" b="1" i="0" baseline="0"/>
              <a:t> Efficiency Losses (</a:t>
            </a:r>
            <a:r>
              <a:rPr lang="en-US" sz="1800" b="1" i="0" u="none" strike="noStrike" baseline="0"/>
              <a:t>I</a:t>
            </a:r>
            <a:r>
              <a:rPr lang="en-US" sz="1800" b="1" i="0" u="none" strike="noStrike" baseline="-25000"/>
              <a:t>OUT</a:t>
            </a:r>
            <a:r>
              <a:rPr lang="en-US" sz="1800" b="1" i="0" u="none" strike="noStrike" baseline="0"/>
              <a:t> = </a:t>
            </a:r>
            <a:r>
              <a:rPr lang="en-US" sz="1800" b="1" i="0" baseline="0"/>
              <a:t>100mA)</a:t>
            </a:r>
            <a:endParaRPr lang="en-US" sz="1800"/>
          </a:p>
        </c:rich>
      </c:tx>
      <c:layout>
        <c:manualLayout>
          <c:xMode val="edge"/>
          <c:yMode val="edge"/>
          <c:x val="0.32963167587477016"/>
          <c:y val="3.5906642728904876E-2"/>
        </c:manualLayout>
      </c:layout>
      <c:overlay val="0"/>
    </c:title>
    <c:autoTitleDeleted val="0"/>
    <c:plotArea>
      <c:layout>
        <c:manualLayout>
          <c:layoutTarget val="inner"/>
          <c:xMode val="edge"/>
          <c:yMode val="edge"/>
          <c:x val="9.2844202898550721E-2"/>
          <c:y val="0.14821658962288614"/>
          <c:w val="0.89442960513913661"/>
          <c:h val="0.76382419881536368"/>
        </c:manualLayout>
      </c:layout>
      <c:barChart>
        <c:barDir val="col"/>
        <c:grouping val="clustered"/>
        <c:varyColors val="0"/>
        <c:ser>
          <c:idx val="6"/>
          <c:order val="0"/>
          <c:tx>
            <c:strRef>
              <c:f>Parameters!$BA$5</c:f>
              <c:strCache>
                <c:ptCount val="1"/>
                <c:pt idx="0">
                  <c:v>High-side MOSFET Rdson %</c:v>
                </c:pt>
              </c:strCache>
            </c:strRef>
          </c:tx>
          <c:spPr>
            <a:solidFill>
              <a:srgbClr val="FF0000"/>
            </a:solidFill>
            <a:ln w="12700">
              <a:solidFill>
                <a:srgbClr val="000000"/>
              </a:solidFill>
              <a:prstDash val="solid"/>
            </a:ln>
          </c:spPr>
          <c:invertIfNegative val="0"/>
          <c:dLbls>
            <c:dLbl>
              <c:idx val="0"/>
              <c:tx>
                <c:rich>
                  <a:bodyPr/>
                  <a:lstStyle/>
                  <a:p>
                    <a:r>
                      <a:rPr lang="en-US"/>
                      <a:t>High-side MOSFET</a:t>
                    </a:r>
                  </a:p>
                  <a:p>
                    <a:r>
                      <a:rPr lang="en-US"/>
                      <a:t>Rdson</a:t>
                    </a:r>
                  </a:p>
                </c:rich>
              </c:tx>
              <c:dLblPos val="outEnd"/>
              <c:showLegendKey val="0"/>
              <c:showVal val="0"/>
              <c:showCatName val="0"/>
              <c:showSerName val="1"/>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78DF-4F46-BB77-147EB94DAC6E}"/>
                </c:ext>
              </c:extLst>
            </c:dLbl>
            <c:spPr>
              <a:noFill/>
              <a:ln>
                <a:noFill/>
              </a:ln>
              <a:effectLst/>
            </c:spPr>
            <c:txPr>
              <a:bodyPr/>
              <a:lstStyle/>
              <a:p>
                <a:pPr>
                  <a:defRPr sz="1200" b="1"/>
                </a:pPr>
                <a:endParaRPr lang="en-US"/>
              </a:p>
            </c:txPr>
            <c:dLblPos val="outEnd"/>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Parameters!$BA$109</c:f>
              <c:numCache>
                <c:formatCode>0.000%</c:formatCode>
                <c:ptCount val="1"/>
                <c:pt idx="0">
                  <c:v>8.1000709018000279E-3</c:v>
                </c:pt>
              </c:numCache>
            </c:numRef>
          </c:val>
          <c:extLst>
            <c:ext xmlns:c16="http://schemas.microsoft.com/office/drawing/2014/chart" uri="{C3380CC4-5D6E-409C-BE32-E72D297353CC}">
              <c16:uniqueId val="{00000001-78DF-4F46-BB77-147EB94DAC6E}"/>
            </c:ext>
          </c:extLst>
        </c:ser>
        <c:ser>
          <c:idx val="5"/>
          <c:order val="1"/>
          <c:tx>
            <c:strRef>
              <c:f>Parameters!$BD$5</c:f>
              <c:strCache>
                <c:ptCount val="1"/>
                <c:pt idx="0">
                  <c:v>High-side MOSFET Switching Loss %</c:v>
                </c:pt>
              </c:strCache>
            </c:strRef>
          </c:tx>
          <c:spPr>
            <a:solidFill>
              <a:srgbClr val="0000FF"/>
            </a:solidFill>
            <a:ln w="12700">
              <a:solidFill>
                <a:srgbClr val="000000"/>
              </a:solidFill>
              <a:prstDash val="solid"/>
            </a:ln>
          </c:spPr>
          <c:invertIfNegative val="0"/>
          <c:dLbls>
            <c:dLbl>
              <c:idx val="0"/>
              <c:layout>
                <c:manualLayout>
                  <c:x val="-9.2081031307550637E-4"/>
                  <c:y val="-7.1813285457809741E-3"/>
                </c:manualLayout>
              </c:layout>
              <c:tx>
                <c:rich>
                  <a:bodyPr/>
                  <a:lstStyle/>
                  <a:p>
                    <a:r>
                      <a:rPr lang="en-US"/>
                      <a:t>High-side MOSFET</a:t>
                    </a:r>
                  </a:p>
                  <a:p>
                    <a:r>
                      <a:rPr lang="en-US"/>
                      <a:t>Switching</a:t>
                    </a:r>
                  </a:p>
                </c:rich>
              </c:tx>
              <c:dLblPos val="outEnd"/>
              <c:showLegendKey val="0"/>
              <c:showVal val="0"/>
              <c:showCatName val="0"/>
              <c:showSerName val="1"/>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78DF-4F46-BB77-147EB94DAC6E}"/>
                </c:ext>
              </c:extLst>
            </c:dLbl>
            <c:spPr>
              <a:noFill/>
              <a:ln>
                <a:noFill/>
              </a:ln>
              <a:effectLst/>
            </c:spPr>
            <c:txPr>
              <a:bodyPr/>
              <a:lstStyle/>
              <a:p>
                <a:pPr>
                  <a:defRPr sz="1200" b="1"/>
                </a:pPr>
                <a:endParaRPr lang="en-US"/>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val>
            <c:numRef>
              <c:f>Parameters!$BD$109</c:f>
              <c:numCache>
                <c:formatCode>0.000%</c:formatCode>
                <c:ptCount val="1"/>
                <c:pt idx="0">
                  <c:v>9.9057039827182662E-3</c:v>
                </c:pt>
              </c:numCache>
            </c:numRef>
          </c:val>
          <c:extLst>
            <c:ext xmlns:c16="http://schemas.microsoft.com/office/drawing/2014/chart" uri="{C3380CC4-5D6E-409C-BE32-E72D297353CC}">
              <c16:uniqueId val="{00000003-78DF-4F46-BB77-147EB94DAC6E}"/>
            </c:ext>
          </c:extLst>
        </c:ser>
        <c:ser>
          <c:idx val="7"/>
          <c:order val="2"/>
          <c:tx>
            <c:strRef>
              <c:f>Parameters!$BB$5</c:f>
              <c:strCache>
                <c:ptCount val="1"/>
                <c:pt idx="0">
                  <c:v>Low-side MOSFET Rdson %</c:v>
                </c:pt>
              </c:strCache>
            </c:strRef>
          </c:tx>
          <c:spPr>
            <a:solidFill>
              <a:srgbClr val="FF6600"/>
            </a:solidFill>
            <a:ln w="12700">
              <a:solidFill>
                <a:srgbClr val="000000"/>
              </a:solidFill>
              <a:prstDash val="solid"/>
            </a:ln>
          </c:spPr>
          <c:invertIfNegative val="0"/>
          <c:dLbls>
            <c:dLbl>
              <c:idx val="0"/>
              <c:tx>
                <c:rich>
                  <a:bodyPr/>
                  <a:lstStyle/>
                  <a:p>
                    <a:r>
                      <a:rPr lang="en-US" sz="1200" b="1"/>
                      <a:t>L</a:t>
                    </a:r>
                    <a:r>
                      <a:rPr lang="en-US" sz="1200"/>
                      <a:t>ow-side MOSFET</a:t>
                    </a:r>
                  </a:p>
                  <a:p>
                    <a:r>
                      <a:rPr lang="en-US" sz="1200"/>
                      <a:t>Rdson</a:t>
                    </a:r>
                  </a:p>
                </c:rich>
              </c:tx>
              <c:dLblPos val="outEnd"/>
              <c:showLegendKey val="0"/>
              <c:showVal val="1"/>
              <c:showCatName val="0"/>
              <c:showSerName val="1"/>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78DF-4F46-BB77-147EB94DAC6E}"/>
                </c:ext>
              </c:extLst>
            </c:dLbl>
            <c:spPr>
              <a:noFill/>
              <a:ln>
                <a:noFill/>
              </a:ln>
              <a:effectLst/>
            </c:spPr>
            <c:txPr>
              <a:bodyPr/>
              <a:lstStyle/>
              <a:p>
                <a:pPr>
                  <a:defRPr b="1"/>
                </a:pPr>
                <a:endParaRPr lang="en-US"/>
              </a:p>
            </c:txPr>
            <c:dLblPos val="outEnd"/>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val>
            <c:numRef>
              <c:f>Parameters!$BB$109</c:f>
              <c:numCache>
                <c:formatCode>0.000%</c:formatCode>
                <c:ptCount val="1"/>
                <c:pt idx="0">
                  <c:v>1.4614802049391215E-2</c:v>
                </c:pt>
              </c:numCache>
            </c:numRef>
          </c:val>
          <c:extLst>
            <c:ext xmlns:c16="http://schemas.microsoft.com/office/drawing/2014/chart" uri="{C3380CC4-5D6E-409C-BE32-E72D297353CC}">
              <c16:uniqueId val="{00000005-78DF-4F46-BB77-147EB94DAC6E}"/>
            </c:ext>
          </c:extLst>
        </c:ser>
        <c:ser>
          <c:idx val="3"/>
          <c:order val="3"/>
          <c:tx>
            <c:strRef>
              <c:f>Parameters!$BF$5</c:f>
              <c:strCache>
                <c:ptCount val="1"/>
                <c:pt idx="0">
                  <c:v>Deadtime Loss %</c:v>
                </c:pt>
              </c:strCache>
            </c:strRef>
          </c:tx>
          <c:spPr>
            <a:solidFill>
              <a:srgbClr val="666699"/>
            </a:solidFill>
            <a:ln w="12700">
              <a:solidFill>
                <a:srgbClr val="000000"/>
              </a:solidFill>
              <a:prstDash val="solid"/>
            </a:ln>
          </c:spPr>
          <c:invertIfNegative val="0"/>
          <c:dLbls>
            <c:dLbl>
              <c:idx val="0"/>
              <c:layout>
                <c:manualLayout>
                  <c:x val="0"/>
                  <c:y val="-9.5751047277079695E-3"/>
                </c:manualLayout>
              </c:layout>
              <c:tx>
                <c:rich>
                  <a:bodyPr/>
                  <a:lstStyle/>
                  <a:p>
                    <a:r>
                      <a:rPr lang="en-US"/>
                      <a:t>Low-side MOSFET</a:t>
                    </a:r>
                  </a:p>
                  <a:p>
                    <a:r>
                      <a:rPr lang="en-US"/>
                      <a:t>Deadtime </a:t>
                    </a:r>
                  </a:p>
                </c:rich>
              </c:tx>
              <c:dLblPos val="outEnd"/>
              <c:showLegendKey val="0"/>
              <c:showVal val="0"/>
              <c:showCatName val="0"/>
              <c:showSerName val="1"/>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78DF-4F46-BB77-147EB94DAC6E}"/>
                </c:ext>
              </c:extLst>
            </c:dLbl>
            <c:spPr>
              <a:noFill/>
              <a:ln>
                <a:noFill/>
              </a:ln>
              <a:effectLst/>
            </c:spPr>
            <c:txPr>
              <a:bodyPr/>
              <a:lstStyle/>
              <a:p>
                <a:pPr>
                  <a:defRPr sz="1200" b="1"/>
                </a:pPr>
                <a:endParaRPr lang="en-US"/>
              </a:p>
            </c:txPr>
            <c:dLblPos val="outEnd"/>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Parameters!$BF$109</c:f>
              <c:numCache>
                <c:formatCode>0.000%</c:formatCode>
                <c:ptCount val="1"/>
                <c:pt idx="0">
                  <c:v>1.6465542803473395E-3</c:v>
                </c:pt>
              </c:numCache>
            </c:numRef>
          </c:val>
          <c:extLst>
            <c:ext xmlns:c16="http://schemas.microsoft.com/office/drawing/2014/chart" uri="{C3380CC4-5D6E-409C-BE32-E72D297353CC}">
              <c16:uniqueId val="{00000007-78DF-4F46-BB77-147EB94DAC6E}"/>
            </c:ext>
          </c:extLst>
        </c:ser>
        <c:ser>
          <c:idx val="2"/>
          <c:order val="4"/>
          <c:tx>
            <c:strRef>
              <c:f>Parameters!$BC$5</c:f>
              <c:strCache>
                <c:ptCount val="1"/>
                <c:pt idx="0">
                  <c:v>Gate Drive (Qg) Loss from Vin %</c:v>
                </c:pt>
              </c:strCache>
            </c:strRef>
          </c:tx>
          <c:spPr>
            <a:solidFill>
              <a:srgbClr val="00FFFF"/>
            </a:solidFill>
            <a:ln w="12700">
              <a:solidFill>
                <a:srgbClr val="000000"/>
              </a:solidFill>
              <a:prstDash val="solid"/>
            </a:ln>
          </c:spPr>
          <c:invertIfNegative val="0"/>
          <c:dLbls>
            <c:dLbl>
              <c:idx val="0"/>
              <c:tx>
                <c:rich>
                  <a:bodyPr/>
                  <a:lstStyle/>
                  <a:p>
                    <a:r>
                      <a:rPr lang="en-US"/>
                      <a:t>Gate Drive (Qg)</a:t>
                    </a:r>
                  </a:p>
                  <a:p>
                    <a:r>
                      <a:rPr lang="en-US"/>
                      <a:t>Loss</a:t>
                    </a:r>
                  </a:p>
                </c:rich>
              </c:tx>
              <c:dLblPos val="outEnd"/>
              <c:showLegendKey val="0"/>
              <c:showVal val="0"/>
              <c:showCatName val="0"/>
              <c:showSerName val="1"/>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78DF-4F46-BB77-147EB94DAC6E}"/>
                </c:ext>
              </c:extLst>
            </c:dLbl>
            <c:spPr>
              <a:noFill/>
              <a:ln>
                <a:noFill/>
              </a:ln>
              <a:effectLst/>
            </c:spPr>
            <c:txPr>
              <a:bodyPr rot="0" vert="horz"/>
              <a:lstStyle/>
              <a:p>
                <a:pPr>
                  <a:defRPr sz="1200" b="1"/>
                </a:pPr>
                <a:endParaRPr lang="en-US"/>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val>
            <c:numRef>
              <c:f>Parameters!$BC$109</c:f>
              <c:numCache>
                <c:formatCode>0.000%</c:formatCode>
                <c:ptCount val="1"/>
                <c:pt idx="0">
                  <c:v>2.4831534664325892E-2</c:v>
                </c:pt>
              </c:numCache>
            </c:numRef>
          </c:val>
          <c:extLst>
            <c:ext xmlns:c16="http://schemas.microsoft.com/office/drawing/2014/chart" uri="{C3380CC4-5D6E-409C-BE32-E72D297353CC}">
              <c16:uniqueId val="{00000009-78DF-4F46-BB77-147EB94DAC6E}"/>
            </c:ext>
          </c:extLst>
        </c:ser>
        <c:ser>
          <c:idx val="1"/>
          <c:order val="5"/>
          <c:tx>
            <c:strRef>
              <c:f>Parameters!$BE$5</c:f>
              <c:strCache>
                <c:ptCount val="1"/>
                <c:pt idx="0">
                  <c:v>Reverse Recovery &amp; Leakage Loss %</c:v>
                </c:pt>
              </c:strCache>
            </c:strRef>
          </c:tx>
          <c:invertIfNegative val="0"/>
          <c:dLbls>
            <c:dLbl>
              <c:idx val="0"/>
              <c:tx>
                <c:rich>
                  <a:bodyPr/>
                  <a:lstStyle/>
                  <a:p>
                    <a:r>
                      <a:rPr lang="en-US" sz="1200" b="1"/>
                      <a:t>Reverse Recovery</a:t>
                    </a:r>
                  </a:p>
                  <a:p>
                    <a:r>
                      <a:rPr lang="en-US" sz="1200" b="1"/>
                      <a:t>Loss</a:t>
                    </a:r>
                  </a:p>
                </c:rich>
              </c:tx>
              <c:showLegendKey val="0"/>
              <c:showVal val="0"/>
              <c:showCatName val="0"/>
              <c:showSerName val="1"/>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78DF-4F46-BB77-147EB94DAC6E}"/>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Parameters!$BE$109</c:f>
              <c:numCache>
                <c:formatCode>0.000%</c:formatCode>
                <c:ptCount val="1"/>
                <c:pt idx="0">
                  <c:v>1.1631608311305648E-2</c:v>
                </c:pt>
              </c:numCache>
            </c:numRef>
          </c:val>
          <c:extLst>
            <c:ext xmlns:c16="http://schemas.microsoft.com/office/drawing/2014/chart" uri="{C3380CC4-5D6E-409C-BE32-E72D297353CC}">
              <c16:uniqueId val="{0000000B-78DF-4F46-BB77-147EB94DAC6E}"/>
            </c:ext>
          </c:extLst>
        </c:ser>
        <c:ser>
          <c:idx val="8"/>
          <c:order val="6"/>
          <c:tx>
            <c:strRef>
              <c:f>Parameters!$BG$5</c:f>
              <c:strCache>
                <c:ptCount val="1"/>
                <c:pt idx="0">
                  <c:v>Inductor Cu Loss %</c:v>
                </c:pt>
              </c:strCache>
            </c:strRef>
          </c:tx>
          <c:spPr>
            <a:solidFill>
              <a:srgbClr val="00FF00"/>
            </a:solidFill>
            <a:ln w="12700">
              <a:solidFill>
                <a:srgbClr val="000000"/>
              </a:solidFill>
              <a:prstDash val="solid"/>
            </a:ln>
          </c:spPr>
          <c:invertIfNegative val="0"/>
          <c:dLbls>
            <c:dLbl>
              <c:idx val="0"/>
              <c:tx>
                <c:rich>
                  <a:bodyPr/>
                  <a:lstStyle/>
                  <a:p>
                    <a:r>
                      <a:rPr lang="en-US"/>
                      <a:t>Inductor DCR</a:t>
                    </a:r>
                  </a:p>
                  <a:p>
                    <a:r>
                      <a:rPr lang="en-US"/>
                      <a:t>Loss</a:t>
                    </a:r>
                  </a:p>
                </c:rich>
              </c:tx>
              <c:showLegendKey val="0"/>
              <c:showVal val="0"/>
              <c:showCatName val="0"/>
              <c:showSerName val="1"/>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78DF-4F46-BB77-147EB94DAC6E}"/>
                </c:ext>
              </c:extLst>
            </c:dLbl>
            <c:spPr>
              <a:noFill/>
              <a:ln>
                <a:noFill/>
              </a:ln>
              <a:effectLst/>
            </c:spPr>
            <c:txPr>
              <a:bodyPr/>
              <a:lstStyle/>
              <a:p>
                <a:pPr>
                  <a:defRPr sz="1200" b="1"/>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val>
            <c:numRef>
              <c:f>Parameters!$BG$109</c:f>
              <c:numCache>
                <c:formatCode>0.000%</c:formatCode>
                <c:ptCount val="1"/>
                <c:pt idx="0">
                  <c:v>1.6051760250250457E-2</c:v>
                </c:pt>
              </c:numCache>
            </c:numRef>
          </c:val>
          <c:extLst>
            <c:ext xmlns:c16="http://schemas.microsoft.com/office/drawing/2014/chart" uri="{C3380CC4-5D6E-409C-BE32-E72D297353CC}">
              <c16:uniqueId val="{0000000D-78DF-4F46-BB77-147EB94DAC6E}"/>
            </c:ext>
          </c:extLst>
        </c:ser>
        <c:ser>
          <c:idx val="4"/>
          <c:order val="7"/>
          <c:tx>
            <c:strRef>
              <c:f>Parameters!$BH$5</c:f>
              <c:strCache>
                <c:ptCount val="1"/>
                <c:pt idx="0">
                  <c:v>Inductor Core Loss %</c:v>
                </c:pt>
              </c:strCache>
            </c:strRef>
          </c:tx>
          <c:spPr>
            <a:solidFill>
              <a:srgbClr val="99CC00"/>
            </a:solidFill>
            <a:ln w="12700">
              <a:solidFill>
                <a:srgbClr val="000000"/>
              </a:solidFill>
              <a:prstDash val="solid"/>
            </a:ln>
          </c:spPr>
          <c:invertIfNegative val="0"/>
          <c:dLbls>
            <c:dLbl>
              <c:idx val="0"/>
              <c:tx>
                <c:rich>
                  <a:bodyPr/>
                  <a:lstStyle/>
                  <a:p>
                    <a:r>
                      <a:rPr lang="en-US"/>
                      <a:t>Inductor Core</a:t>
                    </a:r>
                  </a:p>
                  <a:p>
                    <a:r>
                      <a:rPr lang="en-US"/>
                      <a:t>Loss</a:t>
                    </a:r>
                  </a:p>
                </c:rich>
              </c:tx>
              <c:showLegendKey val="0"/>
              <c:showVal val="0"/>
              <c:showCatName val="0"/>
              <c:showSerName val="1"/>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78DF-4F46-BB77-147EB94DAC6E}"/>
                </c:ext>
              </c:extLst>
            </c:dLbl>
            <c:spPr>
              <a:noFill/>
              <a:ln>
                <a:noFill/>
              </a:ln>
              <a:effectLst/>
            </c:spPr>
            <c:txPr>
              <a:bodyPr/>
              <a:lstStyle/>
              <a:p>
                <a:pPr>
                  <a:defRPr sz="1200" b="1"/>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val>
            <c:numRef>
              <c:f>Parameters!$BH$109</c:f>
              <c:numCache>
                <c:formatCode>0.000%</c:formatCode>
                <c:ptCount val="1"/>
                <c:pt idx="0">
                  <c:v>6.8152413568584669E-3</c:v>
                </c:pt>
              </c:numCache>
            </c:numRef>
          </c:val>
          <c:extLst>
            <c:ext xmlns:c16="http://schemas.microsoft.com/office/drawing/2014/chart" uri="{C3380CC4-5D6E-409C-BE32-E72D297353CC}">
              <c16:uniqueId val="{0000000F-78DF-4F46-BB77-147EB94DAC6E}"/>
            </c:ext>
          </c:extLst>
        </c:ser>
        <c:ser>
          <c:idx val="0"/>
          <c:order val="8"/>
          <c:tx>
            <c:strRef>
              <c:f>Parameters!$BJ$5</c:f>
              <c:strCache>
                <c:ptCount val="1"/>
                <c:pt idx="0">
                  <c:v>Quiescent Current Loss %</c:v>
                </c:pt>
              </c:strCache>
            </c:strRef>
          </c:tx>
          <c:invertIfNegative val="0"/>
          <c:dLbls>
            <c:dLbl>
              <c:idx val="0"/>
              <c:tx>
                <c:rich>
                  <a:bodyPr/>
                  <a:lstStyle/>
                  <a:p>
                    <a:r>
                      <a:rPr lang="en-US"/>
                      <a:t>Quiescent Current</a:t>
                    </a:r>
                  </a:p>
                  <a:p>
                    <a:r>
                      <a:rPr lang="en-US"/>
                      <a:t>Loss </a:t>
                    </a:r>
                  </a:p>
                </c:rich>
              </c:tx>
              <c:showLegendKey val="0"/>
              <c:showVal val="0"/>
              <c:showCatName val="0"/>
              <c:showSerName val="1"/>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0-78DF-4F46-BB77-147EB94DAC6E}"/>
                </c:ext>
              </c:extLst>
            </c:dLbl>
            <c:numFmt formatCode="0.0E+00" sourceLinked="0"/>
            <c:spPr>
              <a:noFill/>
            </c:spPr>
            <c:txPr>
              <a:bodyPr rot="0" vert="horz" anchor="ctr" anchorCtr="0"/>
              <a:lstStyle/>
              <a:p>
                <a:pPr>
                  <a:defRPr sz="1200" b="1"/>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val>
            <c:numRef>
              <c:f>Parameters!$BJ$109</c:f>
              <c:numCache>
                <c:formatCode>0.000%</c:formatCode>
                <c:ptCount val="1"/>
                <c:pt idx="0">
                  <c:v>1.2837829865088564E-2</c:v>
                </c:pt>
              </c:numCache>
            </c:numRef>
          </c:val>
          <c:extLst>
            <c:ext xmlns:c16="http://schemas.microsoft.com/office/drawing/2014/chart" uri="{C3380CC4-5D6E-409C-BE32-E72D297353CC}">
              <c16:uniqueId val="{00000011-78DF-4F46-BB77-147EB94DAC6E}"/>
            </c:ext>
          </c:extLst>
        </c:ser>
        <c:dLbls>
          <c:showLegendKey val="0"/>
          <c:showVal val="0"/>
          <c:showCatName val="0"/>
          <c:showSerName val="0"/>
          <c:showPercent val="0"/>
          <c:showBubbleSize val="0"/>
        </c:dLbls>
        <c:gapWidth val="101"/>
        <c:overlap val="-70"/>
        <c:axId val="160423296"/>
        <c:axId val="160056448"/>
      </c:barChart>
      <c:catAx>
        <c:axId val="160423296"/>
        <c:scaling>
          <c:orientation val="minMax"/>
        </c:scaling>
        <c:delete val="0"/>
        <c:axPos val="b"/>
        <c:numFmt formatCode="General" sourceLinked="1"/>
        <c:majorTickMark val="none"/>
        <c:minorTickMark val="none"/>
        <c:tickLblPos val="none"/>
        <c:spPr>
          <a:ln w="3175">
            <a:solidFill>
              <a:srgbClr val="000000"/>
            </a:solidFill>
            <a:prstDash val="solid"/>
          </a:ln>
        </c:spPr>
        <c:txPr>
          <a:bodyPr rot="0" vert="horz"/>
          <a:lstStyle/>
          <a:p>
            <a:pPr>
              <a:defRPr sz="1725" b="0" i="0" u="none" strike="noStrike" baseline="0">
                <a:solidFill>
                  <a:srgbClr val="000000"/>
                </a:solidFill>
                <a:latin typeface="Arial"/>
                <a:ea typeface="Arial"/>
                <a:cs typeface="Arial"/>
              </a:defRPr>
            </a:pPr>
            <a:endParaRPr lang="en-US"/>
          </a:p>
        </c:txPr>
        <c:crossAx val="160056448"/>
        <c:crossesAt val="0"/>
        <c:auto val="1"/>
        <c:lblAlgn val="ctr"/>
        <c:lblOffset val="100"/>
        <c:noMultiLvlLbl val="0"/>
      </c:catAx>
      <c:valAx>
        <c:axId val="160056448"/>
        <c:scaling>
          <c:orientation val="minMax"/>
          <c:min val="0"/>
        </c:scaling>
        <c:delete val="0"/>
        <c:axPos val="l"/>
        <c:majorGridlines>
          <c:spPr>
            <a:ln>
              <a:prstDash val="lgDash"/>
            </a:ln>
          </c:spPr>
        </c:majorGridlines>
        <c:title>
          <c:tx>
            <c:rich>
              <a:bodyPr/>
              <a:lstStyle/>
              <a:p>
                <a:pPr>
                  <a:defRPr b="1"/>
                </a:pPr>
                <a:r>
                  <a:rPr lang="en-US" b="1"/>
                  <a:t>Loss</a:t>
                </a:r>
                <a:r>
                  <a:rPr lang="en-US" b="1" baseline="0"/>
                  <a:t> Contributors</a:t>
                </a:r>
                <a:endParaRPr lang="en-US" b="1"/>
              </a:p>
            </c:rich>
          </c:tx>
          <c:layout>
            <c:manualLayout>
              <c:xMode val="edge"/>
              <c:yMode val="edge"/>
              <c:x val="9.9337306593581982E-3"/>
              <c:y val="0.30210944457795558"/>
            </c:manualLayout>
          </c:layout>
          <c:overlay val="0"/>
        </c:title>
        <c:numFmt formatCode="0.0%" sourceLinked="0"/>
        <c:majorTickMark val="out"/>
        <c:minorTickMark val="out"/>
        <c:tickLblPos val="low"/>
        <c:crossAx val="160423296"/>
        <c:crosses val="autoZero"/>
        <c:crossBetween val="between"/>
        <c:majorUnit val="5.0000000000000036E-3"/>
      </c:valAx>
      <c:spPr>
        <a:solidFill>
          <a:schemeClr val="bg1">
            <a:lumMod val="95000"/>
          </a:schemeClr>
        </a:solidFill>
        <a:ln w="25400">
          <a:noFill/>
        </a:ln>
      </c:spPr>
    </c:plotArea>
    <c:plotVisOnly val="1"/>
    <c:dispBlanksAs val="zero"/>
    <c:showDLblsOverMax val="0"/>
  </c:chart>
  <c:spPr>
    <a:solidFill>
      <a:srgbClr val="FFFFFF"/>
    </a:solidFill>
    <a:ln w="3175">
      <a:noFill/>
      <a:prstDash val="solid"/>
    </a:ln>
  </c:spPr>
  <c:txPr>
    <a:bodyPr/>
    <a:lstStyle/>
    <a:p>
      <a:pPr>
        <a:defRPr sz="1725" b="0" i="0" u="none" strike="noStrike" baseline="0">
          <a:solidFill>
            <a:srgbClr val="000000"/>
          </a:solidFill>
          <a:latin typeface="Arial"/>
          <a:ea typeface="Arial"/>
          <a:cs typeface="Arial"/>
        </a:defRPr>
      </a:pPr>
      <a:endParaRPr lang="en-US"/>
    </a:p>
  </c:txPr>
  <c:printSettings>
    <c:headerFooter alignWithMargins="0"/>
    <c:pageMargins b="1" l="0.75000000000000255" r="0.75000000000000255" t="1" header="0.5" footer="0.5"/>
    <c:pageSetup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1" i="0" u="none" strike="noStrike" baseline="0">
                <a:solidFill>
                  <a:srgbClr val="000000"/>
                </a:solidFill>
                <a:latin typeface="Arial"/>
                <a:ea typeface="Arial"/>
                <a:cs typeface="Arial"/>
              </a:defRPr>
            </a:pPr>
            <a:r>
              <a:rPr lang="en-US" sz="2000"/>
              <a:t>Breakdown of COT Efficiency Losses vs. Iout</a:t>
            </a:r>
          </a:p>
        </c:rich>
      </c:tx>
      <c:layout>
        <c:manualLayout>
          <c:xMode val="edge"/>
          <c:yMode val="edge"/>
          <c:x val="0.19265692406240287"/>
          <c:y val="3.081543250743031E-2"/>
        </c:manualLayout>
      </c:layout>
      <c:overlay val="0"/>
      <c:spPr>
        <a:noFill/>
        <a:ln w="25400">
          <a:noFill/>
        </a:ln>
      </c:spPr>
    </c:title>
    <c:autoTitleDeleted val="0"/>
    <c:plotArea>
      <c:layout>
        <c:manualLayout>
          <c:layoutTarget val="inner"/>
          <c:xMode val="edge"/>
          <c:yMode val="edge"/>
          <c:x val="0.18496430825131774"/>
          <c:y val="0.14694417652807107"/>
          <c:w val="0.46181411156941887"/>
          <c:h val="0.69570915435856628"/>
        </c:manualLayout>
      </c:layout>
      <c:areaChart>
        <c:grouping val="percentStacked"/>
        <c:varyColors val="0"/>
        <c:ser>
          <c:idx val="1"/>
          <c:order val="0"/>
          <c:tx>
            <c:strRef>
              <c:f>Parameters!$BI$5</c:f>
              <c:strCache>
                <c:ptCount val="1"/>
                <c:pt idx="0">
                  <c:v>Cin Cout ESR %</c:v>
                </c:pt>
              </c:strCache>
            </c:strRef>
          </c:tx>
          <c:spPr>
            <a:solidFill>
              <a:srgbClr val="FFFF00"/>
            </a:solidFill>
            <a:ln w="12700">
              <a:solidFill>
                <a:srgbClr val="000000"/>
              </a:solidFill>
              <a:prstDash val="solid"/>
            </a:ln>
          </c:spPr>
          <c:val>
            <c:numRef>
              <c:f>Parameters!$BI$6:$BI$106</c:f>
              <c:numCache>
                <c:formatCode>0.000%</c:formatCode>
                <c:ptCount val="101"/>
                <c:pt idx="0">
                  <c:v>0</c:v>
                </c:pt>
                <c:pt idx="1">
                  <c:v>0</c:v>
                </c:pt>
                <c:pt idx="2">
                  <c:v>0</c:v>
                </c:pt>
                <c:pt idx="3">
                  <c:v>0</c:v>
                </c:pt>
                <c:pt idx="100">
                  <c:v>0</c:v>
                </c:pt>
              </c:numCache>
            </c:numRef>
          </c:val>
          <c:extLst>
            <c:ext xmlns:c16="http://schemas.microsoft.com/office/drawing/2014/chart" uri="{C3380CC4-5D6E-409C-BE32-E72D297353CC}">
              <c16:uniqueId val="{00000000-0DB2-418B-9DA2-A02336D60A8C}"/>
            </c:ext>
          </c:extLst>
        </c:ser>
        <c:ser>
          <c:idx val="3"/>
          <c:order val="1"/>
          <c:tx>
            <c:strRef>
              <c:f>Parameters!$BF$5</c:f>
              <c:strCache>
                <c:ptCount val="1"/>
                <c:pt idx="0">
                  <c:v>Deadtime Loss %</c:v>
                </c:pt>
              </c:strCache>
            </c:strRef>
          </c:tx>
          <c:spPr>
            <a:solidFill>
              <a:srgbClr val="666699"/>
            </a:solidFill>
            <a:ln w="12700">
              <a:solidFill>
                <a:srgbClr val="000000"/>
              </a:solidFill>
              <a:prstDash val="solid"/>
            </a:ln>
          </c:spPr>
          <c:val>
            <c:numRef>
              <c:f>Parameters!$BF$6:$BF$106</c:f>
              <c:numCache>
                <c:formatCode>0.000%</c:formatCode>
                <c:ptCount val="101"/>
                <c:pt idx="0">
                  <c:v>0</c:v>
                </c:pt>
                <c:pt idx="1">
                  <c:v>0</c:v>
                </c:pt>
                <c:pt idx="2">
                  <c:v>0</c:v>
                </c:pt>
                <c:pt idx="3">
                  <c:v>0</c:v>
                </c:pt>
                <c:pt idx="100">
                  <c:v>0</c:v>
                </c:pt>
              </c:numCache>
            </c:numRef>
          </c:val>
          <c:extLst>
            <c:ext xmlns:c16="http://schemas.microsoft.com/office/drawing/2014/chart" uri="{C3380CC4-5D6E-409C-BE32-E72D297353CC}">
              <c16:uniqueId val="{00000001-0DB2-418B-9DA2-A02336D60A8C}"/>
            </c:ext>
          </c:extLst>
        </c:ser>
        <c:ser>
          <c:idx val="6"/>
          <c:order val="2"/>
          <c:tx>
            <c:strRef>
              <c:f>Parameters!$BA$5</c:f>
              <c:strCache>
                <c:ptCount val="1"/>
                <c:pt idx="0">
                  <c:v>High-side MOSFET Rdson %</c:v>
                </c:pt>
              </c:strCache>
            </c:strRef>
          </c:tx>
          <c:spPr>
            <a:solidFill>
              <a:srgbClr val="FF0000"/>
            </a:solidFill>
            <a:ln w="12700">
              <a:solidFill>
                <a:srgbClr val="000000"/>
              </a:solidFill>
              <a:prstDash val="solid"/>
            </a:ln>
          </c:spPr>
          <c:val>
            <c:numRef>
              <c:f>Parameters!$BA$6:$BA$106</c:f>
              <c:numCache>
                <c:formatCode>0.000%</c:formatCode>
                <c:ptCount val="101"/>
                <c:pt idx="0">
                  <c:v>0</c:v>
                </c:pt>
                <c:pt idx="1">
                  <c:v>0</c:v>
                </c:pt>
                <c:pt idx="2">
                  <c:v>0</c:v>
                </c:pt>
                <c:pt idx="3">
                  <c:v>0</c:v>
                </c:pt>
                <c:pt idx="100">
                  <c:v>0</c:v>
                </c:pt>
              </c:numCache>
            </c:numRef>
          </c:val>
          <c:extLst>
            <c:ext xmlns:c16="http://schemas.microsoft.com/office/drawing/2014/chart" uri="{C3380CC4-5D6E-409C-BE32-E72D297353CC}">
              <c16:uniqueId val="{00000002-0DB2-418B-9DA2-A02336D60A8C}"/>
            </c:ext>
          </c:extLst>
        </c:ser>
        <c:ser>
          <c:idx val="7"/>
          <c:order val="3"/>
          <c:tx>
            <c:strRef>
              <c:f>Parameters!$BB$5</c:f>
              <c:strCache>
                <c:ptCount val="1"/>
                <c:pt idx="0">
                  <c:v>Low-side MOSFET Rdson %</c:v>
                </c:pt>
              </c:strCache>
            </c:strRef>
          </c:tx>
          <c:spPr>
            <a:solidFill>
              <a:srgbClr val="FF6600"/>
            </a:solidFill>
            <a:ln w="12700">
              <a:solidFill>
                <a:srgbClr val="000000"/>
              </a:solidFill>
              <a:prstDash val="solid"/>
            </a:ln>
          </c:spPr>
          <c:val>
            <c:numRef>
              <c:f>Parameters!$BB$6:$BB$106</c:f>
              <c:numCache>
                <c:formatCode>0.000%</c:formatCode>
                <c:ptCount val="101"/>
                <c:pt idx="0">
                  <c:v>0</c:v>
                </c:pt>
                <c:pt idx="1">
                  <c:v>0</c:v>
                </c:pt>
                <c:pt idx="2">
                  <c:v>0</c:v>
                </c:pt>
                <c:pt idx="3">
                  <c:v>0</c:v>
                </c:pt>
                <c:pt idx="100">
                  <c:v>0</c:v>
                </c:pt>
              </c:numCache>
            </c:numRef>
          </c:val>
          <c:extLst>
            <c:ext xmlns:c16="http://schemas.microsoft.com/office/drawing/2014/chart" uri="{C3380CC4-5D6E-409C-BE32-E72D297353CC}">
              <c16:uniqueId val="{00000003-0DB2-418B-9DA2-A02336D60A8C}"/>
            </c:ext>
          </c:extLst>
        </c:ser>
        <c:ser>
          <c:idx val="4"/>
          <c:order val="4"/>
          <c:tx>
            <c:strRef>
              <c:f>Parameters!$BH$5</c:f>
              <c:strCache>
                <c:ptCount val="1"/>
                <c:pt idx="0">
                  <c:v>Inductor Core Loss %</c:v>
                </c:pt>
              </c:strCache>
            </c:strRef>
          </c:tx>
          <c:spPr>
            <a:solidFill>
              <a:srgbClr val="99CC00"/>
            </a:solidFill>
            <a:ln w="12700">
              <a:solidFill>
                <a:srgbClr val="000000"/>
              </a:solidFill>
              <a:prstDash val="solid"/>
            </a:ln>
          </c:spPr>
          <c:val>
            <c:numRef>
              <c:f>Parameters!$BH$6:$BH$106</c:f>
              <c:numCache>
                <c:formatCode>0.000%</c:formatCode>
                <c:ptCount val="101"/>
                <c:pt idx="0">
                  <c:v>0</c:v>
                </c:pt>
                <c:pt idx="1">
                  <c:v>0</c:v>
                </c:pt>
                <c:pt idx="2">
                  <c:v>0</c:v>
                </c:pt>
                <c:pt idx="3">
                  <c:v>0</c:v>
                </c:pt>
                <c:pt idx="100">
                  <c:v>0</c:v>
                </c:pt>
              </c:numCache>
            </c:numRef>
          </c:val>
          <c:extLst>
            <c:ext xmlns:c16="http://schemas.microsoft.com/office/drawing/2014/chart" uri="{C3380CC4-5D6E-409C-BE32-E72D297353CC}">
              <c16:uniqueId val="{00000004-0DB2-418B-9DA2-A02336D60A8C}"/>
            </c:ext>
          </c:extLst>
        </c:ser>
        <c:ser>
          <c:idx val="8"/>
          <c:order val="5"/>
          <c:tx>
            <c:strRef>
              <c:f>Parameters!$BG$5</c:f>
              <c:strCache>
                <c:ptCount val="1"/>
                <c:pt idx="0">
                  <c:v>Inductor Cu Loss %</c:v>
                </c:pt>
              </c:strCache>
            </c:strRef>
          </c:tx>
          <c:spPr>
            <a:solidFill>
              <a:srgbClr val="00FF00"/>
            </a:solidFill>
            <a:ln w="12700">
              <a:solidFill>
                <a:srgbClr val="000000"/>
              </a:solidFill>
              <a:prstDash val="solid"/>
            </a:ln>
          </c:spPr>
          <c:val>
            <c:numRef>
              <c:f>Parameters!$BG$6:$BG$106</c:f>
              <c:numCache>
                <c:formatCode>0.000%</c:formatCode>
                <c:ptCount val="101"/>
                <c:pt idx="0">
                  <c:v>0</c:v>
                </c:pt>
                <c:pt idx="1">
                  <c:v>0</c:v>
                </c:pt>
                <c:pt idx="2">
                  <c:v>0</c:v>
                </c:pt>
                <c:pt idx="3">
                  <c:v>0</c:v>
                </c:pt>
                <c:pt idx="100">
                  <c:v>0</c:v>
                </c:pt>
              </c:numCache>
            </c:numRef>
          </c:val>
          <c:extLst>
            <c:ext xmlns:c16="http://schemas.microsoft.com/office/drawing/2014/chart" uri="{C3380CC4-5D6E-409C-BE32-E72D297353CC}">
              <c16:uniqueId val="{00000005-0DB2-418B-9DA2-A02336D60A8C}"/>
            </c:ext>
          </c:extLst>
        </c:ser>
        <c:ser>
          <c:idx val="2"/>
          <c:order val="6"/>
          <c:tx>
            <c:strRef>
              <c:f>Parameters!$BC$5</c:f>
              <c:strCache>
                <c:ptCount val="1"/>
                <c:pt idx="0">
                  <c:v>Gate Drive (Qg) Loss from Vin %</c:v>
                </c:pt>
              </c:strCache>
            </c:strRef>
          </c:tx>
          <c:spPr>
            <a:solidFill>
              <a:srgbClr val="00FFFF"/>
            </a:solidFill>
            <a:ln w="12700">
              <a:solidFill>
                <a:srgbClr val="000000"/>
              </a:solidFill>
              <a:prstDash val="solid"/>
            </a:ln>
          </c:spPr>
          <c:val>
            <c:numRef>
              <c:f>Parameters!$BC$6:$BC$106</c:f>
              <c:numCache>
                <c:formatCode>0.000%</c:formatCode>
                <c:ptCount val="101"/>
                <c:pt idx="0">
                  <c:v>0</c:v>
                </c:pt>
                <c:pt idx="1">
                  <c:v>0</c:v>
                </c:pt>
                <c:pt idx="2">
                  <c:v>0</c:v>
                </c:pt>
                <c:pt idx="3">
                  <c:v>0</c:v>
                </c:pt>
                <c:pt idx="100">
                  <c:v>0</c:v>
                </c:pt>
              </c:numCache>
            </c:numRef>
          </c:val>
          <c:extLst>
            <c:ext xmlns:c16="http://schemas.microsoft.com/office/drawing/2014/chart" uri="{C3380CC4-5D6E-409C-BE32-E72D297353CC}">
              <c16:uniqueId val="{00000006-0DB2-418B-9DA2-A02336D60A8C}"/>
            </c:ext>
          </c:extLst>
        </c:ser>
        <c:ser>
          <c:idx val="5"/>
          <c:order val="7"/>
          <c:tx>
            <c:strRef>
              <c:f>Parameters!$BD$5</c:f>
              <c:strCache>
                <c:ptCount val="1"/>
                <c:pt idx="0">
                  <c:v>High-side MOSFET Switching Loss %</c:v>
                </c:pt>
              </c:strCache>
            </c:strRef>
          </c:tx>
          <c:spPr>
            <a:solidFill>
              <a:srgbClr val="0000FF"/>
            </a:solidFill>
            <a:ln w="12700">
              <a:solidFill>
                <a:srgbClr val="000000"/>
              </a:solidFill>
              <a:prstDash val="solid"/>
            </a:ln>
          </c:spPr>
          <c:val>
            <c:numRef>
              <c:f>Parameters!$BD$6:$BD$106</c:f>
              <c:numCache>
                <c:formatCode>0.000%</c:formatCode>
                <c:ptCount val="101"/>
                <c:pt idx="0">
                  <c:v>0</c:v>
                </c:pt>
                <c:pt idx="1">
                  <c:v>0</c:v>
                </c:pt>
                <c:pt idx="2">
                  <c:v>0</c:v>
                </c:pt>
                <c:pt idx="3">
                  <c:v>0</c:v>
                </c:pt>
                <c:pt idx="100">
                  <c:v>0</c:v>
                </c:pt>
              </c:numCache>
            </c:numRef>
          </c:val>
          <c:extLst>
            <c:ext xmlns:c16="http://schemas.microsoft.com/office/drawing/2014/chart" uri="{C3380CC4-5D6E-409C-BE32-E72D297353CC}">
              <c16:uniqueId val="{00000007-0DB2-418B-9DA2-A02336D60A8C}"/>
            </c:ext>
          </c:extLst>
        </c:ser>
        <c:ser>
          <c:idx val="10"/>
          <c:order val="8"/>
          <c:tx>
            <c:strRef>
              <c:f>Parameters!$BE$5</c:f>
              <c:strCache>
                <c:ptCount val="1"/>
                <c:pt idx="0">
                  <c:v>Reverse Recovery &amp; Leakage Loss %</c:v>
                </c:pt>
              </c:strCache>
            </c:strRef>
          </c:tx>
          <c:spPr>
            <a:solidFill>
              <a:srgbClr val="FFFF00"/>
            </a:solidFill>
            <a:ln w="12700">
              <a:solidFill>
                <a:srgbClr val="000000"/>
              </a:solidFill>
              <a:prstDash val="solid"/>
            </a:ln>
          </c:spPr>
          <c:val>
            <c:numRef>
              <c:f>Parameters!$BE$6:$BE$106</c:f>
              <c:numCache>
                <c:formatCode>0.000%</c:formatCode>
                <c:ptCount val="101"/>
                <c:pt idx="0">
                  <c:v>0</c:v>
                </c:pt>
                <c:pt idx="1">
                  <c:v>0</c:v>
                </c:pt>
                <c:pt idx="2">
                  <c:v>0</c:v>
                </c:pt>
                <c:pt idx="3">
                  <c:v>0</c:v>
                </c:pt>
                <c:pt idx="100">
                  <c:v>0</c:v>
                </c:pt>
              </c:numCache>
            </c:numRef>
          </c:val>
          <c:extLst>
            <c:ext xmlns:c16="http://schemas.microsoft.com/office/drawing/2014/chart" uri="{C3380CC4-5D6E-409C-BE32-E72D297353CC}">
              <c16:uniqueId val="{00000008-0DB2-418B-9DA2-A02336D60A8C}"/>
            </c:ext>
          </c:extLst>
        </c:ser>
        <c:ser>
          <c:idx val="0"/>
          <c:order val="9"/>
          <c:tx>
            <c:strRef>
              <c:f>Parameters!$BJ$5</c:f>
              <c:strCache>
                <c:ptCount val="1"/>
                <c:pt idx="0">
                  <c:v>Quiescent Current Loss %</c:v>
                </c:pt>
              </c:strCache>
            </c:strRef>
          </c:tx>
          <c:val>
            <c:numRef>
              <c:f>Parameters!$BJ$6:$BJ$106</c:f>
              <c:numCache>
                <c:formatCode>0.00%</c:formatCode>
                <c:ptCount val="101"/>
                <c:pt idx="0">
                  <c:v>0</c:v>
                </c:pt>
                <c:pt idx="1">
                  <c:v>0</c:v>
                </c:pt>
                <c:pt idx="2">
                  <c:v>0</c:v>
                </c:pt>
                <c:pt idx="3">
                  <c:v>0</c:v>
                </c:pt>
                <c:pt idx="100">
                  <c:v>0</c:v>
                </c:pt>
              </c:numCache>
            </c:numRef>
          </c:val>
          <c:extLst>
            <c:ext xmlns:c16="http://schemas.microsoft.com/office/drawing/2014/chart" uri="{C3380CC4-5D6E-409C-BE32-E72D297353CC}">
              <c16:uniqueId val="{00000009-0DB2-418B-9DA2-A02336D60A8C}"/>
            </c:ext>
          </c:extLst>
        </c:ser>
        <c:ser>
          <c:idx val="9"/>
          <c:order val="10"/>
          <c:tx>
            <c:strRef>
              <c:f>Parameters!$BL$5</c:f>
              <c:strCache>
                <c:ptCount val="1"/>
                <c:pt idx="0">
                  <c:v>Overall Eff %</c:v>
                </c:pt>
              </c:strCache>
            </c:strRef>
          </c:tx>
          <c:spPr>
            <a:solidFill>
              <a:srgbClr val="000000"/>
            </a:solidFill>
            <a:ln w="12700">
              <a:solidFill>
                <a:srgbClr val="000000"/>
              </a:solidFill>
              <a:prstDash val="solid"/>
            </a:ln>
          </c:spPr>
          <c:val>
            <c:numRef>
              <c:f>Parameters!$BL$6:$BL$106</c:f>
              <c:numCache>
                <c:formatCode>0.00%</c:formatCode>
                <c:ptCount val="101"/>
                <c:pt idx="0">
                  <c:v>1</c:v>
                </c:pt>
                <c:pt idx="1">
                  <c:v>1</c:v>
                </c:pt>
                <c:pt idx="2">
                  <c:v>1</c:v>
                </c:pt>
                <c:pt idx="3">
                  <c:v>1</c:v>
                </c:pt>
                <c:pt idx="100">
                  <c:v>1</c:v>
                </c:pt>
              </c:numCache>
            </c:numRef>
          </c:val>
          <c:extLst>
            <c:ext xmlns:c16="http://schemas.microsoft.com/office/drawing/2014/chart" uri="{C3380CC4-5D6E-409C-BE32-E72D297353CC}">
              <c16:uniqueId val="{0000000A-0DB2-418B-9DA2-A02336D60A8C}"/>
            </c:ext>
          </c:extLst>
        </c:ser>
        <c:dLbls>
          <c:showLegendKey val="0"/>
          <c:showVal val="0"/>
          <c:showCatName val="0"/>
          <c:showSerName val="0"/>
          <c:showPercent val="0"/>
          <c:showBubbleSize val="0"/>
        </c:dLbls>
        <c:axId val="160195712"/>
        <c:axId val="160197632"/>
      </c:areaChart>
      <c:catAx>
        <c:axId val="160195712"/>
        <c:scaling>
          <c:orientation val="minMax"/>
        </c:scaling>
        <c:delete val="0"/>
        <c:axPos val="b"/>
        <c:majorGridlines>
          <c:spPr>
            <a:ln w="3175">
              <a:solidFill>
                <a:srgbClr val="000000"/>
              </a:solidFill>
              <a:prstDash val="solid"/>
            </a:ln>
          </c:spPr>
        </c:majorGridlines>
        <c:title>
          <c:tx>
            <c:rich>
              <a:bodyPr/>
              <a:lstStyle/>
              <a:p>
                <a:pPr>
                  <a:defRPr sz="1725" b="1" i="0" u="none" strike="noStrike" baseline="0">
                    <a:solidFill>
                      <a:srgbClr val="000000"/>
                    </a:solidFill>
                    <a:latin typeface="Arial"/>
                    <a:ea typeface="Arial"/>
                    <a:cs typeface="Arial"/>
                  </a:defRPr>
                </a:pPr>
                <a:r>
                  <a:rPr lang="en-US"/>
                  <a:t>I</a:t>
                </a:r>
                <a:r>
                  <a:rPr lang="en-US" baseline="-25000"/>
                  <a:t>OUT</a:t>
                </a:r>
                <a:r>
                  <a:rPr lang="en-US"/>
                  <a:t> (log scale)</a:t>
                </a:r>
              </a:p>
            </c:rich>
          </c:tx>
          <c:layout>
            <c:manualLayout>
              <c:xMode val="edge"/>
              <c:yMode val="edge"/>
              <c:x val="0.36670200647119611"/>
              <c:y val="0.89150460843557344"/>
            </c:manualLayout>
          </c:layout>
          <c:overlay val="0"/>
          <c:spPr>
            <a:noFill/>
            <a:ln w="25400">
              <a:noFill/>
            </a:ln>
          </c:spPr>
        </c:title>
        <c:numFmt formatCode="#,##0" sourceLinked="0"/>
        <c:majorTickMark val="out"/>
        <c:minorTickMark val="none"/>
        <c:tickLblPos val="none"/>
        <c:spPr>
          <a:ln w="3175">
            <a:solidFill>
              <a:srgbClr val="000000"/>
            </a:solidFill>
            <a:prstDash val="solid"/>
          </a:ln>
        </c:spPr>
        <c:txPr>
          <a:bodyPr rot="-5400000" vert="horz"/>
          <a:lstStyle/>
          <a:p>
            <a:pPr>
              <a:defRPr sz="1725" b="0" i="0" u="none" strike="noStrike" baseline="0">
                <a:solidFill>
                  <a:srgbClr val="000000"/>
                </a:solidFill>
                <a:latin typeface="Arial"/>
                <a:ea typeface="Arial"/>
                <a:cs typeface="Arial"/>
              </a:defRPr>
            </a:pPr>
            <a:endParaRPr lang="en-US"/>
          </a:p>
        </c:txPr>
        <c:crossAx val="160197632"/>
        <c:crosses val="autoZero"/>
        <c:auto val="1"/>
        <c:lblAlgn val="ctr"/>
        <c:lblOffset val="100"/>
        <c:tickMarkSkip val="1"/>
        <c:noMultiLvlLbl val="0"/>
      </c:catAx>
      <c:valAx>
        <c:axId val="160197632"/>
        <c:scaling>
          <c:orientation val="minMax"/>
          <c:max val="0.2"/>
          <c:min val="0"/>
        </c:scaling>
        <c:delete val="0"/>
        <c:axPos val="l"/>
        <c:majorGridlines>
          <c:spPr>
            <a:ln w="3175">
              <a:solidFill>
                <a:srgbClr val="000000"/>
              </a:solidFill>
              <a:prstDash val="solid"/>
            </a:ln>
          </c:spPr>
        </c:majorGridlines>
        <c:title>
          <c:tx>
            <c:rich>
              <a:bodyPr/>
              <a:lstStyle/>
              <a:p>
                <a:pPr>
                  <a:defRPr sz="1725" b="1" i="0" u="none" strike="noStrike" baseline="0">
                    <a:solidFill>
                      <a:srgbClr val="000000"/>
                    </a:solidFill>
                    <a:latin typeface="Arial"/>
                    <a:ea typeface="Arial"/>
                    <a:cs typeface="Arial"/>
                  </a:defRPr>
                </a:pPr>
                <a:r>
                  <a:rPr lang="en-US"/>
                  <a:t>Efficiency (%)</a:t>
                </a:r>
              </a:p>
            </c:rich>
          </c:tx>
          <c:layout>
            <c:manualLayout>
              <c:xMode val="edge"/>
              <c:yMode val="edge"/>
              <c:x val="0.10744349235757295"/>
              <c:y val="0.3194331835533080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725" b="0" i="0" u="none" strike="noStrike" baseline="0">
                <a:solidFill>
                  <a:srgbClr val="000000"/>
                </a:solidFill>
                <a:latin typeface="Arial"/>
                <a:ea typeface="Arial"/>
                <a:cs typeface="Arial"/>
              </a:defRPr>
            </a:pPr>
            <a:endParaRPr lang="en-US"/>
          </a:p>
        </c:txPr>
        <c:crossAx val="160195712"/>
        <c:crosses val="autoZero"/>
        <c:crossBetween val="midCat"/>
        <c:majorUnit val="0.05"/>
      </c:valAx>
      <c:spPr>
        <a:solidFill>
          <a:srgbClr val="C0C0C0"/>
        </a:solidFill>
        <a:ln w="12700">
          <a:solidFill>
            <a:srgbClr val="808080"/>
          </a:solidFill>
          <a:prstDash val="solid"/>
        </a:ln>
      </c:spPr>
    </c:plotArea>
    <c:legend>
      <c:legendPos val="r"/>
      <c:layout>
        <c:manualLayout>
          <c:xMode val="edge"/>
          <c:yMode val="edge"/>
          <c:x val="0.6796348064312191"/>
          <c:y val="5.737748792134436E-2"/>
          <c:w val="0.26010897805044486"/>
          <c:h val="0.85864261581306134"/>
        </c:manualLayout>
      </c:layout>
      <c:overlay val="0"/>
      <c:spPr>
        <a:solidFill>
          <a:srgbClr val="FFFFFF"/>
        </a:solidFill>
        <a:ln w="3175">
          <a:solidFill>
            <a:srgbClr val="000000"/>
          </a:solidFill>
          <a:prstDash val="solid"/>
        </a:ln>
      </c:spPr>
      <c:txPr>
        <a:bodyPr/>
        <a:lstStyle/>
        <a:p>
          <a:pPr>
            <a:defRPr sz="1335"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3175">
      <a:noFill/>
      <a:prstDash val="solid"/>
    </a:ln>
  </c:spPr>
  <c:txPr>
    <a:bodyPr/>
    <a:lstStyle/>
    <a:p>
      <a:pPr>
        <a:defRPr sz="1725" b="0" i="0" u="none" strike="noStrike" baseline="0">
          <a:solidFill>
            <a:srgbClr val="000000"/>
          </a:solidFill>
          <a:latin typeface="Arial"/>
          <a:ea typeface="Arial"/>
          <a:cs typeface="Arial"/>
        </a:defRPr>
      </a:pPr>
      <a:endParaRPr lang="en-US"/>
    </a:p>
  </c:txPr>
  <c:printSettings>
    <c:headerFooter alignWithMargins="0"/>
    <c:pageMargins b="1" l="0.75000000000000189" r="0.75000000000000189" t="1" header="0.5" footer="0.5"/>
    <c:pageSetup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1" i="0" u="none" strike="noStrike" baseline="0">
                <a:solidFill>
                  <a:srgbClr val="000000"/>
                </a:solidFill>
                <a:latin typeface="Arial" pitchFamily="34" charset="0"/>
                <a:ea typeface="Calibri"/>
                <a:cs typeface="Arial" pitchFamily="34" charset="0"/>
              </a:defRPr>
            </a:pPr>
            <a:r>
              <a:rPr lang="en-US" sz="2000">
                <a:latin typeface="Arial" pitchFamily="34" charset="0"/>
                <a:cs typeface="Arial" pitchFamily="34" charset="0"/>
                <a:sym typeface="Symbol"/>
              </a:rPr>
              <a:t></a:t>
            </a:r>
            <a:r>
              <a:rPr lang="en-US" sz="2000" b="1" i="0" u="none" strike="noStrike" baseline="0"/>
              <a:t>, V</a:t>
            </a:r>
            <a:r>
              <a:rPr lang="en-US" sz="2000" b="1" i="0" u="none" strike="noStrike" baseline="-25000"/>
              <a:t>IN</a:t>
            </a:r>
            <a:r>
              <a:rPr lang="en-US" sz="2000" b="1" i="0" u="none" strike="noStrike" baseline="0"/>
              <a:t> = V</a:t>
            </a:r>
            <a:r>
              <a:rPr lang="en-US" sz="2000" b="1" i="0" u="none" strike="noStrike" baseline="-25000"/>
              <a:t>IN(nom)</a:t>
            </a:r>
            <a:endParaRPr lang="en-US" sz="2000">
              <a:latin typeface="Arial" pitchFamily="34" charset="0"/>
              <a:cs typeface="Arial" pitchFamily="34" charset="0"/>
            </a:endParaRPr>
          </a:p>
        </c:rich>
      </c:tx>
      <c:layout>
        <c:manualLayout>
          <c:xMode val="edge"/>
          <c:yMode val="edge"/>
          <c:x val="0.10084794235626206"/>
          <c:y val="2.0639566697272373E-2"/>
        </c:manualLayout>
      </c:layout>
      <c:overlay val="0"/>
      <c:spPr>
        <a:noFill/>
        <a:ln w="25400">
          <a:noFill/>
        </a:ln>
      </c:spPr>
    </c:title>
    <c:autoTitleDeleted val="0"/>
    <c:plotArea>
      <c:layout>
        <c:manualLayout>
          <c:layoutTarget val="inner"/>
          <c:xMode val="edge"/>
          <c:yMode val="edge"/>
          <c:x val="8.5540561846730284E-2"/>
          <c:y val="0.12372903654825702"/>
          <c:w val="0.82265898741455901"/>
          <c:h val="0.76068566810117366"/>
        </c:manualLayout>
      </c:layout>
      <c:lineChart>
        <c:grouping val="standard"/>
        <c:varyColors val="0"/>
        <c:ser>
          <c:idx val="0"/>
          <c:order val="0"/>
          <c:tx>
            <c:v> Efficiency</c:v>
          </c:tx>
          <c:spPr>
            <a:ln w="31750">
              <a:solidFill>
                <a:srgbClr val="FF0000"/>
              </a:solidFill>
              <a:prstDash val="solid"/>
            </a:ln>
          </c:spPr>
          <c:marker>
            <c:symbol val="none"/>
          </c:marker>
          <c:cat>
            <c:numRef>
              <c:f>Parameters!$BN$6:$BN$106</c:f>
              <c:numCache>
                <c:formatCode>0.000</c:formatCode>
                <c:ptCount val="101"/>
                <c:pt idx="0">
                  <c:v>0</c:v>
                </c:pt>
                <c:pt idx="1">
                  <c:v>0</c:v>
                </c:pt>
                <c:pt idx="2">
                  <c:v>0</c:v>
                </c:pt>
                <c:pt idx="3">
                  <c:v>0</c:v>
                </c:pt>
                <c:pt idx="100">
                  <c:v>0</c:v>
                </c:pt>
              </c:numCache>
            </c:numRef>
          </c:cat>
          <c:val>
            <c:numRef>
              <c:f>Parameters!$BZ$6:$BZ$106</c:f>
              <c:numCache>
                <c:formatCode>0.00</c:formatCode>
                <c:ptCount val="101"/>
                <c:pt idx="0">
                  <c:v>0</c:v>
                </c:pt>
                <c:pt idx="1">
                  <c:v>0</c:v>
                </c:pt>
                <c:pt idx="2">
                  <c:v>0</c:v>
                </c:pt>
                <c:pt idx="3">
                  <c:v>0</c:v>
                </c:pt>
                <c:pt idx="100">
                  <c:v>0</c:v>
                </c:pt>
              </c:numCache>
            </c:numRef>
          </c:val>
          <c:smooth val="1"/>
          <c:extLst>
            <c:ext xmlns:c16="http://schemas.microsoft.com/office/drawing/2014/chart" uri="{C3380CC4-5D6E-409C-BE32-E72D297353CC}">
              <c16:uniqueId val="{00000000-40C5-445E-BC8B-22D571E0B5C7}"/>
            </c:ext>
          </c:extLst>
        </c:ser>
        <c:dLbls>
          <c:showLegendKey val="0"/>
          <c:showVal val="0"/>
          <c:showCatName val="0"/>
          <c:showSerName val="0"/>
          <c:showPercent val="0"/>
          <c:showBubbleSize val="0"/>
        </c:dLbls>
        <c:marker val="1"/>
        <c:smooth val="0"/>
        <c:axId val="160242688"/>
        <c:axId val="160257152"/>
      </c:lineChart>
      <c:lineChart>
        <c:grouping val="standard"/>
        <c:varyColors val="0"/>
        <c:ser>
          <c:idx val="2"/>
          <c:order val="1"/>
          <c:tx>
            <c:v> IC Total Power Loss</c:v>
          </c:tx>
          <c:spPr>
            <a:ln w="38100">
              <a:solidFill>
                <a:srgbClr val="808000"/>
              </a:solidFill>
              <a:prstDash val="sysDash"/>
            </a:ln>
          </c:spPr>
          <c:marker>
            <c:symbol val="none"/>
          </c:marker>
          <c:cat>
            <c:numRef>
              <c:f>Parameters!$BN$6:$BN$106</c:f>
              <c:numCache>
                <c:formatCode>0.000</c:formatCode>
                <c:ptCount val="101"/>
                <c:pt idx="0">
                  <c:v>0</c:v>
                </c:pt>
                <c:pt idx="1">
                  <c:v>0</c:v>
                </c:pt>
                <c:pt idx="2">
                  <c:v>0</c:v>
                </c:pt>
                <c:pt idx="3">
                  <c:v>0</c:v>
                </c:pt>
                <c:pt idx="100">
                  <c:v>0</c:v>
                </c:pt>
              </c:numCache>
            </c:numRef>
          </c:cat>
          <c:val>
            <c:numRef>
              <c:f>Parameters!$CA$6:$CA$106</c:f>
              <c:numCache>
                <c:formatCode>0.00</c:formatCode>
                <c:ptCount val="101"/>
                <c:pt idx="0">
                  <c:v>0</c:v>
                </c:pt>
                <c:pt idx="1">
                  <c:v>0</c:v>
                </c:pt>
                <c:pt idx="2">
                  <c:v>0</c:v>
                </c:pt>
                <c:pt idx="3">
                  <c:v>0</c:v>
                </c:pt>
                <c:pt idx="100">
                  <c:v>0</c:v>
                </c:pt>
              </c:numCache>
            </c:numRef>
          </c:val>
          <c:smooth val="0"/>
          <c:extLst>
            <c:ext xmlns:c16="http://schemas.microsoft.com/office/drawing/2014/chart" uri="{C3380CC4-5D6E-409C-BE32-E72D297353CC}">
              <c16:uniqueId val="{00000001-40C5-445E-BC8B-22D571E0B5C7}"/>
            </c:ext>
          </c:extLst>
        </c:ser>
        <c:ser>
          <c:idx val="1"/>
          <c:order val="2"/>
          <c:tx>
            <c:v> LDO + Quiescent Loss</c:v>
          </c:tx>
          <c:spPr>
            <a:ln w="38100">
              <a:solidFill>
                <a:srgbClr val="002060"/>
              </a:solidFill>
              <a:prstDash val="sysDot"/>
            </a:ln>
          </c:spPr>
          <c:marker>
            <c:symbol val="none"/>
          </c:marker>
          <c:cat>
            <c:numRef>
              <c:f>Parameters!$BN$6:$BN$106</c:f>
              <c:numCache>
                <c:formatCode>0.000</c:formatCode>
                <c:ptCount val="101"/>
                <c:pt idx="0">
                  <c:v>0</c:v>
                </c:pt>
                <c:pt idx="1">
                  <c:v>0</c:v>
                </c:pt>
                <c:pt idx="2">
                  <c:v>0</c:v>
                </c:pt>
                <c:pt idx="3">
                  <c:v>0</c:v>
                </c:pt>
                <c:pt idx="100">
                  <c:v>0</c:v>
                </c:pt>
              </c:numCache>
            </c:numRef>
          </c:cat>
          <c:val>
            <c:numRef>
              <c:f>Parameters!$CB$6:$CB$106</c:f>
              <c:numCache>
                <c:formatCode>0.00</c:formatCode>
                <c:ptCount val="101"/>
                <c:pt idx="0">
                  <c:v>0</c:v>
                </c:pt>
                <c:pt idx="1">
                  <c:v>0</c:v>
                </c:pt>
                <c:pt idx="2">
                  <c:v>0</c:v>
                </c:pt>
                <c:pt idx="3">
                  <c:v>0</c:v>
                </c:pt>
                <c:pt idx="100">
                  <c:v>0</c:v>
                </c:pt>
              </c:numCache>
            </c:numRef>
          </c:val>
          <c:smooth val="0"/>
          <c:extLst>
            <c:ext xmlns:c16="http://schemas.microsoft.com/office/drawing/2014/chart" uri="{C3380CC4-5D6E-409C-BE32-E72D297353CC}">
              <c16:uniqueId val="{00000002-40C5-445E-BC8B-22D571E0B5C7}"/>
            </c:ext>
          </c:extLst>
        </c:ser>
        <c:ser>
          <c:idx val="3"/>
          <c:order val="3"/>
          <c:tx>
            <c:v> Inductor Loss</c:v>
          </c:tx>
          <c:spPr>
            <a:ln w="38100">
              <a:solidFill>
                <a:srgbClr val="800080"/>
              </a:solidFill>
              <a:prstDash val="dash"/>
            </a:ln>
          </c:spPr>
          <c:marker>
            <c:symbol val="none"/>
          </c:marker>
          <c:cat>
            <c:numRef>
              <c:f>Parameters!$BN$6:$BN$106</c:f>
              <c:numCache>
                <c:formatCode>0.000</c:formatCode>
                <c:ptCount val="101"/>
                <c:pt idx="0">
                  <c:v>0</c:v>
                </c:pt>
                <c:pt idx="1">
                  <c:v>0</c:v>
                </c:pt>
                <c:pt idx="2">
                  <c:v>0</c:v>
                </c:pt>
                <c:pt idx="3">
                  <c:v>0</c:v>
                </c:pt>
                <c:pt idx="100">
                  <c:v>0</c:v>
                </c:pt>
              </c:numCache>
            </c:numRef>
          </c:cat>
          <c:val>
            <c:numRef>
              <c:f>Parameters!$CC$6:$CC$106</c:f>
              <c:numCache>
                <c:formatCode>0.00</c:formatCode>
                <c:ptCount val="101"/>
                <c:pt idx="0">
                  <c:v>0</c:v>
                </c:pt>
                <c:pt idx="1">
                  <c:v>0</c:v>
                </c:pt>
                <c:pt idx="2">
                  <c:v>0</c:v>
                </c:pt>
                <c:pt idx="3">
                  <c:v>0</c:v>
                </c:pt>
                <c:pt idx="100">
                  <c:v>0</c:v>
                </c:pt>
              </c:numCache>
            </c:numRef>
          </c:val>
          <c:smooth val="0"/>
          <c:extLst>
            <c:ext xmlns:c16="http://schemas.microsoft.com/office/drawing/2014/chart" uri="{C3380CC4-5D6E-409C-BE32-E72D297353CC}">
              <c16:uniqueId val="{00000003-40C5-445E-BC8B-22D571E0B5C7}"/>
            </c:ext>
          </c:extLst>
        </c:ser>
        <c:dLbls>
          <c:showLegendKey val="0"/>
          <c:showVal val="0"/>
          <c:showCatName val="0"/>
          <c:showSerName val="0"/>
          <c:showPercent val="0"/>
          <c:showBubbleSize val="0"/>
        </c:dLbls>
        <c:marker val="1"/>
        <c:smooth val="0"/>
        <c:axId val="160265344"/>
        <c:axId val="160259072"/>
      </c:lineChart>
      <c:catAx>
        <c:axId val="160242688"/>
        <c:scaling>
          <c:orientation val="minMax"/>
        </c:scaling>
        <c:delete val="0"/>
        <c:axPos val="b"/>
        <c:majorGridlines>
          <c:spPr>
            <a:ln w="15875">
              <a:solidFill>
                <a:srgbClr val="969696"/>
              </a:solidFill>
              <a:prstDash val="sysDash"/>
            </a:ln>
          </c:spPr>
        </c:majorGridlines>
        <c:title>
          <c:tx>
            <c:rich>
              <a:bodyPr/>
              <a:lstStyle/>
              <a:p>
                <a:pPr>
                  <a:defRPr sz="1300" b="1" i="0" u="none" strike="noStrike" baseline="0">
                    <a:solidFill>
                      <a:sysClr val="windowText" lastClr="000000"/>
                    </a:solidFill>
                    <a:latin typeface="Arial" pitchFamily="34" charset="0"/>
                    <a:ea typeface="Calibri"/>
                    <a:cs typeface="Arial" pitchFamily="34" charset="0"/>
                  </a:defRPr>
                </a:pPr>
                <a:r>
                  <a:rPr lang="en-US" sz="1300">
                    <a:solidFill>
                      <a:sysClr val="windowText" lastClr="000000"/>
                    </a:solidFill>
                    <a:latin typeface="Arial" pitchFamily="34" charset="0"/>
                    <a:cs typeface="Arial" pitchFamily="34" charset="0"/>
                  </a:rPr>
                  <a:t>Load Current (mA)</a:t>
                </a:r>
              </a:p>
            </c:rich>
          </c:tx>
          <c:layout>
            <c:manualLayout>
              <c:xMode val="edge"/>
              <c:yMode val="edge"/>
              <c:x val="0.41625343343709942"/>
              <c:y val="0.94571913573731337"/>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1100" b="1" i="0" u="none" strike="noStrike" baseline="0">
                <a:solidFill>
                  <a:srgbClr val="000000"/>
                </a:solidFill>
                <a:latin typeface="Arial" pitchFamily="34" charset="0"/>
                <a:ea typeface="Calibri"/>
                <a:cs typeface="Arial" pitchFamily="34" charset="0"/>
              </a:defRPr>
            </a:pPr>
            <a:endParaRPr lang="en-US"/>
          </a:p>
        </c:txPr>
        <c:crossAx val="160257152"/>
        <c:crosses val="autoZero"/>
        <c:auto val="1"/>
        <c:lblAlgn val="ctr"/>
        <c:lblOffset val="100"/>
        <c:tickLblSkip val="20"/>
        <c:tickMarkSkip val="20"/>
        <c:noMultiLvlLbl val="0"/>
      </c:catAx>
      <c:valAx>
        <c:axId val="160257152"/>
        <c:scaling>
          <c:orientation val="minMax"/>
          <c:max val="95"/>
          <c:min val="65"/>
        </c:scaling>
        <c:delete val="0"/>
        <c:axPos val="l"/>
        <c:majorGridlines>
          <c:spPr>
            <a:ln w="15875">
              <a:solidFill>
                <a:srgbClr val="808080"/>
              </a:solidFill>
              <a:prstDash val="solid"/>
            </a:ln>
          </c:spPr>
        </c:majorGridlines>
        <c:minorGridlines/>
        <c:title>
          <c:tx>
            <c:rich>
              <a:bodyPr/>
              <a:lstStyle/>
              <a:p>
                <a:pPr>
                  <a:defRPr sz="1400" b="1" i="0" u="none" strike="noStrike" baseline="0">
                    <a:solidFill>
                      <a:srgbClr val="FF0000"/>
                    </a:solidFill>
                    <a:latin typeface="Arial" pitchFamily="34" charset="0"/>
                    <a:ea typeface="Calibri"/>
                    <a:cs typeface="Arial" pitchFamily="34" charset="0"/>
                  </a:defRPr>
                </a:pPr>
                <a:r>
                  <a:rPr lang="en-US" sz="1400" b="1">
                    <a:solidFill>
                      <a:srgbClr val="FF0000"/>
                    </a:solidFill>
                    <a:latin typeface="Arial" pitchFamily="34" charset="0"/>
                    <a:cs typeface="Arial" pitchFamily="34" charset="0"/>
                  </a:rPr>
                  <a:t>Efficiency (%)</a:t>
                </a:r>
              </a:p>
            </c:rich>
          </c:tx>
          <c:layout>
            <c:manualLayout>
              <c:xMode val="edge"/>
              <c:yMode val="edge"/>
              <c:x val="1.2871858674081443E-2"/>
              <c:y val="0.37638177915688398"/>
            </c:manualLayout>
          </c:layout>
          <c:overlay val="0"/>
          <c:spPr>
            <a:noFill/>
            <a:ln w="25400">
              <a:noFill/>
            </a:ln>
          </c:spPr>
        </c:title>
        <c:numFmt formatCode="#,##0" sourceLinked="0"/>
        <c:majorTickMark val="out"/>
        <c:minorTickMark val="out"/>
        <c:tickLblPos val="nextTo"/>
        <c:spPr>
          <a:ln w="3175">
            <a:solidFill>
              <a:srgbClr val="000000"/>
            </a:solidFill>
            <a:prstDash val="solid"/>
          </a:ln>
        </c:spPr>
        <c:txPr>
          <a:bodyPr rot="0" vert="horz"/>
          <a:lstStyle/>
          <a:p>
            <a:pPr>
              <a:defRPr sz="1100" b="1" i="0" u="none" strike="noStrike" baseline="0">
                <a:solidFill>
                  <a:srgbClr val="FF0000"/>
                </a:solidFill>
                <a:latin typeface="Arial" pitchFamily="34" charset="0"/>
                <a:ea typeface="Calibri"/>
                <a:cs typeface="Arial" pitchFamily="34" charset="0"/>
              </a:defRPr>
            </a:pPr>
            <a:endParaRPr lang="en-US"/>
          </a:p>
        </c:txPr>
        <c:crossAx val="160242688"/>
        <c:crossesAt val="0"/>
        <c:crossBetween val="between"/>
        <c:majorUnit val="5"/>
        <c:minorUnit val="2.5"/>
      </c:valAx>
      <c:valAx>
        <c:axId val="160259072"/>
        <c:scaling>
          <c:orientation val="minMax"/>
        </c:scaling>
        <c:delete val="0"/>
        <c:axPos val="r"/>
        <c:title>
          <c:tx>
            <c:rich>
              <a:bodyPr rot="-5400000" vert="horz"/>
              <a:lstStyle/>
              <a:p>
                <a:pPr>
                  <a:defRPr sz="1400" b="1">
                    <a:solidFill>
                      <a:srgbClr val="0000FF"/>
                    </a:solidFill>
                  </a:defRPr>
                </a:pPr>
                <a:r>
                  <a:rPr lang="en-US" sz="1400" b="1">
                    <a:solidFill>
                      <a:srgbClr val="0000FF"/>
                    </a:solidFill>
                  </a:rPr>
                  <a:t>Power Loss (mW)</a:t>
                </a:r>
              </a:p>
            </c:rich>
          </c:tx>
          <c:layout>
            <c:manualLayout>
              <c:xMode val="edge"/>
              <c:yMode val="edge"/>
              <c:x val="0.95720616195060426"/>
              <c:y val="0.34716258649486992"/>
            </c:manualLayout>
          </c:layout>
          <c:overlay val="0"/>
        </c:title>
        <c:numFmt formatCode="0" sourceLinked="0"/>
        <c:majorTickMark val="out"/>
        <c:minorTickMark val="none"/>
        <c:tickLblPos val="nextTo"/>
        <c:txPr>
          <a:bodyPr/>
          <a:lstStyle/>
          <a:p>
            <a:pPr>
              <a:defRPr sz="1100" b="1">
                <a:solidFill>
                  <a:srgbClr val="0000FF"/>
                </a:solidFill>
              </a:defRPr>
            </a:pPr>
            <a:endParaRPr lang="en-US"/>
          </a:p>
        </c:txPr>
        <c:crossAx val="160265344"/>
        <c:crosses val="max"/>
        <c:crossBetween val="between"/>
      </c:valAx>
      <c:catAx>
        <c:axId val="160265344"/>
        <c:scaling>
          <c:orientation val="minMax"/>
        </c:scaling>
        <c:delete val="1"/>
        <c:axPos val="b"/>
        <c:numFmt formatCode="0.000" sourceLinked="1"/>
        <c:majorTickMark val="out"/>
        <c:minorTickMark val="none"/>
        <c:tickLblPos val="nextTo"/>
        <c:crossAx val="160259072"/>
        <c:crosses val="autoZero"/>
        <c:auto val="1"/>
        <c:lblAlgn val="ctr"/>
        <c:lblOffset val="100"/>
        <c:noMultiLvlLbl val="0"/>
      </c:catAx>
      <c:spPr>
        <a:noFill/>
        <a:ln w="25400">
          <a:noFill/>
        </a:ln>
      </c:spPr>
    </c:plotArea>
    <c:legend>
      <c:legendPos val="t"/>
      <c:layout>
        <c:manualLayout>
          <c:xMode val="edge"/>
          <c:yMode val="edge"/>
          <c:x val="0.38866500767592732"/>
          <c:y val="1.1892546194234431E-2"/>
          <c:w val="0.61133499232407273"/>
          <c:h val="9.7234170816987084E-2"/>
        </c:manualLayout>
      </c:layout>
      <c:overlay val="0"/>
      <c:spPr>
        <a:solidFill>
          <a:srgbClr val="FFFFFF"/>
        </a:solidFill>
        <a:ln w="25400">
          <a:noFill/>
        </a:ln>
      </c:spPr>
      <c:txPr>
        <a:bodyPr/>
        <a:lstStyle/>
        <a:p>
          <a:pPr>
            <a:defRPr sz="1200" b="0" i="0" u="none" strike="noStrike" baseline="0">
              <a:solidFill>
                <a:srgbClr val="000000"/>
              </a:solidFill>
              <a:latin typeface="Arial" pitchFamily="34" charset="0"/>
              <a:ea typeface="Calibri"/>
              <a:cs typeface="Arial" pitchFamily="34" charset="0"/>
            </a:defRPr>
          </a:pPr>
          <a:endParaRPr lang="en-US"/>
        </a:p>
      </c:txPr>
    </c:legend>
    <c:plotVisOnly val="1"/>
    <c:dispBlanksAs val="gap"/>
    <c:showDLblsOverMax val="0"/>
  </c:chart>
  <c:spPr>
    <a:solidFill>
      <a:schemeClr val="bg1"/>
    </a:solidFill>
    <a:ln w="9525">
      <a:solidFill>
        <a:srgbClr val="808080"/>
      </a:solidFill>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000000000000666" r="0.75000000000000666" t="1" header="0.5" footer="0.5"/>
    <c:pageSetup paperSize="5" orientation="portrait"/>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1" i="0" u="none" strike="noStrike" baseline="0">
                <a:solidFill>
                  <a:srgbClr val="000000"/>
                </a:solidFill>
                <a:latin typeface="Arial" pitchFamily="34" charset="0"/>
                <a:ea typeface="Calibri"/>
                <a:cs typeface="Arial" pitchFamily="34" charset="0"/>
              </a:defRPr>
            </a:pPr>
            <a:r>
              <a:rPr lang="en-US" sz="2000">
                <a:latin typeface="Arial" pitchFamily="34" charset="0"/>
                <a:cs typeface="Arial" pitchFamily="34" charset="0"/>
                <a:sym typeface="Symbol"/>
              </a:rPr>
              <a:t></a:t>
            </a:r>
            <a:r>
              <a:rPr lang="en-US" sz="2000" b="1" i="0" u="none" strike="noStrike" baseline="0"/>
              <a:t>, V</a:t>
            </a:r>
            <a:r>
              <a:rPr lang="en-US" sz="2000" b="1" i="0" u="none" strike="noStrike" baseline="-25000"/>
              <a:t>IN</a:t>
            </a:r>
            <a:r>
              <a:rPr lang="en-US" sz="2000" b="1" i="0" u="none" strike="noStrike" baseline="0"/>
              <a:t> = V</a:t>
            </a:r>
            <a:r>
              <a:rPr lang="en-US" sz="2000" b="1" i="0" u="none" strike="noStrike" baseline="-25000"/>
              <a:t>IN(nom)</a:t>
            </a:r>
            <a:endParaRPr lang="en-US" sz="2000">
              <a:latin typeface="Arial" pitchFamily="34" charset="0"/>
              <a:cs typeface="Arial" pitchFamily="34" charset="0"/>
            </a:endParaRPr>
          </a:p>
        </c:rich>
      </c:tx>
      <c:layout>
        <c:manualLayout>
          <c:xMode val="edge"/>
          <c:yMode val="edge"/>
          <c:x val="0.10084794235626206"/>
          <c:y val="2.0639566697272373E-2"/>
        </c:manualLayout>
      </c:layout>
      <c:overlay val="0"/>
      <c:spPr>
        <a:noFill/>
        <a:ln w="25400">
          <a:noFill/>
        </a:ln>
      </c:spPr>
    </c:title>
    <c:autoTitleDeleted val="0"/>
    <c:plotArea>
      <c:layout>
        <c:manualLayout>
          <c:layoutTarget val="inner"/>
          <c:xMode val="edge"/>
          <c:yMode val="edge"/>
          <c:x val="8.5540561846730284E-2"/>
          <c:y val="0.12372903654825702"/>
          <c:w val="0.82265898741455901"/>
          <c:h val="0.76068566810117366"/>
        </c:manualLayout>
      </c:layout>
      <c:scatterChart>
        <c:scatterStyle val="smoothMarker"/>
        <c:varyColors val="0"/>
        <c:ser>
          <c:idx val="0"/>
          <c:order val="0"/>
          <c:tx>
            <c:v> Efficiency</c:v>
          </c:tx>
          <c:spPr>
            <a:ln w="31750">
              <a:solidFill>
                <a:srgbClr val="FF0000"/>
              </a:solidFill>
              <a:prstDash val="solid"/>
            </a:ln>
          </c:spPr>
          <c:marker>
            <c:symbol val="none"/>
          </c:marker>
          <c:xVal>
            <c:numRef>
              <c:f>Parameters!$BN$6:$BN$106</c:f>
              <c:numCache>
                <c:formatCode>0.000</c:formatCode>
                <c:ptCount val="101"/>
                <c:pt idx="0">
                  <c:v>0</c:v>
                </c:pt>
                <c:pt idx="1">
                  <c:v>0</c:v>
                </c:pt>
                <c:pt idx="2">
                  <c:v>0</c:v>
                </c:pt>
                <c:pt idx="3">
                  <c:v>0</c:v>
                </c:pt>
                <c:pt idx="100">
                  <c:v>0</c:v>
                </c:pt>
              </c:numCache>
            </c:numRef>
          </c:xVal>
          <c:yVal>
            <c:numRef>
              <c:f>Parameters!$BZ$6:$BZ$106</c:f>
              <c:numCache>
                <c:formatCode>0.00</c:formatCode>
                <c:ptCount val="101"/>
                <c:pt idx="0">
                  <c:v>0</c:v>
                </c:pt>
                <c:pt idx="1">
                  <c:v>0</c:v>
                </c:pt>
                <c:pt idx="2">
                  <c:v>0</c:v>
                </c:pt>
                <c:pt idx="3">
                  <c:v>0</c:v>
                </c:pt>
                <c:pt idx="100">
                  <c:v>0</c:v>
                </c:pt>
              </c:numCache>
            </c:numRef>
          </c:yVal>
          <c:smooth val="1"/>
          <c:extLst>
            <c:ext xmlns:c16="http://schemas.microsoft.com/office/drawing/2014/chart" uri="{C3380CC4-5D6E-409C-BE32-E72D297353CC}">
              <c16:uniqueId val="{00000000-6D39-4C50-A9B9-79A66900C60C}"/>
            </c:ext>
          </c:extLst>
        </c:ser>
        <c:dLbls>
          <c:showLegendKey val="0"/>
          <c:showVal val="0"/>
          <c:showCatName val="0"/>
          <c:showSerName val="0"/>
          <c:showPercent val="0"/>
          <c:showBubbleSize val="0"/>
        </c:dLbls>
        <c:axId val="160449664"/>
        <c:axId val="160451584"/>
      </c:scatterChart>
      <c:scatterChart>
        <c:scatterStyle val="smoothMarker"/>
        <c:varyColors val="0"/>
        <c:ser>
          <c:idx val="2"/>
          <c:order val="1"/>
          <c:tx>
            <c:v> IC Total Power Loss</c:v>
          </c:tx>
          <c:spPr>
            <a:ln w="38100">
              <a:solidFill>
                <a:srgbClr val="808000"/>
              </a:solidFill>
              <a:prstDash val="sysDash"/>
            </a:ln>
          </c:spPr>
          <c:marker>
            <c:symbol val="none"/>
          </c:marker>
          <c:xVal>
            <c:numRef>
              <c:f>Parameters!$BN$6:$BN$106</c:f>
              <c:numCache>
                <c:formatCode>0.000</c:formatCode>
                <c:ptCount val="101"/>
                <c:pt idx="0">
                  <c:v>0</c:v>
                </c:pt>
                <c:pt idx="1">
                  <c:v>0</c:v>
                </c:pt>
                <c:pt idx="2">
                  <c:v>0</c:v>
                </c:pt>
                <c:pt idx="3">
                  <c:v>0</c:v>
                </c:pt>
                <c:pt idx="100">
                  <c:v>0</c:v>
                </c:pt>
              </c:numCache>
            </c:numRef>
          </c:xVal>
          <c:yVal>
            <c:numRef>
              <c:f>Parameters!$CA$6:$CA$106</c:f>
              <c:numCache>
                <c:formatCode>0.00</c:formatCode>
                <c:ptCount val="101"/>
                <c:pt idx="0">
                  <c:v>0</c:v>
                </c:pt>
                <c:pt idx="1">
                  <c:v>0</c:v>
                </c:pt>
                <c:pt idx="2">
                  <c:v>0</c:v>
                </c:pt>
                <c:pt idx="3">
                  <c:v>0</c:v>
                </c:pt>
                <c:pt idx="100">
                  <c:v>0</c:v>
                </c:pt>
              </c:numCache>
            </c:numRef>
          </c:yVal>
          <c:smooth val="1"/>
          <c:extLst>
            <c:ext xmlns:c16="http://schemas.microsoft.com/office/drawing/2014/chart" uri="{C3380CC4-5D6E-409C-BE32-E72D297353CC}">
              <c16:uniqueId val="{00000001-6D39-4C50-A9B9-79A66900C60C}"/>
            </c:ext>
          </c:extLst>
        </c:ser>
        <c:ser>
          <c:idx val="1"/>
          <c:order val="2"/>
          <c:tx>
            <c:v> LDO + Quiescent Loss</c:v>
          </c:tx>
          <c:spPr>
            <a:ln w="38100">
              <a:solidFill>
                <a:srgbClr val="002060"/>
              </a:solidFill>
              <a:prstDash val="sysDot"/>
            </a:ln>
          </c:spPr>
          <c:marker>
            <c:symbol val="none"/>
          </c:marker>
          <c:xVal>
            <c:numRef>
              <c:f>Parameters!$BN$6:$BN$106</c:f>
              <c:numCache>
                <c:formatCode>0.000</c:formatCode>
                <c:ptCount val="101"/>
                <c:pt idx="0">
                  <c:v>0</c:v>
                </c:pt>
                <c:pt idx="1">
                  <c:v>0</c:v>
                </c:pt>
                <c:pt idx="2">
                  <c:v>0</c:v>
                </c:pt>
                <c:pt idx="3">
                  <c:v>0</c:v>
                </c:pt>
                <c:pt idx="100">
                  <c:v>0</c:v>
                </c:pt>
              </c:numCache>
            </c:numRef>
          </c:xVal>
          <c:yVal>
            <c:numRef>
              <c:f>Parameters!$CB$6:$CB$106</c:f>
              <c:numCache>
                <c:formatCode>0.00</c:formatCode>
                <c:ptCount val="101"/>
                <c:pt idx="0">
                  <c:v>0</c:v>
                </c:pt>
                <c:pt idx="1">
                  <c:v>0</c:v>
                </c:pt>
                <c:pt idx="2">
                  <c:v>0</c:v>
                </c:pt>
                <c:pt idx="3">
                  <c:v>0</c:v>
                </c:pt>
                <c:pt idx="100">
                  <c:v>0</c:v>
                </c:pt>
              </c:numCache>
            </c:numRef>
          </c:yVal>
          <c:smooth val="1"/>
          <c:extLst>
            <c:ext xmlns:c16="http://schemas.microsoft.com/office/drawing/2014/chart" uri="{C3380CC4-5D6E-409C-BE32-E72D297353CC}">
              <c16:uniqueId val="{00000002-6D39-4C50-A9B9-79A66900C60C}"/>
            </c:ext>
          </c:extLst>
        </c:ser>
        <c:ser>
          <c:idx val="3"/>
          <c:order val="3"/>
          <c:tx>
            <c:v> Inductor Loss</c:v>
          </c:tx>
          <c:spPr>
            <a:ln w="38100">
              <a:solidFill>
                <a:srgbClr val="800080"/>
              </a:solidFill>
              <a:prstDash val="dash"/>
            </a:ln>
          </c:spPr>
          <c:marker>
            <c:symbol val="none"/>
          </c:marker>
          <c:xVal>
            <c:numRef>
              <c:f>Parameters!$BN$6:$BN$106</c:f>
              <c:numCache>
                <c:formatCode>0.000</c:formatCode>
                <c:ptCount val="101"/>
                <c:pt idx="0">
                  <c:v>0</c:v>
                </c:pt>
                <c:pt idx="1">
                  <c:v>0</c:v>
                </c:pt>
                <c:pt idx="2">
                  <c:v>0</c:v>
                </c:pt>
                <c:pt idx="3">
                  <c:v>0</c:v>
                </c:pt>
                <c:pt idx="100">
                  <c:v>0</c:v>
                </c:pt>
              </c:numCache>
            </c:numRef>
          </c:xVal>
          <c:yVal>
            <c:numRef>
              <c:f>Parameters!$CC$6:$CC$106</c:f>
              <c:numCache>
                <c:formatCode>0.00</c:formatCode>
                <c:ptCount val="101"/>
                <c:pt idx="0">
                  <c:v>0</c:v>
                </c:pt>
                <c:pt idx="1">
                  <c:v>0</c:v>
                </c:pt>
                <c:pt idx="2">
                  <c:v>0</c:v>
                </c:pt>
                <c:pt idx="3">
                  <c:v>0</c:v>
                </c:pt>
                <c:pt idx="100">
                  <c:v>0</c:v>
                </c:pt>
              </c:numCache>
            </c:numRef>
          </c:yVal>
          <c:smooth val="1"/>
          <c:extLst>
            <c:ext xmlns:c16="http://schemas.microsoft.com/office/drawing/2014/chart" uri="{C3380CC4-5D6E-409C-BE32-E72D297353CC}">
              <c16:uniqueId val="{00000003-6D39-4C50-A9B9-79A66900C60C}"/>
            </c:ext>
          </c:extLst>
        </c:ser>
        <c:dLbls>
          <c:showLegendKey val="0"/>
          <c:showVal val="0"/>
          <c:showCatName val="0"/>
          <c:showSerName val="0"/>
          <c:showPercent val="0"/>
          <c:showBubbleSize val="0"/>
        </c:dLbls>
        <c:axId val="160459776"/>
        <c:axId val="160457856"/>
      </c:scatterChart>
      <c:valAx>
        <c:axId val="160449664"/>
        <c:scaling>
          <c:logBase val="10"/>
          <c:orientation val="minMax"/>
          <c:min val="0.1"/>
        </c:scaling>
        <c:delete val="0"/>
        <c:axPos val="b"/>
        <c:majorGridlines>
          <c:spPr>
            <a:ln w="15875">
              <a:solidFill>
                <a:srgbClr val="969696"/>
              </a:solidFill>
              <a:prstDash val="sysDash"/>
            </a:ln>
          </c:spPr>
        </c:majorGridlines>
        <c:title>
          <c:tx>
            <c:rich>
              <a:bodyPr/>
              <a:lstStyle/>
              <a:p>
                <a:pPr>
                  <a:defRPr sz="1300" b="1" i="0" u="none" strike="noStrike" baseline="0">
                    <a:solidFill>
                      <a:sysClr val="windowText" lastClr="000000"/>
                    </a:solidFill>
                    <a:latin typeface="Arial" pitchFamily="34" charset="0"/>
                    <a:ea typeface="Calibri"/>
                    <a:cs typeface="Arial" pitchFamily="34" charset="0"/>
                  </a:defRPr>
                </a:pPr>
                <a:r>
                  <a:rPr lang="en-US" sz="1300">
                    <a:solidFill>
                      <a:sysClr val="windowText" lastClr="000000"/>
                    </a:solidFill>
                    <a:latin typeface="Arial" pitchFamily="34" charset="0"/>
                    <a:cs typeface="Arial" pitchFamily="34" charset="0"/>
                  </a:rPr>
                  <a:t>Load Current (mA)</a:t>
                </a:r>
              </a:p>
            </c:rich>
          </c:tx>
          <c:layout>
            <c:manualLayout>
              <c:xMode val="edge"/>
              <c:yMode val="edge"/>
              <c:x val="0.41625343343709942"/>
              <c:y val="0.94571913573731337"/>
            </c:manualLayout>
          </c:layout>
          <c:overlay val="0"/>
          <c:spPr>
            <a:noFill/>
            <a:ln w="25400">
              <a:noFill/>
            </a:ln>
          </c:spPr>
        </c:title>
        <c:numFmt formatCode="General" sourceLinked="0"/>
        <c:majorTickMark val="in"/>
        <c:minorTickMark val="none"/>
        <c:tickLblPos val="nextTo"/>
        <c:spPr>
          <a:ln w="3175">
            <a:solidFill>
              <a:srgbClr val="000000"/>
            </a:solidFill>
            <a:prstDash val="solid"/>
          </a:ln>
        </c:spPr>
        <c:txPr>
          <a:bodyPr rot="0" vert="horz"/>
          <a:lstStyle/>
          <a:p>
            <a:pPr>
              <a:defRPr sz="1100" b="1" i="0" u="none" strike="noStrike" baseline="0">
                <a:solidFill>
                  <a:srgbClr val="000000"/>
                </a:solidFill>
                <a:latin typeface="Arial" pitchFamily="34" charset="0"/>
                <a:ea typeface="Calibri"/>
                <a:cs typeface="Arial" pitchFamily="34" charset="0"/>
              </a:defRPr>
            </a:pPr>
            <a:endParaRPr lang="en-US"/>
          </a:p>
        </c:txPr>
        <c:crossAx val="160451584"/>
        <c:crosses val="autoZero"/>
        <c:crossBetween val="midCat"/>
      </c:valAx>
      <c:valAx>
        <c:axId val="160451584"/>
        <c:scaling>
          <c:orientation val="minMax"/>
          <c:max val="95"/>
          <c:min val="60"/>
        </c:scaling>
        <c:delete val="0"/>
        <c:axPos val="l"/>
        <c:majorGridlines>
          <c:spPr>
            <a:ln w="15875">
              <a:solidFill>
                <a:srgbClr val="808080"/>
              </a:solidFill>
              <a:prstDash val="solid"/>
            </a:ln>
          </c:spPr>
        </c:majorGridlines>
        <c:minorGridlines/>
        <c:title>
          <c:tx>
            <c:rich>
              <a:bodyPr/>
              <a:lstStyle/>
              <a:p>
                <a:pPr>
                  <a:defRPr sz="1400" b="1" i="0" u="none" strike="noStrike" baseline="0">
                    <a:solidFill>
                      <a:srgbClr val="FF0000"/>
                    </a:solidFill>
                    <a:latin typeface="Arial" pitchFamily="34" charset="0"/>
                    <a:ea typeface="Calibri"/>
                    <a:cs typeface="Arial" pitchFamily="34" charset="0"/>
                  </a:defRPr>
                </a:pPr>
                <a:r>
                  <a:rPr lang="en-US" sz="1400" b="1">
                    <a:solidFill>
                      <a:srgbClr val="FF0000"/>
                    </a:solidFill>
                    <a:latin typeface="Arial" pitchFamily="34" charset="0"/>
                    <a:cs typeface="Arial" pitchFamily="34" charset="0"/>
                  </a:rPr>
                  <a:t>Efficiency (%)</a:t>
                </a:r>
              </a:p>
            </c:rich>
          </c:tx>
          <c:layout>
            <c:manualLayout>
              <c:xMode val="edge"/>
              <c:yMode val="edge"/>
              <c:x val="1.2871858674081443E-2"/>
              <c:y val="0.37638177915688398"/>
            </c:manualLayout>
          </c:layout>
          <c:overlay val="0"/>
          <c:spPr>
            <a:noFill/>
            <a:ln w="25400">
              <a:noFill/>
            </a:ln>
          </c:spPr>
        </c:title>
        <c:numFmt formatCode="#,##0" sourceLinked="0"/>
        <c:majorTickMark val="out"/>
        <c:minorTickMark val="out"/>
        <c:tickLblPos val="nextTo"/>
        <c:spPr>
          <a:ln w="3175">
            <a:solidFill>
              <a:srgbClr val="000000"/>
            </a:solidFill>
            <a:prstDash val="solid"/>
          </a:ln>
        </c:spPr>
        <c:txPr>
          <a:bodyPr rot="0" vert="horz"/>
          <a:lstStyle/>
          <a:p>
            <a:pPr>
              <a:defRPr sz="1100" b="1" i="0" u="none" strike="noStrike" baseline="0">
                <a:solidFill>
                  <a:srgbClr val="FF0000"/>
                </a:solidFill>
                <a:latin typeface="Arial" pitchFamily="34" charset="0"/>
                <a:ea typeface="Calibri"/>
                <a:cs typeface="Arial" pitchFamily="34" charset="0"/>
              </a:defRPr>
            </a:pPr>
            <a:endParaRPr lang="en-US"/>
          </a:p>
        </c:txPr>
        <c:crossAx val="160449664"/>
        <c:crossesAt val="0"/>
        <c:crossBetween val="midCat"/>
        <c:majorUnit val="5"/>
        <c:minorUnit val="2.5"/>
      </c:valAx>
      <c:valAx>
        <c:axId val="160457856"/>
        <c:scaling>
          <c:orientation val="minMax"/>
        </c:scaling>
        <c:delete val="0"/>
        <c:axPos val="r"/>
        <c:title>
          <c:tx>
            <c:rich>
              <a:bodyPr rot="-5400000" vert="horz"/>
              <a:lstStyle/>
              <a:p>
                <a:pPr>
                  <a:defRPr sz="1400" b="1">
                    <a:solidFill>
                      <a:srgbClr val="0000FF"/>
                    </a:solidFill>
                  </a:defRPr>
                </a:pPr>
                <a:r>
                  <a:rPr lang="en-US" sz="1400" b="1">
                    <a:solidFill>
                      <a:srgbClr val="0000FF"/>
                    </a:solidFill>
                  </a:rPr>
                  <a:t>Power Loss (mW)</a:t>
                </a:r>
              </a:p>
            </c:rich>
          </c:tx>
          <c:layout>
            <c:manualLayout>
              <c:xMode val="edge"/>
              <c:yMode val="edge"/>
              <c:x val="0.95563568688189593"/>
              <c:y val="0.33988985922214265"/>
            </c:manualLayout>
          </c:layout>
          <c:overlay val="0"/>
        </c:title>
        <c:numFmt formatCode="0" sourceLinked="0"/>
        <c:majorTickMark val="out"/>
        <c:minorTickMark val="none"/>
        <c:tickLblPos val="nextTo"/>
        <c:txPr>
          <a:bodyPr/>
          <a:lstStyle/>
          <a:p>
            <a:pPr>
              <a:defRPr sz="1100" b="1">
                <a:solidFill>
                  <a:srgbClr val="0000FF"/>
                </a:solidFill>
              </a:defRPr>
            </a:pPr>
            <a:endParaRPr lang="en-US"/>
          </a:p>
        </c:txPr>
        <c:crossAx val="160459776"/>
        <c:crosses val="max"/>
        <c:crossBetween val="midCat"/>
      </c:valAx>
      <c:valAx>
        <c:axId val="160459776"/>
        <c:scaling>
          <c:logBase val="10"/>
          <c:orientation val="minMax"/>
        </c:scaling>
        <c:delete val="1"/>
        <c:axPos val="b"/>
        <c:numFmt formatCode="0.000" sourceLinked="1"/>
        <c:majorTickMark val="out"/>
        <c:minorTickMark val="none"/>
        <c:tickLblPos val="nextTo"/>
        <c:crossAx val="160457856"/>
        <c:crosses val="autoZero"/>
        <c:crossBetween val="midCat"/>
      </c:valAx>
      <c:spPr>
        <a:noFill/>
        <a:ln w="25400">
          <a:noFill/>
        </a:ln>
      </c:spPr>
    </c:plotArea>
    <c:legend>
      <c:legendPos val="t"/>
      <c:layout>
        <c:manualLayout>
          <c:xMode val="edge"/>
          <c:yMode val="edge"/>
          <c:x val="0.38866500344700727"/>
          <c:y val="1.1892546194234431E-2"/>
          <c:w val="0.61133499655299273"/>
          <c:h val="9.2790073968026715E-2"/>
        </c:manualLayout>
      </c:layout>
      <c:overlay val="0"/>
      <c:spPr>
        <a:solidFill>
          <a:srgbClr val="FFFFFF"/>
        </a:solidFill>
        <a:ln w="25400">
          <a:noFill/>
        </a:ln>
      </c:spPr>
      <c:txPr>
        <a:bodyPr/>
        <a:lstStyle/>
        <a:p>
          <a:pPr>
            <a:defRPr sz="1200" b="0" i="0" u="none" strike="noStrike" baseline="0">
              <a:solidFill>
                <a:srgbClr val="000000"/>
              </a:solidFill>
              <a:latin typeface="Arial" pitchFamily="34" charset="0"/>
              <a:ea typeface="Calibri"/>
              <a:cs typeface="Arial" pitchFamily="34" charset="0"/>
            </a:defRPr>
          </a:pPr>
          <a:endParaRPr lang="en-US"/>
        </a:p>
      </c:txPr>
    </c:legend>
    <c:plotVisOnly val="1"/>
    <c:dispBlanksAs val="gap"/>
    <c:showDLblsOverMax val="0"/>
  </c:chart>
  <c:spPr>
    <a:solidFill>
      <a:schemeClr val="bg1"/>
    </a:solidFill>
    <a:ln w="9525">
      <a:solidFill>
        <a:srgbClr val="808080"/>
      </a:solidFill>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000000000000666" r="0.75000000000000666" t="1" header="0.5" footer="0.5"/>
    <c:pageSetup paperSize="5" orientation="portrait"/>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800" b="1" i="0" baseline="0"/>
              <a:t>Breakdown of </a:t>
            </a:r>
            <a:r>
              <a:rPr lang="en-US" sz="1800" b="1" i="0" baseline="0">
                <a:solidFill>
                  <a:srgbClr val="FF0000"/>
                </a:solidFill>
              </a:rPr>
              <a:t>COT</a:t>
            </a:r>
            <a:r>
              <a:rPr lang="en-US" sz="1800" b="1" i="0" baseline="0"/>
              <a:t> Efficiency Losses (</a:t>
            </a:r>
            <a:r>
              <a:rPr lang="en-US" sz="1800" b="1" i="0" u="none" strike="noStrike" baseline="0"/>
              <a:t>I</a:t>
            </a:r>
            <a:r>
              <a:rPr lang="en-US" sz="1800" b="1" i="0" u="none" strike="noStrike" baseline="-25000"/>
              <a:t>OUT</a:t>
            </a:r>
            <a:r>
              <a:rPr lang="en-US" sz="1800" b="1" i="0" u="none" strike="noStrike" baseline="0"/>
              <a:t> = </a:t>
            </a:r>
            <a:r>
              <a:rPr lang="en-US" sz="1800" b="1" i="0" baseline="0"/>
              <a:t>1mA)</a:t>
            </a:r>
            <a:endParaRPr lang="en-US" sz="1800"/>
          </a:p>
        </c:rich>
      </c:tx>
      <c:layout>
        <c:manualLayout>
          <c:xMode val="edge"/>
          <c:yMode val="edge"/>
          <c:x val="0.32963167587477016"/>
          <c:y val="3.5906642728904876E-2"/>
        </c:manualLayout>
      </c:layout>
      <c:overlay val="0"/>
    </c:title>
    <c:autoTitleDeleted val="0"/>
    <c:plotArea>
      <c:layout>
        <c:manualLayout>
          <c:layoutTarget val="inner"/>
          <c:xMode val="edge"/>
          <c:yMode val="edge"/>
          <c:x val="9.2844202898550721E-2"/>
          <c:y val="0.14821658962288614"/>
          <c:w val="0.89442960513913661"/>
          <c:h val="0.76382419881536368"/>
        </c:manualLayout>
      </c:layout>
      <c:barChart>
        <c:barDir val="col"/>
        <c:grouping val="clustered"/>
        <c:varyColors val="0"/>
        <c:ser>
          <c:idx val="6"/>
          <c:order val="0"/>
          <c:tx>
            <c:strRef>
              <c:f>Parameters!$BA$5</c:f>
              <c:strCache>
                <c:ptCount val="1"/>
                <c:pt idx="0">
                  <c:v>High-side MOSFET Rdson %</c:v>
                </c:pt>
              </c:strCache>
            </c:strRef>
          </c:tx>
          <c:spPr>
            <a:solidFill>
              <a:srgbClr val="FF0000"/>
            </a:solidFill>
            <a:ln w="12700">
              <a:solidFill>
                <a:srgbClr val="000000"/>
              </a:solidFill>
              <a:prstDash val="solid"/>
            </a:ln>
          </c:spPr>
          <c:invertIfNegative val="0"/>
          <c:dLbls>
            <c:dLbl>
              <c:idx val="0"/>
              <c:tx>
                <c:rich>
                  <a:bodyPr/>
                  <a:lstStyle/>
                  <a:p>
                    <a:r>
                      <a:rPr lang="en-US"/>
                      <a:t>High-side MOSFET</a:t>
                    </a:r>
                  </a:p>
                  <a:p>
                    <a:r>
                      <a:rPr lang="en-US"/>
                      <a:t>Rdson</a:t>
                    </a:r>
                  </a:p>
                </c:rich>
              </c:tx>
              <c:dLblPos val="outEnd"/>
              <c:showLegendKey val="0"/>
              <c:showVal val="0"/>
              <c:showCatName val="0"/>
              <c:showSerName val="1"/>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9FC9-417C-8679-EB70D5FE036E}"/>
                </c:ext>
              </c:extLst>
            </c:dLbl>
            <c:spPr>
              <a:noFill/>
              <a:ln>
                <a:noFill/>
              </a:ln>
              <a:effectLst/>
            </c:spPr>
            <c:txPr>
              <a:bodyPr/>
              <a:lstStyle/>
              <a:p>
                <a:pPr>
                  <a:defRPr sz="1200" b="1"/>
                </a:pPr>
                <a:endParaRPr lang="en-US"/>
              </a:p>
            </c:txPr>
            <c:dLblPos val="outEnd"/>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Parameters!$BA$108</c:f>
              <c:numCache>
                <c:formatCode>0.000%</c:formatCode>
                <c:ptCount val="1"/>
                <c:pt idx="0">
                  <c:v>3.6409104085968987E-3</c:v>
                </c:pt>
              </c:numCache>
            </c:numRef>
          </c:val>
          <c:extLst>
            <c:ext xmlns:c16="http://schemas.microsoft.com/office/drawing/2014/chart" uri="{C3380CC4-5D6E-409C-BE32-E72D297353CC}">
              <c16:uniqueId val="{00000001-9FC9-417C-8679-EB70D5FE036E}"/>
            </c:ext>
          </c:extLst>
        </c:ser>
        <c:ser>
          <c:idx val="5"/>
          <c:order val="1"/>
          <c:tx>
            <c:strRef>
              <c:f>Parameters!$BD$5</c:f>
              <c:strCache>
                <c:ptCount val="1"/>
                <c:pt idx="0">
                  <c:v>High-side MOSFET Switching Loss %</c:v>
                </c:pt>
              </c:strCache>
            </c:strRef>
          </c:tx>
          <c:spPr>
            <a:solidFill>
              <a:srgbClr val="0000FF"/>
            </a:solidFill>
            <a:ln w="12700">
              <a:solidFill>
                <a:srgbClr val="000000"/>
              </a:solidFill>
              <a:prstDash val="solid"/>
            </a:ln>
          </c:spPr>
          <c:invertIfNegative val="0"/>
          <c:dLbls>
            <c:dLbl>
              <c:idx val="0"/>
              <c:layout>
                <c:manualLayout>
                  <c:x val="-9.2081031307550637E-4"/>
                  <c:y val="-7.1813285457809741E-3"/>
                </c:manualLayout>
              </c:layout>
              <c:tx>
                <c:rich>
                  <a:bodyPr/>
                  <a:lstStyle/>
                  <a:p>
                    <a:r>
                      <a:rPr lang="en-US"/>
                      <a:t>High-side MOSFET</a:t>
                    </a:r>
                  </a:p>
                  <a:p>
                    <a:r>
                      <a:rPr lang="en-US"/>
                      <a:t>Switching</a:t>
                    </a:r>
                  </a:p>
                </c:rich>
              </c:tx>
              <c:dLblPos val="outEnd"/>
              <c:showLegendKey val="0"/>
              <c:showVal val="0"/>
              <c:showCatName val="0"/>
              <c:showSerName val="1"/>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9FC9-417C-8679-EB70D5FE036E}"/>
                </c:ext>
              </c:extLst>
            </c:dLbl>
            <c:spPr>
              <a:noFill/>
              <a:ln>
                <a:noFill/>
              </a:ln>
              <a:effectLst/>
            </c:spPr>
            <c:txPr>
              <a:bodyPr/>
              <a:lstStyle/>
              <a:p>
                <a:pPr>
                  <a:defRPr sz="1200" b="1"/>
                </a:pPr>
                <a:endParaRPr lang="en-US"/>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val>
            <c:numRef>
              <c:f>Parameters!$BD$108</c:f>
              <c:numCache>
                <c:formatCode>0.000%</c:formatCode>
                <c:ptCount val="1"/>
                <c:pt idx="0">
                  <c:v>4.5907837520612008E-3</c:v>
                </c:pt>
              </c:numCache>
            </c:numRef>
          </c:val>
          <c:extLst>
            <c:ext xmlns:c16="http://schemas.microsoft.com/office/drawing/2014/chart" uri="{C3380CC4-5D6E-409C-BE32-E72D297353CC}">
              <c16:uniqueId val="{00000003-9FC9-417C-8679-EB70D5FE036E}"/>
            </c:ext>
          </c:extLst>
        </c:ser>
        <c:ser>
          <c:idx val="7"/>
          <c:order val="2"/>
          <c:tx>
            <c:strRef>
              <c:f>Parameters!$BB$5</c:f>
              <c:strCache>
                <c:ptCount val="1"/>
                <c:pt idx="0">
                  <c:v>Low-side MOSFET Rdson %</c:v>
                </c:pt>
              </c:strCache>
            </c:strRef>
          </c:tx>
          <c:spPr>
            <a:solidFill>
              <a:srgbClr val="FF6600"/>
            </a:solidFill>
            <a:ln w="12700">
              <a:solidFill>
                <a:srgbClr val="000000"/>
              </a:solidFill>
              <a:prstDash val="solid"/>
            </a:ln>
          </c:spPr>
          <c:invertIfNegative val="0"/>
          <c:dLbls>
            <c:dLbl>
              <c:idx val="0"/>
              <c:tx>
                <c:rich>
                  <a:bodyPr/>
                  <a:lstStyle/>
                  <a:p>
                    <a:r>
                      <a:rPr lang="en-US" sz="1200" b="1"/>
                      <a:t>L</a:t>
                    </a:r>
                    <a:r>
                      <a:rPr lang="en-US" sz="1200"/>
                      <a:t>ow-side MOSFET</a:t>
                    </a:r>
                  </a:p>
                  <a:p>
                    <a:r>
                      <a:rPr lang="en-US" sz="1200"/>
                      <a:t>Rdson</a:t>
                    </a:r>
                  </a:p>
                </c:rich>
              </c:tx>
              <c:dLblPos val="outEnd"/>
              <c:showLegendKey val="0"/>
              <c:showVal val="1"/>
              <c:showCatName val="0"/>
              <c:showSerName val="1"/>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9FC9-417C-8679-EB70D5FE036E}"/>
                </c:ext>
              </c:extLst>
            </c:dLbl>
            <c:spPr>
              <a:noFill/>
              <a:ln>
                <a:noFill/>
              </a:ln>
              <a:effectLst/>
            </c:spPr>
            <c:txPr>
              <a:bodyPr/>
              <a:lstStyle/>
              <a:p>
                <a:pPr>
                  <a:defRPr b="1"/>
                </a:pPr>
                <a:endParaRPr lang="en-US"/>
              </a:p>
            </c:txPr>
            <c:dLblPos val="outEnd"/>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val>
            <c:numRef>
              <c:f>Parameters!$BB$108</c:f>
              <c:numCache>
                <c:formatCode>0.000%</c:formatCode>
                <c:ptCount val="1"/>
                <c:pt idx="0">
                  <c:v>6.5692245841190103E-3</c:v>
                </c:pt>
              </c:numCache>
            </c:numRef>
          </c:val>
          <c:extLst>
            <c:ext xmlns:c16="http://schemas.microsoft.com/office/drawing/2014/chart" uri="{C3380CC4-5D6E-409C-BE32-E72D297353CC}">
              <c16:uniqueId val="{00000005-9FC9-417C-8679-EB70D5FE036E}"/>
            </c:ext>
          </c:extLst>
        </c:ser>
        <c:ser>
          <c:idx val="3"/>
          <c:order val="3"/>
          <c:tx>
            <c:strRef>
              <c:f>Parameters!$BF$5</c:f>
              <c:strCache>
                <c:ptCount val="1"/>
                <c:pt idx="0">
                  <c:v>Deadtime Loss %</c:v>
                </c:pt>
              </c:strCache>
            </c:strRef>
          </c:tx>
          <c:spPr>
            <a:solidFill>
              <a:srgbClr val="666699"/>
            </a:solidFill>
            <a:ln w="12700">
              <a:solidFill>
                <a:srgbClr val="000000"/>
              </a:solidFill>
              <a:prstDash val="solid"/>
            </a:ln>
          </c:spPr>
          <c:invertIfNegative val="0"/>
          <c:dLbls>
            <c:dLbl>
              <c:idx val="0"/>
              <c:layout>
                <c:manualLayout>
                  <c:x val="0"/>
                  <c:y val="-9.5751047277079695E-3"/>
                </c:manualLayout>
              </c:layout>
              <c:tx>
                <c:rich>
                  <a:bodyPr/>
                  <a:lstStyle/>
                  <a:p>
                    <a:r>
                      <a:rPr lang="en-US"/>
                      <a:t>Low-side MOSFET</a:t>
                    </a:r>
                  </a:p>
                  <a:p>
                    <a:r>
                      <a:rPr lang="en-US"/>
                      <a:t>Deadtime </a:t>
                    </a:r>
                  </a:p>
                </c:rich>
              </c:tx>
              <c:dLblPos val="outEnd"/>
              <c:showLegendKey val="0"/>
              <c:showVal val="0"/>
              <c:showCatName val="0"/>
              <c:showSerName val="1"/>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9FC9-417C-8679-EB70D5FE036E}"/>
                </c:ext>
              </c:extLst>
            </c:dLbl>
            <c:spPr>
              <a:noFill/>
              <a:ln>
                <a:noFill/>
              </a:ln>
              <a:effectLst/>
            </c:spPr>
            <c:txPr>
              <a:bodyPr/>
              <a:lstStyle/>
              <a:p>
                <a:pPr>
                  <a:defRPr sz="1200" b="1"/>
                </a:pPr>
                <a:endParaRPr lang="en-US"/>
              </a:p>
            </c:txPr>
            <c:dLblPos val="outEnd"/>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Parameters!$BF$108</c:f>
              <c:numCache>
                <c:formatCode>0.000%</c:formatCode>
                <c:ptCount val="1"/>
                <c:pt idx="0">
                  <c:v>7.3751579484765363E-4</c:v>
                </c:pt>
              </c:numCache>
            </c:numRef>
          </c:val>
          <c:extLst>
            <c:ext xmlns:c16="http://schemas.microsoft.com/office/drawing/2014/chart" uri="{C3380CC4-5D6E-409C-BE32-E72D297353CC}">
              <c16:uniqueId val="{00000007-9FC9-417C-8679-EB70D5FE036E}"/>
            </c:ext>
          </c:extLst>
        </c:ser>
        <c:ser>
          <c:idx val="2"/>
          <c:order val="4"/>
          <c:tx>
            <c:strRef>
              <c:f>Parameters!$BC$5</c:f>
              <c:strCache>
                <c:ptCount val="1"/>
                <c:pt idx="0">
                  <c:v>Gate Drive (Qg) Loss from Vin %</c:v>
                </c:pt>
              </c:strCache>
            </c:strRef>
          </c:tx>
          <c:spPr>
            <a:solidFill>
              <a:srgbClr val="00FFFF"/>
            </a:solidFill>
            <a:ln w="12700">
              <a:solidFill>
                <a:srgbClr val="000000"/>
              </a:solidFill>
              <a:prstDash val="solid"/>
            </a:ln>
          </c:spPr>
          <c:invertIfNegative val="0"/>
          <c:dLbls>
            <c:dLbl>
              <c:idx val="0"/>
              <c:tx>
                <c:rich>
                  <a:bodyPr/>
                  <a:lstStyle/>
                  <a:p>
                    <a:r>
                      <a:rPr lang="en-US"/>
                      <a:t>Gate Drive (Qg)</a:t>
                    </a:r>
                  </a:p>
                  <a:p>
                    <a:r>
                      <a:rPr lang="en-US"/>
                      <a:t>Loss</a:t>
                    </a:r>
                  </a:p>
                </c:rich>
              </c:tx>
              <c:dLblPos val="outEnd"/>
              <c:showLegendKey val="0"/>
              <c:showVal val="0"/>
              <c:showCatName val="0"/>
              <c:showSerName val="1"/>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9FC9-417C-8679-EB70D5FE036E}"/>
                </c:ext>
              </c:extLst>
            </c:dLbl>
            <c:spPr>
              <a:noFill/>
              <a:ln>
                <a:noFill/>
              </a:ln>
              <a:effectLst/>
            </c:spPr>
            <c:txPr>
              <a:bodyPr rot="0" vert="horz"/>
              <a:lstStyle/>
              <a:p>
                <a:pPr>
                  <a:defRPr sz="1200" b="1"/>
                </a:pPr>
                <a:endParaRPr lang="en-US"/>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val>
            <c:numRef>
              <c:f>Parameters!$BC$108</c:f>
              <c:numCache>
                <c:formatCode>0.000%</c:formatCode>
                <c:ptCount val="1"/>
                <c:pt idx="0">
                  <c:v>5.4394694205683519E-2</c:v>
                </c:pt>
              </c:numCache>
            </c:numRef>
          </c:val>
          <c:extLst>
            <c:ext xmlns:c16="http://schemas.microsoft.com/office/drawing/2014/chart" uri="{C3380CC4-5D6E-409C-BE32-E72D297353CC}">
              <c16:uniqueId val="{00000009-9FC9-417C-8679-EB70D5FE036E}"/>
            </c:ext>
          </c:extLst>
        </c:ser>
        <c:ser>
          <c:idx val="1"/>
          <c:order val="5"/>
          <c:tx>
            <c:strRef>
              <c:f>Parameters!$BE$5</c:f>
              <c:strCache>
                <c:ptCount val="1"/>
                <c:pt idx="0">
                  <c:v>Reverse Recovery &amp; Leakage Loss %</c:v>
                </c:pt>
              </c:strCache>
            </c:strRef>
          </c:tx>
          <c:invertIfNegative val="0"/>
          <c:dLbls>
            <c:dLbl>
              <c:idx val="0"/>
              <c:tx>
                <c:rich>
                  <a:bodyPr/>
                  <a:lstStyle/>
                  <a:p>
                    <a:r>
                      <a:rPr lang="en-US" sz="1200" b="1"/>
                      <a:t>Reverse Recovery</a:t>
                    </a:r>
                  </a:p>
                  <a:p>
                    <a:r>
                      <a:rPr lang="en-US" sz="1200" b="1"/>
                      <a:t>Loss</a:t>
                    </a:r>
                  </a:p>
                </c:rich>
              </c:tx>
              <c:showLegendKey val="0"/>
              <c:showVal val="0"/>
              <c:showCatName val="0"/>
              <c:showSerName val="1"/>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9FC9-417C-8679-EB70D5FE036E}"/>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Parameters!$BE$108</c:f>
              <c:numCache>
                <c:formatCode>0.000%</c:formatCode>
                <c:ptCount val="1"/>
                <c:pt idx="0">
                  <c:v>0</c:v>
                </c:pt>
              </c:numCache>
            </c:numRef>
          </c:val>
          <c:extLst>
            <c:ext xmlns:c16="http://schemas.microsoft.com/office/drawing/2014/chart" uri="{C3380CC4-5D6E-409C-BE32-E72D297353CC}">
              <c16:uniqueId val="{0000000B-9FC9-417C-8679-EB70D5FE036E}"/>
            </c:ext>
          </c:extLst>
        </c:ser>
        <c:ser>
          <c:idx val="8"/>
          <c:order val="6"/>
          <c:tx>
            <c:strRef>
              <c:f>Parameters!$BG$5</c:f>
              <c:strCache>
                <c:ptCount val="1"/>
                <c:pt idx="0">
                  <c:v>Inductor Cu Loss %</c:v>
                </c:pt>
              </c:strCache>
            </c:strRef>
          </c:tx>
          <c:spPr>
            <a:solidFill>
              <a:srgbClr val="00FF00"/>
            </a:solidFill>
            <a:ln w="12700">
              <a:solidFill>
                <a:srgbClr val="000000"/>
              </a:solidFill>
              <a:prstDash val="solid"/>
            </a:ln>
          </c:spPr>
          <c:invertIfNegative val="0"/>
          <c:dLbls>
            <c:dLbl>
              <c:idx val="0"/>
              <c:tx>
                <c:rich>
                  <a:bodyPr/>
                  <a:lstStyle/>
                  <a:p>
                    <a:r>
                      <a:rPr lang="en-US"/>
                      <a:t>Inductor DCR</a:t>
                    </a:r>
                  </a:p>
                  <a:p>
                    <a:r>
                      <a:rPr lang="en-US"/>
                      <a:t>Loss</a:t>
                    </a:r>
                  </a:p>
                </c:rich>
              </c:tx>
              <c:showLegendKey val="0"/>
              <c:showVal val="0"/>
              <c:showCatName val="0"/>
              <c:showSerName val="1"/>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9FC9-417C-8679-EB70D5FE036E}"/>
                </c:ext>
              </c:extLst>
            </c:dLbl>
            <c:spPr>
              <a:noFill/>
              <a:ln>
                <a:noFill/>
              </a:ln>
              <a:effectLst/>
            </c:spPr>
            <c:txPr>
              <a:bodyPr/>
              <a:lstStyle/>
              <a:p>
                <a:pPr>
                  <a:defRPr sz="1200" b="1"/>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val>
            <c:numRef>
              <c:f>Parameters!$BG$108</c:f>
              <c:numCache>
                <c:formatCode>0.000%</c:formatCode>
                <c:ptCount val="1"/>
                <c:pt idx="0">
                  <c:v>7.2151246180390156E-3</c:v>
                </c:pt>
              </c:numCache>
            </c:numRef>
          </c:val>
          <c:extLst>
            <c:ext xmlns:c16="http://schemas.microsoft.com/office/drawing/2014/chart" uri="{C3380CC4-5D6E-409C-BE32-E72D297353CC}">
              <c16:uniqueId val="{0000000D-9FC9-417C-8679-EB70D5FE036E}"/>
            </c:ext>
          </c:extLst>
        </c:ser>
        <c:ser>
          <c:idx val="4"/>
          <c:order val="7"/>
          <c:tx>
            <c:strRef>
              <c:f>Parameters!$BH$5</c:f>
              <c:strCache>
                <c:ptCount val="1"/>
                <c:pt idx="0">
                  <c:v>Inductor Core Loss %</c:v>
                </c:pt>
              </c:strCache>
            </c:strRef>
          </c:tx>
          <c:spPr>
            <a:solidFill>
              <a:srgbClr val="99CC00"/>
            </a:solidFill>
            <a:ln w="12700">
              <a:solidFill>
                <a:srgbClr val="000000"/>
              </a:solidFill>
              <a:prstDash val="solid"/>
            </a:ln>
          </c:spPr>
          <c:invertIfNegative val="0"/>
          <c:dLbls>
            <c:dLbl>
              <c:idx val="0"/>
              <c:tx>
                <c:rich>
                  <a:bodyPr/>
                  <a:lstStyle/>
                  <a:p>
                    <a:r>
                      <a:rPr lang="en-US"/>
                      <a:t>Inductor Core</a:t>
                    </a:r>
                  </a:p>
                  <a:p>
                    <a:r>
                      <a:rPr lang="en-US"/>
                      <a:t>Loss</a:t>
                    </a:r>
                  </a:p>
                </c:rich>
              </c:tx>
              <c:showLegendKey val="0"/>
              <c:showVal val="0"/>
              <c:showCatName val="0"/>
              <c:showSerName val="1"/>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9FC9-417C-8679-EB70D5FE036E}"/>
                </c:ext>
              </c:extLst>
            </c:dLbl>
            <c:spPr>
              <a:noFill/>
              <a:ln>
                <a:noFill/>
              </a:ln>
              <a:effectLst/>
            </c:spPr>
            <c:txPr>
              <a:bodyPr/>
              <a:lstStyle/>
              <a:p>
                <a:pPr>
                  <a:defRPr sz="1200" b="1"/>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val>
            <c:numRef>
              <c:f>Parameters!$BH$108</c:f>
              <c:numCache>
                <c:formatCode>0.000%</c:formatCode>
                <c:ptCount val="1"/>
                <c:pt idx="0">
                  <c:v>1.4929120352630757E-2</c:v>
                </c:pt>
              </c:numCache>
            </c:numRef>
          </c:val>
          <c:extLst>
            <c:ext xmlns:c16="http://schemas.microsoft.com/office/drawing/2014/chart" uri="{C3380CC4-5D6E-409C-BE32-E72D297353CC}">
              <c16:uniqueId val="{0000000F-9FC9-417C-8679-EB70D5FE036E}"/>
            </c:ext>
          </c:extLst>
        </c:ser>
        <c:ser>
          <c:idx val="0"/>
          <c:order val="8"/>
          <c:tx>
            <c:strRef>
              <c:f>Parameters!$BJ$5</c:f>
              <c:strCache>
                <c:ptCount val="1"/>
                <c:pt idx="0">
                  <c:v>Quiescent Current Loss %</c:v>
                </c:pt>
              </c:strCache>
            </c:strRef>
          </c:tx>
          <c:invertIfNegative val="0"/>
          <c:dLbls>
            <c:dLbl>
              <c:idx val="0"/>
              <c:tx>
                <c:rich>
                  <a:bodyPr/>
                  <a:lstStyle/>
                  <a:p>
                    <a:r>
                      <a:rPr lang="en-US"/>
                      <a:t>Quiescent Current</a:t>
                    </a:r>
                  </a:p>
                  <a:p>
                    <a:r>
                      <a:rPr lang="en-US"/>
                      <a:t>Loss </a:t>
                    </a:r>
                  </a:p>
                </c:rich>
              </c:tx>
              <c:showLegendKey val="0"/>
              <c:showVal val="0"/>
              <c:showCatName val="0"/>
              <c:showSerName val="1"/>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0-9FC9-417C-8679-EB70D5FE036E}"/>
                </c:ext>
              </c:extLst>
            </c:dLbl>
            <c:numFmt formatCode="0.0E+00" sourceLinked="0"/>
            <c:spPr>
              <a:noFill/>
            </c:spPr>
            <c:txPr>
              <a:bodyPr rot="0" vert="horz" anchor="ctr" anchorCtr="0"/>
              <a:lstStyle/>
              <a:p>
                <a:pPr>
                  <a:defRPr sz="1200" b="1"/>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val>
            <c:numRef>
              <c:f>Parameters!$BJ$108</c:f>
              <c:numCache>
                <c:formatCode>0.000%</c:formatCode>
                <c:ptCount val="1"/>
                <c:pt idx="0">
                  <c:v>8.2551506228875166E-2</c:v>
                </c:pt>
              </c:numCache>
            </c:numRef>
          </c:val>
          <c:extLst>
            <c:ext xmlns:c16="http://schemas.microsoft.com/office/drawing/2014/chart" uri="{C3380CC4-5D6E-409C-BE32-E72D297353CC}">
              <c16:uniqueId val="{00000011-9FC9-417C-8679-EB70D5FE036E}"/>
            </c:ext>
          </c:extLst>
        </c:ser>
        <c:dLbls>
          <c:showLegendKey val="0"/>
          <c:showVal val="0"/>
          <c:showCatName val="0"/>
          <c:showSerName val="0"/>
          <c:showPercent val="0"/>
          <c:showBubbleSize val="0"/>
        </c:dLbls>
        <c:gapWidth val="101"/>
        <c:overlap val="-70"/>
        <c:axId val="160569216"/>
        <c:axId val="160570752"/>
      </c:barChart>
      <c:catAx>
        <c:axId val="160569216"/>
        <c:scaling>
          <c:orientation val="minMax"/>
        </c:scaling>
        <c:delete val="0"/>
        <c:axPos val="b"/>
        <c:numFmt formatCode="General" sourceLinked="1"/>
        <c:majorTickMark val="none"/>
        <c:minorTickMark val="none"/>
        <c:tickLblPos val="none"/>
        <c:spPr>
          <a:ln w="3175">
            <a:solidFill>
              <a:srgbClr val="000000"/>
            </a:solidFill>
            <a:prstDash val="solid"/>
          </a:ln>
        </c:spPr>
        <c:txPr>
          <a:bodyPr rot="0" vert="horz"/>
          <a:lstStyle/>
          <a:p>
            <a:pPr>
              <a:defRPr sz="1725" b="0" i="0" u="none" strike="noStrike" baseline="0">
                <a:solidFill>
                  <a:srgbClr val="000000"/>
                </a:solidFill>
                <a:latin typeface="Arial"/>
                <a:ea typeface="Arial"/>
                <a:cs typeface="Arial"/>
              </a:defRPr>
            </a:pPr>
            <a:endParaRPr lang="en-US"/>
          </a:p>
        </c:txPr>
        <c:crossAx val="160570752"/>
        <c:crossesAt val="0"/>
        <c:auto val="1"/>
        <c:lblAlgn val="ctr"/>
        <c:lblOffset val="100"/>
        <c:noMultiLvlLbl val="0"/>
      </c:catAx>
      <c:valAx>
        <c:axId val="160570752"/>
        <c:scaling>
          <c:orientation val="minMax"/>
          <c:min val="0"/>
        </c:scaling>
        <c:delete val="0"/>
        <c:axPos val="l"/>
        <c:majorGridlines>
          <c:spPr>
            <a:ln>
              <a:prstDash val="lgDash"/>
            </a:ln>
          </c:spPr>
        </c:majorGridlines>
        <c:title>
          <c:tx>
            <c:rich>
              <a:bodyPr/>
              <a:lstStyle/>
              <a:p>
                <a:pPr>
                  <a:defRPr b="1"/>
                </a:pPr>
                <a:r>
                  <a:rPr lang="en-US" b="1"/>
                  <a:t>Loss</a:t>
                </a:r>
                <a:r>
                  <a:rPr lang="en-US" b="1" baseline="0"/>
                  <a:t> Contributors</a:t>
                </a:r>
                <a:endParaRPr lang="en-US" b="1"/>
              </a:p>
            </c:rich>
          </c:tx>
          <c:layout>
            <c:manualLayout>
              <c:xMode val="edge"/>
              <c:yMode val="edge"/>
              <c:x val="9.9337306593581982E-3"/>
              <c:y val="0.30210944457795558"/>
            </c:manualLayout>
          </c:layout>
          <c:overlay val="0"/>
        </c:title>
        <c:numFmt formatCode="0.0%" sourceLinked="0"/>
        <c:majorTickMark val="out"/>
        <c:minorTickMark val="out"/>
        <c:tickLblPos val="low"/>
        <c:crossAx val="160569216"/>
        <c:crosses val="autoZero"/>
        <c:crossBetween val="between"/>
      </c:valAx>
      <c:spPr>
        <a:solidFill>
          <a:schemeClr val="bg1">
            <a:lumMod val="95000"/>
          </a:schemeClr>
        </a:solidFill>
        <a:ln w="25400">
          <a:noFill/>
        </a:ln>
      </c:spPr>
    </c:plotArea>
    <c:plotVisOnly val="1"/>
    <c:dispBlanksAs val="zero"/>
    <c:showDLblsOverMax val="0"/>
  </c:chart>
  <c:spPr>
    <a:solidFill>
      <a:srgbClr val="FFFFFF"/>
    </a:solidFill>
    <a:ln w="3175">
      <a:noFill/>
      <a:prstDash val="solid"/>
    </a:ln>
  </c:spPr>
  <c:txPr>
    <a:bodyPr/>
    <a:lstStyle/>
    <a:p>
      <a:pPr>
        <a:defRPr sz="1725" b="0" i="0" u="none" strike="noStrike" baseline="0">
          <a:solidFill>
            <a:srgbClr val="000000"/>
          </a:solidFill>
          <a:latin typeface="Arial"/>
          <a:ea typeface="Arial"/>
          <a:cs typeface="Arial"/>
        </a:defRPr>
      </a:pPr>
      <a:endParaRPr lang="en-US"/>
    </a:p>
  </c:txPr>
  <c:printSettings>
    <c:headerFooter alignWithMargins="0"/>
    <c:pageMargins b="1" l="0.75000000000000255" r="0.75000000000000255" t="1" header="0.5" footer="0.5"/>
    <c:pageSetup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rgbClr val="000000"/>
                </a:solidFill>
                <a:latin typeface="Arial" pitchFamily="34" charset="0"/>
                <a:ea typeface="Calibri"/>
                <a:cs typeface="Arial" pitchFamily="34" charset="0"/>
              </a:defRPr>
            </a:pPr>
            <a:r>
              <a:rPr lang="en-US" sz="1800" b="1" i="0" baseline="0">
                <a:effectLst/>
                <a:sym typeface="Symbol"/>
              </a:rPr>
              <a:t></a:t>
            </a:r>
            <a:r>
              <a:rPr lang="en-US" sz="1800" b="1" i="0" baseline="0">
                <a:effectLst/>
              </a:rPr>
              <a:t>, V</a:t>
            </a:r>
            <a:r>
              <a:rPr lang="en-US" sz="1800" b="1" i="0" baseline="-25000">
                <a:effectLst/>
              </a:rPr>
              <a:t>IN</a:t>
            </a:r>
            <a:r>
              <a:rPr lang="en-US" sz="1800" b="1" i="0" baseline="0">
                <a:effectLst/>
              </a:rPr>
              <a:t> = V</a:t>
            </a:r>
            <a:r>
              <a:rPr lang="en-US" sz="1800" b="1" i="0" baseline="-25000">
                <a:effectLst/>
              </a:rPr>
              <a:t>IN(nom)</a:t>
            </a:r>
            <a:endParaRPr lang="en-US">
              <a:effectLst/>
            </a:endParaRPr>
          </a:p>
        </c:rich>
      </c:tx>
      <c:layout>
        <c:manualLayout>
          <c:xMode val="edge"/>
          <c:yMode val="edge"/>
          <c:x val="8.2586704916618195E-2"/>
          <c:y val="1.8363289746112718E-2"/>
        </c:manualLayout>
      </c:layout>
      <c:overlay val="0"/>
      <c:spPr>
        <a:noFill/>
        <a:ln w="25400">
          <a:noFill/>
        </a:ln>
      </c:spPr>
    </c:title>
    <c:autoTitleDeleted val="0"/>
    <c:plotArea>
      <c:layout>
        <c:manualLayout>
          <c:layoutTarget val="inner"/>
          <c:xMode val="edge"/>
          <c:yMode val="edge"/>
          <c:x val="7.6761884085804283E-2"/>
          <c:y val="0.12133523343001466"/>
          <c:w val="0.82579990228506128"/>
          <c:h val="0.7558980268938309"/>
        </c:manualLayout>
      </c:layout>
      <c:lineChart>
        <c:grouping val="standard"/>
        <c:varyColors val="0"/>
        <c:ser>
          <c:idx val="0"/>
          <c:order val="0"/>
          <c:tx>
            <c:v>Efficiency</c:v>
          </c:tx>
          <c:spPr>
            <a:ln w="38100">
              <a:solidFill>
                <a:srgbClr val="FF0000"/>
              </a:solidFill>
              <a:prstDash val="solid"/>
            </a:ln>
          </c:spPr>
          <c:marker>
            <c:symbol val="none"/>
          </c:marker>
          <c:cat>
            <c:numRef>
              <c:f>'Calculations - Single'!$F$5:$F$105</c:f>
              <c:numCache>
                <c:formatCode>0.000</c:formatCode>
                <c:ptCount val="101"/>
                <c:pt idx="0">
                  <c:v>1.0000000000000001E-9</c:v>
                </c:pt>
                <c:pt idx="1">
                  <c:v>0.01</c:v>
                </c:pt>
                <c:pt idx="2">
                  <c:v>0.02</c:v>
                </c:pt>
                <c:pt idx="3">
                  <c:v>0.03</c:v>
                </c:pt>
                <c:pt idx="4">
                  <c:v>0.04</c:v>
                </c:pt>
                <c:pt idx="5">
                  <c:v>0.05</c:v>
                </c:pt>
                <c:pt idx="6">
                  <c:v>0.06</c:v>
                </c:pt>
                <c:pt idx="7">
                  <c:v>7.0000000000000007E-2</c:v>
                </c:pt>
                <c:pt idx="8">
                  <c:v>0.08</c:v>
                </c:pt>
                <c:pt idx="9">
                  <c:v>0.09</c:v>
                </c:pt>
                <c:pt idx="10">
                  <c:v>0.1</c:v>
                </c:pt>
                <c:pt idx="11">
                  <c:v>0.11</c:v>
                </c:pt>
                <c:pt idx="12">
                  <c:v>0.12</c:v>
                </c:pt>
                <c:pt idx="13">
                  <c:v>0.13</c:v>
                </c:pt>
                <c:pt idx="14">
                  <c:v>0.14000000000000001</c:v>
                </c:pt>
                <c:pt idx="15">
                  <c:v>0.15</c:v>
                </c:pt>
                <c:pt idx="16">
                  <c:v>0.16</c:v>
                </c:pt>
                <c:pt idx="17">
                  <c:v>0.17</c:v>
                </c:pt>
                <c:pt idx="18">
                  <c:v>0.18</c:v>
                </c:pt>
                <c:pt idx="19">
                  <c:v>0.19</c:v>
                </c:pt>
                <c:pt idx="20">
                  <c:v>0.2</c:v>
                </c:pt>
                <c:pt idx="21">
                  <c:v>0.21</c:v>
                </c:pt>
                <c:pt idx="22">
                  <c:v>0.22</c:v>
                </c:pt>
                <c:pt idx="23">
                  <c:v>0.23</c:v>
                </c:pt>
                <c:pt idx="24">
                  <c:v>0.24</c:v>
                </c:pt>
                <c:pt idx="25">
                  <c:v>0.25</c:v>
                </c:pt>
                <c:pt idx="26">
                  <c:v>0.26</c:v>
                </c:pt>
                <c:pt idx="27">
                  <c:v>0.27</c:v>
                </c:pt>
                <c:pt idx="28">
                  <c:v>0.28000000000000003</c:v>
                </c:pt>
                <c:pt idx="29">
                  <c:v>0.28999999999999998</c:v>
                </c:pt>
                <c:pt idx="30">
                  <c:v>0.3</c:v>
                </c:pt>
                <c:pt idx="31">
                  <c:v>0.31</c:v>
                </c:pt>
                <c:pt idx="32">
                  <c:v>0.32</c:v>
                </c:pt>
                <c:pt idx="33">
                  <c:v>0.33</c:v>
                </c:pt>
                <c:pt idx="34">
                  <c:v>0.34</c:v>
                </c:pt>
                <c:pt idx="35">
                  <c:v>0.35</c:v>
                </c:pt>
                <c:pt idx="36">
                  <c:v>0.36</c:v>
                </c:pt>
                <c:pt idx="37">
                  <c:v>0.37</c:v>
                </c:pt>
                <c:pt idx="38">
                  <c:v>0.38</c:v>
                </c:pt>
                <c:pt idx="39">
                  <c:v>0.39</c:v>
                </c:pt>
                <c:pt idx="40">
                  <c:v>0.4</c:v>
                </c:pt>
                <c:pt idx="41">
                  <c:v>0.41</c:v>
                </c:pt>
                <c:pt idx="42">
                  <c:v>0.42</c:v>
                </c:pt>
                <c:pt idx="43">
                  <c:v>0.43</c:v>
                </c:pt>
                <c:pt idx="44">
                  <c:v>0.44</c:v>
                </c:pt>
                <c:pt idx="45">
                  <c:v>0.45</c:v>
                </c:pt>
                <c:pt idx="46">
                  <c:v>0.46</c:v>
                </c:pt>
                <c:pt idx="47">
                  <c:v>0.47</c:v>
                </c:pt>
                <c:pt idx="48">
                  <c:v>0.48</c:v>
                </c:pt>
                <c:pt idx="49">
                  <c:v>0.49</c:v>
                </c:pt>
                <c:pt idx="50">
                  <c:v>0.5</c:v>
                </c:pt>
                <c:pt idx="51">
                  <c:v>0.51</c:v>
                </c:pt>
                <c:pt idx="52">
                  <c:v>0.52</c:v>
                </c:pt>
                <c:pt idx="53">
                  <c:v>0.53</c:v>
                </c:pt>
                <c:pt idx="54">
                  <c:v>0.54</c:v>
                </c:pt>
                <c:pt idx="55">
                  <c:v>0.55000000000000004</c:v>
                </c:pt>
                <c:pt idx="56">
                  <c:v>0.56000000000000005</c:v>
                </c:pt>
                <c:pt idx="57">
                  <c:v>0.56999999999999995</c:v>
                </c:pt>
                <c:pt idx="58">
                  <c:v>0.57999999999999996</c:v>
                </c:pt>
                <c:pt idx="59">
                  <c:v>0.59</c:v>
                </c:pt>
                <c:pt idx="60">
                  <c:v>0.6</c:v>
                </c:pt>
                <c:pt idx="61">
                  <c:v>0.61</c:v>
                </c:pt>
                <c:pt idx="62">
                  <c:v>0.62</c:v>
                </c:pt>
                <c:pt idx="63">
                  <c:v>0.63</c:v>
                </c:pt>
                <c:pt idx="64">
                  <c:v>0.64</c:v>
                </c:pt>
                <c:pt idx="65">
                  <c:v>0.65</c:v>
                </c:pt>
                <c:pt idx="66">
                  <c:v>0.66</c:v>
                </c:pt>
                <c:pt idx="67">
                  <c:v>0.67</c:v>
                </c:pt>
                <c:pt idx="68">
                  <c:v>0.68</c:v>
                </c:pt>
                <c:pt idx="69">
                  <c:v>0.69</c:v>
                </c:pt>
                <c:pt idx="70">
                  <c:v>0.7</c:v>
                </c:pt>
                <c:pt idx="71">
                  <c:v>0.71</c:v>
                </c:pt>
                <c:pt idx="72">
                  <c:v>0.72</c:v>
                </c:pt>
                <c:pt idx="73">
                  <c:v>0.73</c:v>
                </c:pt>
                <c:pt idx="74">
                  <c:v>0.74</c:v>
                </c:pt>
                <c:pt idx="75">
                  <c:v>0.75</c:v>
                </c:pt>
                <c:pt idx="76">
                  <c:v>0.76</c:v>
                </c:pt>
                <c:pt idx="77">
                  <c:v>0.77</c:v>
                </c:pt>
                <c:pt idx="78">
                  <c:v>0.78</c:v>
                </c:pt>
                <c:pt idx="79">
                  <c:v>0.79</c:v>
                </c:pt>
                <c:pt idx="80">
                  <c:v>0.8</c:v>
                </c:pt>
                <c:pt idx="81">
                  <c:v>0.81</c:v>
                </c:pt>
                <c:pt idx="82">
                  <c:v>0.82</c:v>
                </c:pt>
                <c:pt idx="83">
                  <c:v>0.83</c:v>
                </c:pt>
                <c:pt idx="84">
                  <c:v>0.84</c:v>
                </c:pt>
                <c:pt idx="85">
                  <c:v>0.85</c:v>
                </c:pt>
                <c:pt idx="86">
                  <c:v>0.86</c:v>
                </c:pt>
                <c:pt idx="87">
                  <c:v>0.87</c:v>
                </c:pt>
                <c:pt idx="88">
                  <c:v>0.88</c:v>
                </c:pt>
                <c:pt idx="89">
                  <c:v>0.89</c:v>
                </c:pt>
                <c:pt idx="90">
                  <c:v>0.9</c:v>
                </c:pt>
                <c:pt idx="91">
                  <c:v>0.91</c:v>
                </c:pt>
                <c:pt idx="92">
                  <c:v>0.92</c:v>
                </c:pt>
                <c:pt idx="93">
                  <c:v>0.93</c:v>
                </c:pt>
                <c:pt idx="94">
                  <c:v>0.94</c:v>
                </c:pt>
                <c:pt idx="95">
                  <c:v>0.95</c:v>
                </c:pt>
                <c:pt idx="96">
                  <c:v>0.96</c:v>
                </c:pt>
                <c:pt idx="97">
                  <c:v>0.97</c:v>
                </c:pt>
                <c:pt idx="98">
                  <c:v>0.98</c:v>
                </c:pt>
                <c:pt idx="99">
                  <c:v>0.99</c:v>
                </c:pt>
                <c:pt idx="100">
                  <c:v>1</c:v>
                </c:pt>
              </c:numCache>
            </c:numRef>
          </c:cat>
          <c:val>
            <c:numRef>
              <c:f>'Calculations - Single'!$CA$5:$CA$105</c:f>
              <c:numCache>
                <c:formatCode>0.00</c:formatCode>
                <c:ptCount val="101"/>
                <c:pt idx="0">
                  <c:v>1.3574880682504776E-4</c:v>
                </c:pt>
                <c:pt idx="1">
                  <c:v>74.600543478469305</c:v>
                </c:pt>
                <c:pt idx="2">
                  <c:v>75.416327839849771</c:v>
                </c:pt>
                <c:pt idx="3">
                  <c:v>75.692235310784341</c:v>
                </c:pt>
                <c:pt idx="4">
                  <c:v>75.830947480530625</c:v>
                </c:pt>
                <c:pt idx="5">
                  <c:v>75.875671594874788</c:v>
                </c:pt>
                <c:pt idx="6">
                  <c:v>77.538704281511883</c:v>
                </c:pt>
                <c:pt idx="7">
                  <c:v>79.197517917013712</c:v>
                </c:pt>
                <c:pt idx="8">
                  <c:v>80.502764924679042</c:v>
                </c:pt>
                <c:pt idx="9">
                  <c:v>81.557879007126161</c:v>
                </c:pt>
                <c:pt idx="10">
                  <c:v>82.429247667898309</c:v>
                </c:pt>
                <c:pt idx="11">
                  <c:v>83.161501537385078</c:v>
                </c:pt>
                <c:pt idx="12">
                  <c:v>83.785789843732601</c:v>
                </c:pt>
                <c:pt idx="13">
                  <c:v>84.324535678526829</c:v>
                </c:pt>
                <c:pt idx="14">
                  <c:v>84.794305545773582</c:v>
                </c:pt>
                <c:pt idx="15">
                  <c:v>85.207613170914939</c:v>
                </c:pt>
                <c:pt idx="16">
                  <c:v>85.574093335611579</c:v>
                </c:pt>
                <c:pt idx="17">
                  <c:v>85.901288823534742</c:v>
                </c:pt>
                <c:pt idx="18">
                  <c:v>86.195191809147161</c:v>
                </c:pt>
                <c:pt idx="19">
                  <c:v>86.460624854948648</c:v>
                </c:pt>
                <c:pt idx="20">
                  <c:v>86.701514467112347</c:v>
                </c:pt>
                <c:pt idx="21">
                  <c:v>86.921091050177338</c:v>
                </c:pt>
                <c:pt idx="22">
                  <c:v>87.12203742493196</c:v>
                </c:pt>
                <c:pt idx="23">
                  <c:v>87.30660074770158</c:v>
                </c:pt>
                <c:pt idx="24">
                  <c:v>87.476677962731458</c:v>
                </c:pt>
                <c:pt idx="25">
                  <c:v>87.633881830364629</c:v>
                </c:pt>
                <c:pt idx="26">
                  <c:v>87.779592506693135</c:v>
                </c:pt>
                <c:pt idx="27">
                  <c:v>87.914998242576985</c:v>
                </c:pt>
                <c:pt idx="28">
                  <c:v>88.041127795525682</c:v>
                </c:pt>
                <c:pt idx="29">
                  <c:v>88.15887646343154</c:v>
                </c:pt>
                <c:pt idx="30">
                  <c:v>88.269027161669129</c:v>
                </c:pt>
                <c:pt idx="31">
                  <c:v>88.372267613503311</c:v>
                </c:pt>
                <c:pt idx="32">
                  <c:v>88.469204467198011</c:v>
                </c:pt>
                <c:pt idx="33">
                  <c:v>88.560374963958452</c:v>
                </c:pt>
                <c:pt idx="34">
                  <c:v>88.646256639789939</c:v>
                </c:pt>
                <c:pt idx="35">
                  <c:v>88.727275438235395</c:v>
                </c:pt>
                <c:pt idx="36">
                  <c:v>88.803812530395106</c:v>
                </c:pt>
                <c:pt idx="37">
                  <c:v>88.876210076966331</c:v>
                </c:pt>
                <c:pt idx="38">
                  <c:v>88.94477611946256</c:v>
                </c:pt>
                <c:pt idx="39">
                  <c:v>89.009788750791955</c:v>
                </c:pt>
                <c:pt idx="40">
                  <c:v>89.071499686427657</c:v>
                </c:pt>
                <c:pt idx="41">
                  <c:v>89.13013733459529</c:v>
                </c:pt>
                <c:pt idx="42">
                  <c:v>89.185909445818538</c:v>
                </c:pt>
                <c:pt idx="43">
                  <c:v>89.23900540773964</c:v>
                </c:pt>
                <c:pt idx="44">
                  <c:v>89.289598239560846</c:v>
                </c:pt>
                <c:pt idx="45">
                  <c:v>89.337846331122421</c:v>
                </c:pt>
                <c:pt idx="46">
                  <c:v>89.383894964068119</c:v>
                </c:pt>
                <c:pt idx="47">
                  <c:v>89.427877646388993</c:v>
                </c:pt>
                <c:pt idx="48">
                  <c:v>89.46991728659313</c:v>
                </c:pt>
                <c:pt idx="49">
                  <c:v>89.510127229605146</c:v>
                </c:pt>
                <c:pt idx="50">
                  <c:v>89.548612173077473</c:v>
                </c:pt>
                <c:pt idx="51">
                  <c:v>89.585468979959089</c:v>
                </c:pt>
                <c:pt idx="52">
                  <c:v>89.620787400808055</c:v>
                </c:pt>
                <c:pt idx="53">
                  <c:v>89.654650717362529</c:v>
                </c:pt>
                <c:pt idx="54">
                  <c:v>89.687136317232856</c:v>
                </c:pt>
                <c:pt idx="55">
                  <c:v>89.718316208187531</c:v>
                </c:pt>
                <c:pt idx="56">
                  <c:v>89.74825747933258</c:v>
                </c:pt>
                <c:pt idx="57">
                  <c:v>89.777022715491086</c:v>
                </c:pt>
                <c:pt idx="58">
                  <c:v>89.804670370246058</c:v>
                </c:pt>
                <c:pt idx="59">
                  <c:v>89.831255102391452</c:v>
                </c:pt>
                <c:pt idx="60">
                  <c:v>89.856828079922479</c:v>
                </c:pt>
                <c:pt idx="61">
                  <c:v>89.88143725517061</c:v>
                </c:pt>
                <c:pt idx="62">
                  <c:v>89.905127614237514</c:v>
                </c:pt>
                <c:pt idx="63">
                  <c:v>89.927941403492966</c:v>
                </c:pt>
                <c:pt idx="64">
                  <c:v>89.94991833556648</c:v>
                </c:pt>
                <c:pt idx="65">
                  <c:v>89.971095776972291</c:v>
                </c:pt>
                <c:pt idx="66">
                  <c:v>89.991508919254485</c:v>
                </c:pt>
                <c:pt idx="67">
                  <c:v>90.011190935321764</c:v>
                </c:pt>
                <c:pt idx="68">
                  <c:v>90.030173122448858</c:v>
                </c:pt>
                <c:pt idx="69">
                  <c:v>90.048485033256441</c:v>
                </c:pt>
                <c:pt idx="70">
                  <c:v>90.066154595834988</c:v>
                </c:pt>
                <c:pt idx="71">
                  <c:v>90.08320822405085</c:v>
                </c:pt>
                <c:pt idx="72">
                  <c:v>90.099670918960172</c:v>
                </c:pt>
                <c:pt idx="73">
                  <c:v>90.115566362157907</c:v>
                </c:pt>
                <c:pt idx="74">
                  <c:v>90.130917001802473</c:v>
                </c:pt>
                <c:pt idx="75">
                  <c:v>90.145744131979171</c:v>
                </c:pt>
                <c:pt idx="76">
                  <c:v>90.160067965997953</c:v>
                </c:pt>
                <c:pt idx="77">
                  <c:v>90.17390770416101</c:v>
                </c:pt>
                <c:pt idx="78">
                  <c:v>90.187281596481952</c:v>
                </c:pt>
                <c:pt idx="79">
                  <c:v>90.200207000790982</c:v>
                </c:pt>
                <c:pt idx="80">
                  <c:v>90.212700436618178</c:v>
                </c:pt>
                <c:pt idx="81">
                  <c:v>90.224777635209335</c:v>
                </c:pt>
                <c:pt idx="82">
                  <c:v>90.236453585995065</c:v>
                </c:pt>
                <c:pt idx="83">
                  <c:v>90.247742579803941</c:v>
                </c:pt>
                <c:pt idx="84">
                  <c:v>90.258658249083055</c:v>
                </c:pt>
                <c:pt idx="85">
                  <c:v>90.269213605366033</c:v>
                </c:pt>
                <c:pt idx="86">
                  <c:v>90.279421074205629</c:v>
                </c:pt>
                <c:pt idx="87">
                  <c:v>90.289292527769931</c:v>
                </c:pt>
                <c:pt idx="88">
                  <c:v>90.298839315282294</c:v>
                </c:pt>
                <c:pt idx="89">
                  <c:v>90.308072291470367</c:v>
                </c:pt>
                <c:pt idx="90">
                  <c:v>90.317001843174467</c:v>
                </c:pt>
                <c:pt idx="91">
                  <c:v>90.325637914253292</c:v>
                </c:pt>
                <c:pt idx="92">
                  <c:v>90.333990028912936</c:v>
                </c:pt>
                <c:pt idx="93">
                  <c:v>90.342067313574489</c:v>
                </c:pt>
                <c:pt idx="94">
                  <c:v>90.349878517386401</c:v>
                </c:pt>
                <c:pt idx="95">
                  <c:v>90.357432031478709</c:v>
                </c:pt>
                <c:pt idx="96">
                  <c:v>90.3647359070482</c:v>
                </c:pt>
                <c:pt idx="97">
                  <c:v>90.371797872356979</c:v>
                </c:pt>
                <c:pt idx="98">
                  <c:v>90.378625348719723</c:v>
                </c:pt>
                <c:pt idx="99">
                  <c:v>90.38522546554951</c:v>
                </c:pt>
                <c:pt idx="100">
                  <c:v>90.391605074526055</c:v>
                </c:pt>
              </c:numCache>
            </c:numRef>
          </c:val>
          <c:smooth val="0"/>
          <c:extLst>
            <c:ext xmlns:c16="http://schemas.microsoft.com/office/drawing/2014/chart" uri="{C3380CC4-5D6E-409C-BE32-E72D297353CC}">
              <c16:uniqueId val="{00000000-2E7B-44CD-81A3-DB5BB9B01FFA}"/>
            </c:ext>
          </c:extLst>
        </c:ser>
        <c:dLbls>
          <c:showLegendKey val="0"/>
          <c:showVal val="0"/>
          <c:showCatName val="0"/>
          <c:showSerName val="0"/>
          <c:showPercent val="0"/>
          <c:showBubbleSize val="0"/>
        </c:dLbls>
        <c:marker val="1"/>
        <c:smooth val="0"/>
        <c:axId val="151400448"/>
        <c:axId val="151402368"/>
      </c:lineChart>
      <c:lineChart>
        <c:grouping val="standard"/>
        <c:varyColors val="0"/>
        <c:ser>
          <c:idx val="2"/>
          <c:order val="1"/>
          <c:tx>
            <c:strRef>
              <c:f>'Calculations - Single'!$BO$3</c:f>
              <c:strCache>
                <c:ptCount val="1"/>
                <c:pt idx="0">
                  <c:v>Flyback Diode Loss</c:v>
                </c:pt>
              </c:strCache>
            </c:strRef>
          </c:tx>
          <c:spPr>
            <a:ln w="38100">
              <a:solidFill>
                <a:srgbClr val="808000"/>
              </a:solidFill>
              <a:prstDash val="sysDash"/>
            </a:ln>
          </c:spPr>
          <c:marker>
            <c:symbol val="none"/>
          </c:marker>
          <c:cat>
            <c:numLit>
              <c:formatCode>General</c:formatCode>
              <c:ptCount val="201"/>
              <c:pt idx="0">
                <c:v>0</c:v>
              </c:pt>
              <c:pt idx="1">
                <c:v>2.5000000000000001E-2</c:v>
              </c:pt>
              <c:pt idx="2">
                <c:v>0.05</c:v>
              </c:pt>
              <c:pt idx="3">
                <c:v>7.4999999999999997E-2</c:v>
              </c:pt>
              <c:pt idx="4">
                <c:v>0.1</c:v>
              </c:pt>
              <c:pt idx="5">
                <c:v>0.125</c:v>
              </c:pt>
              <c:pt idx="6">
                <c:v>0.15</c:v>
              </c:pt>
              <c:pt idx="7">
                <c:v>0.17500000000000002</c:v>
              </c:pt>
              <c:pt idx="8">
                <c:v>0.2</c:v>
              </c:pt>
              <c:pt idx="9">
                <c:v>0.22499999999999998</c:v>
              </c:pt>
              <c:pt idx="10">
                <c:v>0.25</c:v>
              </c:pt>
              <c:pt idx="11">
                <c:v>0.27500000000000002</c:v>
              </c:pt>
              <c:pt idx="12">
                <c:v>0.3</c:v>
              </c:pt>
              <c:pt idx="13">
                <c:v>0.32500000000000001</c:v>
              </c:pt>
              <c:pt idx="14">
                <c:v>0.35000000000000003</c:v>
              </c:pt>
              <c:pt idx="15">
                <c:v>0.375</c:v>
              </c:pt>
              <c:pt idx="16">
                <c:v>0.4</c:v>
              </c:pt>
              <c:pt idx="17">
                <c:v>0.42500000000000004</c:v>
              </c:pt>
              <c:pt idx="18">
                <c:v>0.44999999999999996</c:v>
              </c:pt>
              <c:pt idx="19">
                <c:v>0.47499999999999998</c:v>
              </c:pt>
              <c:pt idx="20">
                <c:v>0.5</c:v>
              </c:pt>
              <c:pt idx="21">
                <c:v>0.52500000000000002</c:v>
              </c:pt>
              <c:pt idx="22">
                <c:v>0.55000000000000004</c:v>
              </c:pt>
              <c:pt idx="23">
                <c:v>0.57500000000000007</c:v>
              </c:pt>
              <c:pt idx="24">
                <c:v>0.6</c:v>
              </c:pt>
              <c:pt idx="25">
                <c:v>0.625</c:v>
              </c:pt>
              <c:pt idx="26">
                <c:v>0.65</c:v>
              </c:pt>
              <c:pt idx="27">
                <c:v>0.67500000000000004</c:v>
              </c:pt>
              <c:pt idx="28">
                <c:v>0.70000000000000007</c:v>
              </c:pt>
              <c:pt idx="29">
                <c:v>0.72499999999999998</c:v>
              </c:pt>
              <c:pt idx="30">
                <c:v>0.75</c:v>
              </c:pt>
              <c:pt idx="31">
                <c:v>0.77500000000000002</c:v>
              </c:pt>
              <c:pt idx="32">
                <c:v>0.8</c:v>
              </c:pt>
              <c:pt idx="33">
                <c:v>0.82500000000000007</c:v>
              </c:pt>
              <c:pt idx="34">
                <c:v>0.85000000000000009</c:v>
              </c:pt>
              <c:pt idx="35">
                <c:v>0.875</c:v>
              </c:pt>
              <c:pt idx="36">
                <c:v>0.89999999999999991</c:v>
              </c:pt>
              <c:pt idx="37">
                <c:v>0.92500000000000004</c:v>
              </c:pt>
              <c:pt idx="38">
                <c:v>0.95</c:v>
              </c:pt>
              <c:pt idx="39">
                <c:v>0.97500000000000009</c:v>
              </c:pt>
              <c:pt idx="40">
                <c:v>1</c:v>
              </c:pt>
              <c:pt idx="41">
                <c:v>1.0249999999999999</c:v>
              </c:pt>
              <c:pt idx="42">
                <c:v>1.05</c:v>
              </c:pt>
              <c:pt idx="43">
                <c:v>1.075</c:v>
              </c:pt>
              <c:pt idx="44">
                <c:v>1.1000000000000001</c:v>
              </c:pt>
              <c:pt idx="45">
                <c:v>1.125</c:v>
              </c:pt>
              <c:pt idx="46">
                <c:v>1.1500000000000001</c:v>
              </c:pt>
              <c:pt idx="47">
                <c:v>1.1749999999999998</c:v>
              </c:pt>
              <c:pt idx="48">
                <c:v>1.2</c:v>
              </c:pt>
              <c:pt idx="49">
                <c:v>1.2250000000000001</c:v>
              </c:pt>
              <c:pt idx="50">
                <c:v>1.25</c:v>
              </c:pt>
              <c:pt idx="51">
                <c:v>1.2749999999999999</c:v>
              </c:pt>
              <c:pt idx="52">
                <c:v>1.3</c:v>
              </c:pt>
              <c:pt idx="53">
                <c:v>1.3250000000000002</c:v>
              </c:pt>
              <c:pt idx="54">
                <c:v>1.35</c:v>
              </c:pt>
              <c:pt idx="55">
                <c:v>1.375</c:v>
              </c:pt>
              <c:pt idx="56">
                <c:v>1.4000000000000001</c:v>
              </c:pt>
              <c:pt idx="57">
                <c:v>1.4249999999999998</c:v>
              </c:pt>
              <c:pt idx="58">
                <c:v>1.45</c:v>
              </c:pt>
              <c:pt idx="59">
                <c:v>1.4749999999999999</c:v>
              </c:pt>
              <c:pt idx="60">
                <c:v>1.5</c:v>
              </c:pt>
              <c:pt idx="61">
                <c:v>1.5249999999999999</c:v>
              </c:pt>
              <c:pt idx="62">
                <c:v>1.55</c:v>
              </c:pt>
              <c:pt idx="63">
                <c:v>1.575</c:v>
              </c:pt>
              <c:pt idx="64">
                <c:v>1.6</c:v>
              </c:pt>
              <c:pt idx="65">
                <c:v>1.625</c:v>
              </c:pt>
              <c:pt idx="66">
                <c:v>1.6500000000000001</c:v>
              </c:pt>
              <c:pt idx="67">
                <c:v>1.675</c:v>
              </c:pt>
              <c:pt idx="68">
                <c:v>1.7000000000000002</c:v>
              </c:pt>
              <c:pt idx="69">
                <c:v>1.7249999999999999</c:v>
              </c:pt>
              <c:pt idx="70">
                <c:v>1.75</c:v>
              </c:pt>
              <c:pt idx="71">
                <c:v>1.7749999999999999</c:v>
              </c:pt>
              <c:pt idx="72">
                <c:v>1.7999999999999998</c:v>
              </c:pt>
              <c:pt idx="73">
                <c:v>1.825</c:v>
              </c:pt>
              <c:pt idx="74">
                <c:v>1.85</c:v>
              </c:pt>
              <c:pt idx="75">
                <c:v>1.875</c:v>
              </c:pt>
              <c:pt idx="76">
                <c:v>1.9</c:v>
              </c:pt>
              <c:pt idx="77">
                <c:v>1.925</c:v>
              </c:pt>
              <c:pt idx="78">
                <c:v>1.9500000000000002</c:v>
              </c:pt>
              <c:pt idx="79">
                <c:v>1.9750000000000001</c:v>
              </c:pt>
              <c:pt idx="80">
                <c:v>2</c:v>
              </c:pt>
              <c:pt idx="81">
                <c:v>2.0250000000000004</c:v>
              </c:pt>
              <c:pt idx="82">
                <c:v>2.0499999999999998</c:v>
              </c:pt>
              <c:pt idx="83">
                <c:v>2.0749999999999997</c:v>
              </c:pt>
              <c:pt idx="84">
                <c:v>2.1</c:v>
              </c:pt>
              <c:pt idx="85">
                <c:v>2.125</c:v>
              </c:pt>
              <c:pt idx="86">
                <c:v>2.15</c:v>
              </c:pt>
              <c:pt idx="87">
                <c:v>2.1749999999999998</c:v>
              </c:pt>
              <c:pt idx="88">
                <c:v>2.2000000000000002</c:v>
              </c:pt>
              <c:pt idx="89">
                <c:v>2.2250000000000001</c:v>
              </c:pt>
              <c:pt idx="90">
                <c:v>2.25</c:v>
              </c:pt>
              <c:pt idx="91">
                <c:v>2.2749999999999999</c:v>
              </c:pt>
              <c:pt idx="92">
                <c:v>2.3000000000000003</c:v>
              </c:pt>
              <c:pt idx="93">
                <c:v>2.3250000000000002</c:v>
              </c:pt>
              <c:pt idx="94">
                <c:v>2.3499999999999996</c:v>
              </c:pt>
              <c:pt idx="95">
                <c:v>2.375</c:v>
              </c:pt>
              <c:pt idx="96">
                <c:v>2.4</c:v>
              </c:pt>
              <c:pt idx="97">
                <c:v>2.4249999999999998</c:v>
              </c:pt>
              <c:pt idx="98">
                <c:v>2.4500000000000002</c:v>
              </c:pt>
              <c:pt idx="99">
                <c:v>2.4750000000000001</c:v>
              </c:pt>
              <c:pt idx="100">
                <c:v>2.5</c:v>
              </c:pt>
              <c:pt idx="101">
                <c:v>2.5249999999999999</c:v>
              </c:pt>
              <c:pt idx="102">
                <c:v>2.5499999999999998</c:v>
              </c:pt>
              <c:pt idx="103">
                <c:v>2.5750000000000002</c:v>
              </c:pt>
              <c:pt idx="104">
                <c:v>2.6</c:v>
              </c:pt>
              <c:pt idx="105">
                <c:v>2.625</c:v>
              </c:pt>
              <c:pt idx="106">
                <c:v>2.6500000000000004</c:v>
              </c:pt>
              <c:pt idx="107">
                <c:v>2.6750000000000003</c:v>
              </c:pt>
              <c:pt idx="108">
                <c:v>2.7</c:v>
              </c:pt>
              <c:pt idx="109">
                <c:v>2.7250000000000001</c:v>
              </c:pt>
              <c:pt idx="110">
                <c:v>2.75</c:v>
              </c:pt>
              <c:pt idx="111">
                <c:v>2.7750000000000004</c:v>
              </c:pt>
              <c:pt idx="112">
                <c:v>2.8000000000000003</c:v>
              </c:pt>
              <c:pt idx="113">
                <c:v>2.8249999999999997</c:v>
              </c:pt>
              <c:pt idx="114">
                <c:v>2.8499999999999996</c:v>
              </c:pt>
              <c:pt idx="115">
                <c:v>2.875</c:v>
              </c:pt>
              <c:pt idx="116">
                <c:v>2.9</c:v>
              </c:pt>
              <c:pt idx="117">
                <c:v>2.9249999999999998</c:v>
              </c:pt>
              <c:pt idx="118">
                <c:v>2.9499999999999997</c:v>
              </c:pt>
              <c:pt idx="119">
                <c:v>2.9749999999999996</c:v>
              </c:pt>
              <c:pt idx="120">
                <c:v>3</c:v>
              </c:pt>
              <c:pt idx="121">
                <c:v>3.0249999999999999</c:v>
              </c:pt>
              <c:pt idx="122">
                <c:v>3.05</c:v>
              </c:pt>
              <c:pt idx="123">
                <c:v>3.0750000000000002</c:v>
              </c:pt>
              <c:pt idx="124">
                <c:v>3.1</c:v>
              </c:pt>
              <c:pt idx="125">
                <c:v>3.125</c:v>
              </c:pt>
              <c:pt idx="126">
                <c:v>3.15</c:v>
              </c:pt>
              <c:pt idx="127">
                <c:v>3.1749999999999998</c:v>
              </c:pt>
              <c:pt idx="128">
                <c:v>3.2</c:v>
              </c:pt>
              <c:pt idx="129">
                <c:v>3.2250000000000001</c:v>
              </c:pt>
              <c:pt idx="130">
                <c:v>3.25</c:v>
              </c:pt>
              <c:pt idx="131">
                <c:v>3.2750000000000004</c:v>
              </c:pt>
              <c:pt idx="132">
                <c:v>3.3000000000000003</c:v>
              </c:pt>
              <c:pt idx="133">
                <c:v>3.3250000000000002</c:v>
              </c:pt>
              <c:pt idx="134">
                <c:v>3.35</c:v>
              </c:pt>
              <c:pt idx="135">
                <c:v>3.375</c:v>
              </c:pt>
              <c:pt idx="136">
                <c:v>3.4000000000000004</c:v>
              </c:pt>
              <c:pt idx="137">
                <c:v>3.4250000000000003</c:v>
              </c:pt>
              <c:pt idx="138">
                <c:v>3.4499999999999997</c:v>
              </c:pt>
              <c:pt idx="139">
                <c:v>3.4749999999999996</c:v>
              </c:pt>
              <c:pt idx="140">
                <c:v>3.5</c:v>
              </c:pt>
              <c:pt idx="141">
                <c:v>3.5249999999999999</c:v>
              </c:pt>
              <c:pt idx="142">
                <c:v>3.55</c:v>
              </c:pt>
              <c:pt idx="143">
                <c:v>3.5749999999999997</c:v>
              </c:pt>
              <c:pt idx="144">
                <c:v>3.5999999999999996</c:v>
              </c:pt>
              <c:pt idx="145">
                <c:v>3.625</c:v>
              </c:pt>
              <c:pt idx="146">
                <c:v>3.65</c:v>
              </c:pt>
              <c:pt idx="147">
                <c:v>3.6749999999999998</c:v>
              </c:pt>
              <c:pt idx="148">
                <c:v>3.7</c:v>
              </c:pt>
              <c:pt idx="149">
                <c:v>3.7250000000000001</c:v>
              </c:pt>
              <c:pt idx="150">
                <c:v>3.75</c:v>
              </c:pt>
              <c:pt idx="151">
                <c:v>3.7749999999999999</c:v>
              </c:pt>
              <c:pt idx="152">
                <c:v>3.8</c:v>
              </c:pt>
              <c:pt idx="153">
                <c:v>3.8250000000000002</c:v>
              </c:pt>
              <c:pt idx="154">
                <c:v>3.85</c:v>
              </c:pt>
              <c:pt idx="155">
                <c:v>3.875</c:v>
              </c:pt>
              <c:pt idx="156">
                <c:v>3.9000000000000004</c:v>
              </c:pt>
              <c:pt idx="157">
                <c:v>3.9250000000000003</c:v>
              </c:pt>
              <c:pt idx="158">
                <c:v>3.95</c:v>
              </c:pt>
              <c:pt idx="159">
                <c:v>3.9750000000000001</c:v>
              </c:pt>
              <c:pt idx="160">
                <c:v>4</c:v>
              </c:pt>
              <c:pt idx="161">
                <c:v>4.0250000000000004</c:v>
              </c:pt>
              <c:pt idx="162">
                <c:v>4.0500000000000007</c:v>
              </c:pt>
              <c:pt idx="163">
                <c:v>4.0749999999999993</c:v>
              </c:pt>
              <c:pt idx="164">
                <c:v>4.0999999999999996</c:v>
              </c:pt>
              <c:pt idx="165">
                <c:v>4.125</c:v>
              </c:pt>
              <c:pt idx="166">
                <c:v>4.1499999999999995</c:v>
              </c:pt>
              <c:pt idx="167">
                <c:v>4.1749999999999998</c:v>
              </c:pt>
              <c:pt idx="168">
                <c:v>4.2</c:v>
              </c:pt>
              <c:pt idx="169">
                <c:v>4.2249999999999996</c:v>
              </c:pt>
              <c:pt idx="170">
                <c:v>4.25</c:v>
              </c:pt>
              <c:pt idx="171">
                <c:v>4.2750000000000004</c:v>
              </c:pt>
              <c:pt idx="172">
                <c:v>4.3</c:v>
              </c:pt>
              <c:pt idx="173">
                <c:v>4.3250000000000002</c:v>
              </c:pt>
              <c:pt idx="174">
                <c:v>4.3499999999999996</c:v>
              </c:pt>
              <c:pt idx="175">
                <c:v>4.375</c:v>
              </c:pt>
              <c:pt idx="176">
                <c:v>4.4000000000000004</c:v>
              </c:pt>
              <c:pt idx="177">
                <c:v>4.4249999999999998</c:v>
              </c:pt>
              <c:pt idx="178">
                <c:v>4.45</c:v>
              </c:pt>
              <c:pt idx="179">
                <c:v>4.4749999999999996</c:v>
              </c:pt>
              <c:pt idx="180">
                <c:v>4.5</c:v>
              </c:pt>
              <c:pt idx="181">
                <c:v>4.5250000000000004</c:v>
              </c:pt>
              <c:pt idx="182">
                <c:v>4.55</c:v>
              </c:pt>
              <c:pt idx="183">
                <c:v>4.5750000000000002</c:v>
              </c:pt>
              <c:pt idx="184">
                <c:v>4.6000000000000005</c:v>
              </c:pt>
              <c:pt idx="185">
                <c:v>4.625</c:v>
              </c:pt>
              <c:pt idx="186">
                <c:v>4.6500000000000004</c:v>
              </c:pt>
              <c:pt idx="187">
                <c:v>4.6750000000000007</c:v>
              </c:pt>
              <c:pt idx="188">
                <c:v>4.6999999999999993</c:v>
              </c:pt>
              <c:pt idx="189">
                <c:v>4.7249999999999996</c:v>
              </c:pt>
              <c:pt idx="190">
                <c:v>4.75</c:v>
              </c:pt>
              <c:pt idx="191">
                <c:v>4.7749999999999995</c:v>
              </c:pt>
              <c:pt idx="192">
                <c:v>4.8</c:v>
              </c:pt>
              <c:pt idx="193">
                <c:v>4.8250000000000002</c:v>
              </c:pt>
              <c:pt idx="194">
                <c:v>4.8499999999999996</c:v>
              </c:pt>
              <c:pt idx="195">
                <c:v>4.875</c:v>
              </c:pt>
              <c:pt idx="196">
                <c:v>4.9000000000000004</c:v>
              </c:pt>
              <c:pt idx="197">
                <c:v>4.9249999999999998</c:v>
              </c:pt>
              <c:pt idx="198">
                <c:v>4.95</c:v>
              </c:pt>
              <c:pt idx="199">
                <c:v>4.9749999999999996</c:v>
              </c:pt>
              <c:pt idx="200">
                <c:v>5</c:v>
              </c:pt>
            </c:numLit>
          </c:cat>
          <c:val>
            <c:numRef>
              <c:f>'Calculations - Single'!$BR$5:$BR$105</c:f>
              <c:numCache>
                <c:formatCode>0.0</c:formatCode>
                <c:ptCount val="101"/>
                <c:pt idx="0">
                  <c:v>9.0000000000000007E-7</c:v>
                </c:pt>
                <c:pt idx="1">
                  <c:v>9.0000000000000018</c:v>
                </c:pt>
                <c:pt idx="2">
                  <c:v>18.000000000000004</c:v>
                </c:pt>
                <c:pt idx="3">
                  <c:v>27</c:v>
                </c:pt>
                <c:pt idx="4">
                  <c:v>36.000000000000007</c:v>
                </c:pt>
                <c:pt idx="5">
                  <c:v>45.000000000000007</c:v>
                </c:pt>
                <c:pt idx="6">
                  <c:v>54</c:v>
                </c:pt>
                <c:pt idx="7">
                  <c:v>63.000000000000014</c:v>
                </c:pt>
                <c:pt idx="8">
                  <c:v>72.000000000000014</c:v>
                </c:pt>
                <c:pt idx="9">
                  <c:v>81</c:v>
                </c:pt>
                <c:pt idx="10">
                  <c:v>90.000000000000014</c:v>
                </c:pt>
                <c:pt idx="11">
                  <c:v>99</c:v>
                </c:pt>
                <c:pt idx="12">
                  <c:v>108</c:v>
                </c:pt>
                <c:pt idx="13">
                  <c:v>117</c:v>
                </c:pt>
                <c:pt idx="14">
                  <c:v>126.00000000000003</c:v>
                </c:pt>
                <c:pt idx="15">
                  <c:v>135</c:v>
                </c:pt>
                <c:pt idx="16">
                  <c:v>144.00000000000003</c:v>
                </c:pt>
                <c:pt idx="17">
                  <c:v>153.00000000000003</c:v>
                </c:pt>
                <c:pt idx="18">
                  <c:v>162</c:v>
                </c:pt>
                <c:pt idx="19">
                  <c:v>171</c:v>
                </c:pt>
                <c:pt idx="20">
                  <c:v>180.00000000000003</c:v>
                </c:pt>
                <c:pt idx="21">
                  <c:v>189</c:v>
                </c:pt>
                <c:pt idx="22">
                  <c:v>198</c:v>
                </c:pt>
                <c:pt idx="23">
                  <c:v>207.00000000000003</c:v>
                </c:pt>
                <c:pt idx="24">
                  <c:v>216</c:v>
                </c:pt>
                <c:pt idx="25">
                  <c:v>225</c:v>
                </c:pt>
                <c:pt idx="26">
                  <c:v>234</c:v>
                </c:pt>
                <c:pt idx="27">
                  <c:v>243.00000000000003</c:v>
                </c:pt>
                <c:pt idx="28">
                  <c:v>252.00000000000006</c:v>
                </c:pt>
                <c:pt idx="29">
                  <c:v>261</c:v>
                </c:pt>
                <c:pt idx="30">
                  <c:v>270</c:v>
                </c:pt>
                <c:pt idx="31">
                  <c:v>279</c:v>
                </c:pt>
                <c:pt idx="32">
                  <c:v>288.00000000000006</c:v>
                </c:pt>
                <c:pt idx="33">
                  <c:v>297.00000000000006</c:v>
                </c:pt>
                <c:pt idx="34">
                  <c:v>306.00000000000006</c:v>
                </c:pt>
                <c:pt idx="35">
                  <c:v>315</c:v>
                </c:pt>
                <c:pt idx="36">
                  <c:v>324</c:v>
                </c:pt>
                <c:pt idx="37">
                  <c:v>333</c:v>
                </c:pt>
                <c:pt idx="38">
                  <c:v>342</c:v>
                </c:pt>
                <c:pt idx="39">
                  <c:v>351.00000000000006</c:v>
                </c:pt>
                <c:pt idx="40">
                  <c:v>360.00000000000006</c:v>
                </c:pt>
                <c:pt idx="41">
                  <c:v>369</c:v>
                </c:pt>
                <c:pt idx="42">
                  <c:v>378</c:v>
                </c:pt>
                <c:pt idx="43">
                  <c:v>387</c:v>
                </c:pt>
                <c:pt idx="44">
                  <c:v>396</c:v>
                </c:pt>
                <c:pt idx="45">
                  <c:v>405</c:v>
                </c:pt>
                <c:pt idx="46">
                  <c:v>414.00000000000006</c:v>
                </c:pt>
                <c:pt idx="47">
                  <c:v>423</c:v>
                </c:pt>
                <c:pt idx="48">
                  <c:v>432</c:v>
                </c:pt>
                <c:pt idx="49">
                  <c:v>441</c:v>
                </c:pt>
                <c:pt idx="50">
                  <c:v>450</c:v>
                </c:pt>
                <c:pt idx="51">
                  <c:v>459</c:v>
                </c:pt>
                <c:pt idx="52">
                  <c:v>468</c:v>
                </c:pt>
                <c:pt idx="53">
                  <c:v>477.00000000000006</c:v>
                </c:pt>
                <c:pt idx="54">
                  <c:v>486.00000000000006</c:v>
                </c:pt>
                <c:pt idx="55">
                  <c:v>495.00000000000006</c:v>
                </c:pt>
                <c:pt idx="56">
                  <c:v>504.00000000000011</c:v>
                </c:pt>
                <c:pt idx="57">
                  <c:v>513</c:v>
                </c:pt>
                <c:pt idx="58">
                  <c:v>522</c:v>
                </c:pt>
                <c:pt idx="59">
                  <c:v>531</c:v>
                </c:pt>
                <c:pt idx="60">
                  <c:v>540</c:v>
                </c:pt>
                <c:pt idx="61">
                  <c:v>549</c:v>
                </c:pt>
                <c:pt idx="62">
                  <c:v>558</c:v>
                </c:pt>
                <c:pt idx="63">
                  <c:v>567.00000000000011</c:v>
                </c:pt>
                <c:pt idx="64">
                  <c:v>576.00000000000011</c:v>
                </c:pt>
                <c:pt idx="65">
                  <c:v>585.00000000000011</c:v>
                </c:pt>
                <c:pt idx="66">
                  <c:v>594.00000000000011</c:v>
                </c:pt>
                <c:pt idx="67">
                  <c:v>603.00000000000011</c:v>
                </c:pt>
                <c:pt idx="68">
                  <c:v>612.00000000000011</c:v>
                </c:pt>
                <c:pt idx="69">
                  <c:v>621</c:v>
                </c:pt>
                <c:pt idx="70">
                  <c:v>630</c:v>
                </c:pt>
                <c:pt idx="71">
                  <c:v>639</c:v>
                </c:pt>
                <c:pt idx="72">
                  <c:v>648</c:v>
                </c:pt>
                <c:pt idx="73">
                  <c:v>657</c:v>
                </c:pt>
                <c:pt idx="74">
                  <c:v>666</c:v>
                </c:pt>
                <c:pt idx="75">
                  <c:v>675</c:v>
                </c:pt>
                <c:pt idx="76">
                  <c:v>684</c:v>
                </c:pt>
                <c:pt idx="77">
                  <c:v>693.00000000000011</c:v>
                </c:pt>
                <c:pt idx="78">
                  <c:v>702.00000000000011</c:v>
                </c:pt>
                <c:pt idx="79">
                  <c:v>711.00000000000011</c:v>
                </c:pt>
                <c:pt idx="80">
                  <c:v>720.00000000000011</c:v>
                </c:pt>
                <c:pt idx="81">
                  <c:v>729.00000000000011</c:v>
                </c:pt>
                <c:pt idx="82">
                  <c:v>738</c:v>
                </c:pt>
                <c:pt idx="83">
                  <c:v>747</c:v>
                </c:pt>
                <c:pt idx="84">
                  <c:v>756</c:v>
                </c:pt>
                <c:pt idx="85">
                  <c:v>765</c:v>
                </c:pt>
                <c:pt idx="86">
                  <c:v>774</c:v>
                </c:pt>
                <c:pt idx="87">
                  <c:v>783</c:v>
                </c:pt>
                <c:pt idx="88">
                  <c:v>792</c:v>
                </c:pt>
                <c:pt idx="89">
                  <c:v>801</c:v>
                </c:pt>
                <c:pt idx="90">
                  <c:v>810</c:v>
                </c:pt>
                <c:pt idx="91">
                  <c:v>819.00000000000011</c:v>
                </c:pt>
                <c:pt idx="92">
                  <c:v>828.00000000000011</c:v>
                </c:pt>
                <c:pt idx="93">
                  <c:v>837.00000000000011</c:v>
                </c:pt>
                <c:pt idx="94">
                  <c:v>846</c:v>
                </c:pt>
                <c:pt idx="95">
                  <c:v>855</c:v>
                </c:pt>
                <c:pt idx="96">
                  <c:v>864</c:v>
                </c:pt>
                <c:pt idx="97">
                  <c:v>873</c:v>
                </c:pt>
                <c:pt idx="98">
                  <c:v>882</c:v>
                </c:pt>
                <c:pt idx="99">
                  <c:v>891</c:v>
                </c:pt>
                <c:pt idx="100">
                  <c:v>900</c:v>
                </c:pt>
              </c:numCache>
            </c:numRef>
          </c:val>
          <c:smooth val="0"/>
          <c:extLst>
            <c:ext xmlns:c16="http://schemas.microsoft.com/office/drawing/2014/chart" uri="{C3380CC4-5D6E-409C-BE32-E72D297353CC}">
              <c16:uniqueId val="{00000001-2E7B-44CD-81A3-DB5BB9B01FFA}"/>
            </c:ext>
          </c:extLst>
        </c:ser>
        <c:ser>
          <c:idx val="3"/>
          <c:order val="2"/>
          <c:tx>
            <c:strRef>
              <c:f>'Calculations - Single'!$BI$3</c:f>
              <c:strCache>
                <c:ptCount val="1"/>
                <c:pt idx="0">
                  <c:v>IC Loss</c:v>
                </c:pt>
              </c:strCache>
            </c:strRef>
          </c:tx>
          <c:spPr>
            <a:ln w="38100">
              <a:solidFill>
                <a:srgbClr val="800080"/>
              </a:solidFill>
              <a:prstDash val="dash"/>
            </a:ln>
          </c:spPr>
          <c:marker>
            <c:symbol val="none"/>
          </c:marker>
          <c:cat>
            <c:numLit>
              <c:formatCode>General</c:formatCode>
              <c:ptCount val="201"/>
              <c:pt idx="0">
                <c:v>0</c:v>
              </c:pt>
              <c:pt idx="1">
                <c:v>2.5000000000000001E-2</c:v>
              </c:pt>
              <c:pt idx="2">
                <c:v>0.05</c:v>
              </c:pt>
              <c:pt idx="3">
                <c:v>7.4999999999999997E-2</c:v>
              </c:pt>
              <c:pt idx="4">
                <c:v>0.1</c:v>
              </c:pt>
              <c:pt idx="5">
                <c:v>0.125</c:v>
              </c:pt>
              <c:pt idx="6">
                <c:v>0.15</c:v>
              </c:pt>
              <c:pt idx="7">
                <c:v>0.17500000000000002</c:v>
              </c:pt>
              <c:pt idx="8">
                <c:v>0.2</c:v>
              </c:pt>
              <c:pt idx="9">
                <c:v>0.22499999999999998</c:v>
              </c:pt>
              <c:pt idx="10">
                <c:v>0.25</c:v>
              </c:pt>
              <c:pt idx="11">
                <c:v>0.27500000000000002</c:v>
              </c:pt>
              <c:pt idx="12">
                <c:v>0.3</c:v>
              </c:pt>
              <c:pt idx="13">
                <c:v>0.32500000000000001</c:v>
              </c:pt>
              <c:pt idx="14">
                <c:v>0.35000000000000003</c:v>
              </c:pt>
              <c:pt idx="15">
                <c:v>0.375</c:v>
              </c:pt>
              <c:pt idx="16">
                <c:v>0.4</c:v>
              </c:pt>
              <c:pt idx="17">
                <c:v>0.42500000000000004</c:v>
              </c:pt>
              <c:pt idx="18">
                <c:v>0.44999999999999996</c:v>
              </c:pt>
              <c:pt idx="19">
                <c:v>0.47499999999999998</c:v>
              </c:pt>
              <c:pt idx="20">
                <c:v>0.5</c:v>
              </c:pt>
              <c:pt idx="21">
                <c:v>0.52500000000000002</c:v>
              </c:pt>
              <c:pt idx="22">
                <c:v>0.55000000000000004</c:v>
              </c:pt>
              <c:pt idx="23">
                <c:v>0.57500000000000007</c:v>
              </c:pt>
              <c:pt idx="24">
                <c:v>0.6</c:v>
              </c:pt>
              <c:pt idx="25">
                <c:v>0.625</c:v>
              </c:pt>
              <c:pt idx="26">
                <c:v>0.65</c:v>
              </c:pt>
              <c:pt idx="27">
                <c:v>0.67500000000000004</c:v>
              </c:pt>
              <c:pt idx="28">
                <c:v>0.70000000000000007</c:v>
              </c:pt>
              <c:pt idx="29">
                <c:v>0.72499999999999998</c:v>
              </c:pt>
              <c:pt idx="30">
                <c:v>0.75</c:v>
              </c:pt>
              <c:pt idx="31">
                <c:v>0.77500000000000002</c:v>
              </c:pt>
              <c:pt idx="32">
                <c:v>0.8</c:v>
              </c:pt>
              <c:pt idx="33">
                <c:v>0.82500000000000007</c:v>
              </c:pt>
              <c:pt idx="34">
                <c:v>0.85000000000000009</c:v>
              </c:pt>
              <c:pt idx="35">
                <c:v>0.875</c:v>
              </c:pt>
              <c:pt idx="36">
                <c:v>0.89999999999999991</c:v>
              </c:pt>
              <c:pt idx="37">
                <c:v>0.92500000000000004</c:v>
              </c:pt>
              <c:pt idx="38">
                <c:v>0.95</c:v>
              </c:pt>
              <c:pt idx="39">
                <c:v>0.97500000000000009</c:v>
              </c:pt>
              <c:pt idx="40">
                <c:v>1</c:v>
              </c:pt>
              <c:pt idx="41">
                <c:v>1.0249999999999999</c:v>
              </c:pt>
              <c:pt idx="42">
                <c:v>1.05</c:v>
              </c:pt>
              <c:pt idx="43">
                <c:v>1.075</c:v>
              </c:pt>
              <c:pt idx="44">
                <c:v>1.1000000000000001</c:v>
              </c:pt>
              <c:pt idx="45">
                <c:v>1.125</c:v>
              </c:pt>
              <c:pt idx="46">
                <c:v>1.1500000000000001</c:v>
              </c:pt>
              <c:pt idx="47">
                <c:v>1.1749999999999998</c:v>
              </c:pt>
              <c:pt idx="48">
                <c:v>1.2</c:v>
              </c:pt>
              <c:pt idx="49">
                <c:v>1.2250000000000001</c:v>
              </c:pt>
              <c:pt idx="50">
                <c:v>1.25</c:v>
              </c:pt>
              <c:pt idx="51">
                <c:v>1.2749999999999999</c:v>
              </c:pt>
              <c:pt idx="52">
                <c:v>1.3</c:v>
              </c:pt>
              <c:pt idx="53">
                <c:v>1.3250000000000002</c:v>
              </c:pt>
              <c:pt idx="54">
                <c:v>1.35</c:v>
              </c:pt>
              <c:pt idx="55">
                <c:v>1.375</c:v>
              </c:pt>
              <c:pt idx="56">
                <c:v>1.4000000000000001</c:v>
              </c:pt>
              <c:pt idx="57">
                <c:v>1.4249999999999998</c:v>
              </c:pt>
              <c:pt idx="58">
                <c:v>1.45</c:v>
              </c:pt>
              <c:pt idx="59">
                <c:v>1.4749999999999999</c:v>
              </c:pt>
              <c:pt idx="60">
                <c:v>1.5</c:v>
              </c:pt>
              <c:pt idx="61">
                <c:v>1.5249999999999999</c:v>
              </c:pt>
              <c:pt idx="62">
                <c:v>1.55</c:v>
              </c:pt>
              <c:pt idx="63">
                <c:v>1.575</c:v>
              </c:pt>
              <c:pt idx="64">
                <c:v>1.6</c:v>
              </c:pt>
              <c:pt idx="65">
                <c:v>1.625</c:v>
              </c:pt>
              <c:pt idx="66">
                <c:v>1.6500000000000001</c:v>
              </c:pt>
              <c:pt idx="67">
                <c:v>1.675</c:v>
              </c:pt>
              <c:pt idx="68">
                <c:v>1.7000000000000002</c:v>
              </c:pt>
              <c:pt idx="69">
                <c:v>1.7249999999999999</c:v>
              </c:pt>
              <c:pt idx="70">
                <c:v>1.75</c:v>
              </c:pt>
              <c:pt idx="71">
                <c:v>1.7749999999999999</c:v>
              </c:pt>
              <c:pt idx="72">
                <c:v>1.7999999999999998</c:v>
              </c:pt>
              <c:pt idx="73">
                <c:v>1.825</c:v>
              </c:pt>
              <c:pt idx="74">
                <c:v>1.85</c:v>
              </c:pt>
              <c:pt idx="75">
                <c:v>1.875</c:v>
              </c:pt>
              <c:pt idx="76">
                <c:v>1.9</c:v>
              </c:pt>
              <c:pt idx="77">
                <c:v>1.925</c:v>
              </c:pt>
              <c:pt idx="78">
                <c:v>1.9500000000000002</c:v>
              </c:pt>
              <c:pt idx="79">
                <c:v>1.9750000000000001</c:v>
              </c:pt>
              <c:pt idx="80">
                <c:v>2</c:v>
              </c:pt>
              <c:pt idx="81">
                <c:v>2.0250000000000004</c:v>
              </c:pt>
              <c:pt idx="82">
                <c:v>2.0499999999999998</c:v>
              </c:pt>
              <c:pt idx="83">
                <c:v>2.0749999999999997</c:v>
              </c:pt>
              <c:pt idx="84">
                <c:v>2.1</c:v>
              </c:pt>
              <c:pt idx="85">
                <c:v>2.125</c:v>
              </c:pt>
              <c:pt idx="86">
                <c:v>2.15</c:v>
              </c:pt>
              <c:pt idx="87">
                <c:v>2.1749999999999998</c:v>
              </c:pt>
              <c:pt idx="88">
                <c:v>2.2000000000000002</c:v>
              </c:pt>
              <c:pt idx="89">
                <c:v>2.2250000000000001</c:v>
              </c:pt>
              <c:pt idx="90">
                <c:v>2.25</c:v>
              </c:pt>
              <c:pt idx="91">
                <c:v>2.2749999999999999</c:v>
              </c:pt>
              <c:pt idx="92">
                <c:v>2.3000000000000003</c:v>
              </c:pt>
              <c:pt idx="93">
                <c:v>2.3250000000000002</c:v>
              </c:pt>
              <c:pt idx="94">
                <c:v>2.3499999999999996</c:v>
              </c:pt>
              <c:pt idx="95">
                <c:v>2.375</c:v>
              </c:pt>
              <c:pt idx="96">
                <c:v>2.4</c:v>
              </c:pt>
              <c:pt idx="97">
                <c:v>2.4249999999999998</c:v>
              </c:pt>
              <c:pt idx="98">
                <c:v>2.4500000000000002</c:v>
              </c:pt>
              <c:pt idx="99">
                <c:v>2.4750000000000001</c:v>
              </c:pt>
              <c:pt idx="100">
                <c:v>2.5</c:v>
              </c:pt>
              <c:pt idx="101">
                <c:v>2.5249999999999999</c:v>
              </c:pt>
              <c:pt idx="102">
                <c:v>2.5499999999999998</c:v>
              </c:pt>
              <c:pt idx="103">
                <c:v>2.5750000000000002</c:v>
              </c:pt>
              <c:pt idx="104">
                <c:v>2.6</c:v>
              </c:pt>
              <c:pt idx="105">
                <c:v>2.625</c:v>
              </c:pt>
              <c:pt idx="106">
                <c:v>2.6500000000000004</c:v>
              </c:pt>
              <c:pt idx="107">
                <c:v>2.6750000000000003</c:v>
              </c:pt>
              <c:pt idx="108">
                <c:v>2.7</c:v>
              </c:pt>
              <c:pt idx="109">
                <c:v>2.7250000000000001</c:v>
              </c:pt>
              <c:pt idx="110">
                <c:v>2.75</c:v>
              </c:pt>
              <c:pt idx="111">
                <c:v>2.7750000000000004</c:v>
              </c:pt>
              <c:pt idx="112">
                <c:v>2.8000000000000003</c:v>
              </c:pt>
              <c:pt idx="113">
                <c:v>2.8249999999999997</c:v>
              </c:pt>
              <c:pt idx="114">
                <c:v>2.8499999999999996</c:v>
              </c:pt>
              <c:pt idx="115">
                <c:v>2.875</c:v>
              </c:pt>
              <c:pt idx="116">
                <c:v>2.9</c:v>
              </c:pt>
              <c:pt idx="117">
                <c:v>2.9249999999999998</c:v>
              </c:pt>
              <c:pt idx="118">
                <c:v>2.9499999999999997</c:v>
              </c:pt>
              <c:pt idx="119">
                <c:v>2.9749999999999996</c:v>
              </c:pt>
              <c:pt idx="120">
                <c:v>3</c:v>
              </c:pt>
              <c:pt idx="121">
                <c:v>3.0249999999999999</c:v>
              </c:pt>
              <c:pt idx="122">
                <c:v>3.05</c:v>
              </c:pt>
              <c:pt idx="123">
                <c:v>3.0750000000000002</c:v>
              </c:pt>
              <c:pt idx="124">
                <c:v>3.1</c:v>
              </c:pt>
              <c:pt idx="125">
                <c:v>3.125</c:v>
              </c:pt>
              <c:pt idx="126">
                <c:v>3.15</c:v>
              </c:pt>
              <c:pt idx="127">
                <c:v>3.1749999999999998</c:v>
              </c:pt>
              <c:pt idx="128">
                <c:v>3.2</c:v>
              </c:pt>
              <c:pt idx="129">
                <c:v>3.2250000000000001</c:v>
              </c:pt>
              <c:pt idx="130">
                <c:v>3.25</c:v>
              </c:pt>
              <c:pt idx="131">
                <c:v>3.2750000000000004</c:v>
              </c:pt>
              <c:pt idx="132">
                <c:v>3.3000000000000003</c:v>
              </c:pt>
              <c:pt idx="133">
                <c:v>3.3250000000000002</c:v>
              </c:pt>
              <c:pt idx="134">
                <c:v>3.35</c:v>
              </c:pt>
              <c:pt idx="135">
                <c:v>3.375</c:v>
              </c:pt>
              <c:pt idx="136">
                <c:v>3.4000000000000004</c:v>
              </c:pt>
              <c:pt idx="137">
                <c:v>3.4250000000000003</c:v>
              </c:pt>
              <c:pt idx="138">
                <c:v>3.4499999999999997</c:v>
              </c:pt>
              <c:pt idx="139">
                <c:v>3.4749999999999996</c:v>
              </c:pt>
              <c:pt idx="140">
                <c:v>3.5</c:v>
              </c:pt>
              <c:pt idx="141">
                <c:v>3.5249999999999999</c:v>
              </c:pt>
              <c:pt idx="142">
                <c:v>3.55</c:v>
              </c:pt>
              <c:pt idx="143">
                <c:v>3.5749999999999997</c:v>
              </c:pt>
              <c:pt idx="144">
                <c:v>3.5999999999999996</c:v>
              </c:pt>
              <c:pt idx="145">
                <c:v>3.625</c:v>
              </c:pt>
              <c:pt idx="146">
                <c:v>3.65</c:v>
              </c:pt>
              <c:pt idx="147">
                <c:v>3.6749999999999998</c:v>
              </c:pt>
              <c:pt idx="148">
                <c:v>3.7</c:v>
              </c:pt>
              <c:pt idx="149">
                <c:v>3.7250000000000001</c:v>
              </c:pt>
              <c:pt idx="150">
                <c:v>3.75</c:v>
              </c:pt>
              <c:pt idx="151">
                <c:v>3.7749999999999999</c:v>
              </c:pt>
              <c:pt idx="152">
                <c:v>3.8</c:v>
              </c:pt>
              <c:pt idx="153">
                <c:v>3.8250000000000002</c:v>
              </c:pt>
              <c:pt idx="154">
                <c:v>3.85</c:v>
              </c:pt>
              <c:pt idx="155">
                <c:v>3.875</c:v>
              </c:pt>
              <c:pt idx="156">
                <c:v>3.9000000000000004</c:v>
              </c:pt>
              <c:pt idx="157">
                <c:v>3.9250000000000003</c:v>
              </c:pt>
              <c:pt idx="158">
                <c:v>3.95</c:v>
              </c:pt>
              <c:pt idx="159">
                <c:v>3.9750000000000001</c:v>
              </c:pt>
              <c:pt idx="160">
                <c:v>4</c:v>
              </c:pt>
              <c:pt idx="161">
                <c:v>4.0250000000000004</c:v>
              </c:pt>
              <c:pt idx="162">
                <c:v>4.0500000000000007</c:v>
              </c:pt>
              <c:pt idx="163">
                <c:v>4.0749999999999993</c:v>
              </c:pt>
              <c:pt idx="164">
                <c:v>4.0999999999999996</c:v>
              </c:pt>
              <c:pt idx="165">
                <c:v>4.125</c:v>
              </c:pt>
              <c:pt idx="166">
                <c:v>4.1499999999999995</c:v>
              </c:pt>
              <c:pt idx="167">
                <c:v>4.1749999999999998</c:v>
              </c:pt>
              <c:pt idx="168">
                <c:v>4.2</c:v>
              </c:pt>
              <c:pt idx="169">
                <c:v>4.2249999999999996</c:v>
              </c:pt>
              <c:pt idx="170">
                <c:v>4.25</c:v>
              </c:pt>
              <c:pt idx="171">
                <c:v>4.2750000000000004</c:v>
              </c:pt>
              <c:pt idx="172">
                <c:v>4.3</c:v>
              </c:pt>
              <c:pt idx="173">
                <c:v>4.3250000000000002</c:v>
              </c:pt>
              <c:pt idx="174">
                <c:v>4.3499999999999996</c:v>
              </c:pt>
              <c:pt idx="175">
                <c:v>4.375</c:v>
              </c:pt>
              <c:pt idx="176">
                <c:v>4.4000000000000004</c:v>
              </c:pt>
              <c:pt idx="177">
                <c:v>4.4249999999999998</c:v>
              </c:pt>
              <c:pt idx="178">
                <c:v>4.45</c:v>
              </c:pt>
              <c:pt idx="179">
                <c:v>4.4749999999999996</c:v>
              </c:pt>
              <c:pt idx="180">
                <c:v>4.5</c:v>
              </c:pt>
              <c:pt idx="181">
                <c:v>4.5250000000000004</c:v>
              </c:pt>
              <c:pt idx="182">
                <c:v>4.55</c:v>
              </c:pt>
              <c:pt idx="183">
                <c:v>4.5750000000000002</c:v>
              </c:pt>
              <c:pt idx="184">
                <c:v>4.6000000000000005</c:v>
              </c:pt>
              <c:pt idx="185">
                <c:v>4.625</c:v>
              </c:pt>
              <c:pt idx="186">
                <c:v>4.6500000000000004</c:v>
              </c:pt>
              <c:pt idx="187">
                <c:v>4.6750000000000007</c:v>
              </c:pt>
              <c:pt idx="188">
                <c:v>4.6999999999999993</c:v>
              </c:pt>
              <c:pt idx="189">
                <c:v>4.7249999999999996</c:v>
              </c:pt>
              <c:pt idx="190">
                <c:v>4.75</c:v>
              </c:pt>
              <c:pt idx="191">
                <c:v>4.7749999999999995</c:v>
              </c:pt>
              <c:pt idx="192">
                <c:v>4.8</c:v>
              </c:pt>
              <c:pt idx="193">
                <c:v>4.8250000000000002</c:v>
              </c:pt>
              <c:pt idx="194">
                <c:v>4.8499999999999996</c:v>
              </c:pt>
              <c:pt idx="195">
                <c:v>4.875</c:v>
              </c:pt>
              <c:pt idx="196">
                <c:v>4.9000000000000004</c:v>
              </c:pt>
              <c:pt idx="197">
                <c:v>4.9249999999999998</c:v>
              </c:pt>
              <c:pt idx="198">
                <c:v>4.95</c:v>
              </c:pt>
              <c:pt idx="199">
                <c:v>4.9749999999999996</c:v>
              </c:pt>
              <c:pt idx="200">
                <c:v>5</c:v>
              </c:pt>
            </c:numLit>
          </c:cat>
          <c:val>
            <c:numRef>
              <c:f>'Calculations - Single'!$BN$5:$BN$105</c:f>
              <c:numCache>
                <c:formatCode>0.0</c:formatCode>
                <c:ptCount val="101"/>
                <c:pt idx="0">
                  <c:v>11.049804979333333</c:v>
                </c:pt>
                <c:pt idx="1">
                  <c:v>42.07092121023485</c:v>
                </c:pt>
                <c:pt idx="2">
                  <c:v>79.791842420469692</c:v>
                </c:pt>
                <c:pt idx="3">
                  <c:v>117.51276363070454</c:v>
                </c:pt>
                <c:pt idx="4">
                  <c:v>155.23368484093939</c:v>
                </c:pt>
                <c:pt idx="5">
                  <c:v>193.45912561340756</c:v>
                </c:pt>
                <c:pt idx="6">
                  <c:v>206.7106519764136</c:v>
                </c:pt>
                <c:pt idx="7">
                  <c:v>212.79912554864575</c:v>
                </c:pt>
                <c:pt idx="8">
                  <c:v>218.63203123862675</c:v>
                </c:pt>
                <c:pt idx="9">
                  <c:v>224.26619430851423</c:v>
                </c:pt>
                <c:pt idx="10">
                  <c:v>229.74243662079195</c:v>
                </c:pt>
                <c:pt idx="11">
                  <c:v>235.09115936686842</c:v>
                </c:pt>
                <c:pt idx="12">
                  <c:v>240.33565853726287</c:v>
                </c:pt>
                <c:pt idx="13">
                  <c:v>245.49420386262005</c:v>
                </c:pt>
                <c:pt idx="14">
                  <c:v>250.58140070075814</c:v>
                </c:pt>
                <c:pt idx="15">
                  <c:v>255.6091149235742</c:v>
                </c:pt>
                <c:pt idx="16">
                  <c:v>260.58712029525213</c:v>
                </c:pt>
                <c:pt idx="17">
                  <c:v>265.52356341057111</c:v>
                </c:pt>
                <c:pt idx="18">
                  <c:v>270.42530508931685</c:v>
                </c:pt>
                <c:pt idx="19">
                  <c:v>275.29817594000173</c:v>
                </c:pt>
                <c:pt idx="20">
                  <c:v>280.1471709447024</c:v>
                </c:pt>
                <c:pt idx="21">
                  <c:v>284.97659985835304</c:v>
                </c:pt>
                <c:pt idx="22">
                  <c:v>289.79020502524401</c:v>
                </c:pt>
                <c:pt idx="23">
                  <c:v>294.59125478931696</c:v>
                </c:pt>
                <c:pt idx="24">
                  <c:v>299.3826183634261</c:v>
                </c:pt>
                <c:pt idx="25">
                  <c:v>304.16682643247566</c:v>
                </c:pt>
                <c:pt idx="26">
                  <c:v>308.94612065170821</c:v>
                </c:pt>
                <c:pt idx="27">
                  <c:v>313.72249440891972</c:v>
                </c:pt>
                <c:pt idx="28">
                  <c:v>318.49772664707604</c:v>
                </c:pt>
                <c:pt idx="29">
                  <c:v>323.27341012494429</c:v>
                </c:pt>
                <c:pt idx="30">
                  <c:v>328.05097518297703</c:v>
                </c:pt>
                <c:pt idx="31">
                  <c:v>332.83170984907343</c:v>
                </c:pt>
                <c:pt idx="32">
                  <c:v>337.61677694265893</c:v>
                </c:pt>
                <c:pt idx="33">
                  <c:v>342.4072287007686</c:v>
                </c:pt>
                <c:pt idx="34">
                  <c:v>347.20401934581309</c:v>
                </c:pt>
                <c:pt idx="35">
                  <c:v>352.00801593374337</c:v>
                </c:pt>
                <c:pt idx="36">
                  <c:v>356.82000775780631</c:v>
                </c:pt>
                <c:pt idx="37">
                  <c:v>361.64071453286442</c:v>
                </c:pt>
                <c:pt idx="38">
                  <c:v>366.47079354528574</c:v>
                </c:pt>
                <c:pt idx="39">
                  <c:v>371.31084592137125</c:v>
                </c:pt>
                <c:pt idx="40">
                  <c:v>376.1614221414697</c:v>
                </c:pt>
                <c:pt idx="41">
                  <c:v>381.02302690598151</c:v>
                </c:pt>
                <c:pt idx="42">
                  <c:v>385.89612344237207</c:v>
                </c:pt>
                <c:pt idx="43">
                  <c:v>390.78113732831525</c:v>
                </c:pt>
                <c:pt idx="44">
                  <c:v>395.67845989454759</c:v>
                </c:pt>
                <c:pt idx="45">
                  <c:v>400.58845126146599</c:v>
                </c:pt>
                <c:pt idx="46">
                  <c:v>405.51144305555891</c:v>
                </c:pt>
                <c:pt idx="47">
                  <c:v>410.44774084512932</c:v>
                </c:pt>
                <c:pt idx="48">
                  <c:v>415.39762632920701</c:v>
                </c:pt>
                <c:pt idx="49">
                  <c:v>420.36135930886525</c:v>
                </c:pt>
                <c:pt idx="50">
                  <c:v>425.33917946620375</c:v>
                </c:pt>
                <c:pt idx="51">
                  <c:v>430.33130797290301</c:v>
                </c:pt>
                <c:pt idx="52">
                  <c:v>435.33794894740237</c:v>
                </c:pt>
                <c:pt idx="53">
                  <c:v>440.35929077731902</c:v>
                </c:pt>
                <c:pt idx="54">
                  <c:v>445.3955073216365</c:v>
                </c:pt>
                <c:pt idx="55">
                  <c:v>450.44675900540307</c:v>
                </c:pt>
                <c:pt idx="56">
                  <c:v>455.51319381813011</c:v>
                </c:pt>
                <c:pt idx="57">
                  <c:v>460.59494822575772</c:v>
                </c:pt>
                <c:pt idx="58">
                  <c:v>465.69214800488851</c:v>
                </c:pt>
                <c:pt idx="59">
                  <c:v>470.80490900699698</c:v>
                </c:pt>
                <c:pt idx="60">
                  <c:v>475.93333785944219</c:v>
                </c:pt>
                <c:pt idx="61">
                  <c:v>481.07753260935743</c:v>
                </c:pt>
                <c:pt idx="62">
                  <c:v>486.23758331581263</c:v>
                </c:pt>
                <c:pt idx="63">
                  <c:v>491.41357259507561</c:v>
                </c:pt>
                <c:pt idx="64">
                  <c:v>496.60557612327409</c:v>
                </c:pt>
                <c:pt idx="65">
                  <c:v>501.8136631003124</c:v>
                </c:pt>
                <c:pt idx="66">
                  <c:v>507.03789667850231</c:v>
                </c:pt>
                <c:pt idx="67">
                  <c:v>512.2783343590072</c:v>
                </c:pt>
                <c:pt idx="68">
                  <c:v>517.53502835889526</c:v>
                </c:pt>
                <c:pt idx="69">
                  <c:v>522.8080259513182</c:v>
                </c:pt>
                <c:pt idx="70">
                  <c:v>528.09736978108026</c:v>
                </c:pt>
                <c:pt idx="71">
                  <c:v>533.40309815765488</c:v>
                </c:pt>
                <c:pt idx="72">
                  <c:v>538.72524532750197</c:v>
                </c:pt>
                <c:pt idx="73">
                  <c:v>544.06384172736796</c:v>
                </c:pt>
                <c:pt idx="74">
                  <c:v>549.41891422009678</c:v>
                </c:pt>
                <c:pt idx="75">
                  <c:v>554.79048631433466</c:v>
                </c:pt>
                <c:pt idx="76">
                  <c:v>560.17857836939561</c:v>
                </c:pt>
                <c:pt idx="77">
                  <c:v>565.58320778643042</c:v>
                </c:pt>
                <c:pt idx="78">
                  <c:v>571.00438918695318</c:v>
                </c:pt>
                <c:pt idx="79">
                  <c:v>576.44213457967487</c:v>
                </c:pt>
                <c:pt idx="80">
                  <c:v>581.89645351652439</c:v>
                </c:pt>
                <c:pt idx="81">
                  <c:v>587.367353238654</c:v>
                </c:pt>
                <c:pt idx="82">
                  <c:v>592.85483881315986</c:v>
                </c:pt>
                <c:pt idx="83">
                  <c:v>598.35891326119486</c:v>
                </c:pt>
                <c:pt idx="84">
                  <c:v>603.87957767808314</c:v>
                </c:pt>
                <c:pt idx="85">
                  <c:v>609.41683134600919</c:v>
                </c:pt>
                <c:pt idx="86">
                  <c:v>614.97067183979925</c:v>
                </c:pt>
                <c:pt idx="87">
                  <c:v>620.54109512627258</c:v>
                </c:pt>
                <c:pt idx="88">
                  <c:v>626.12809565760926</c:v>
                </c:pt>
                <c:pt idx="89">
                  <c:v>631.73166645913773</c:v>
                </c:pt>
                <c:pt idx="90">
                  <c:v>637.35179921191877</c:v>
                </c:pt>
                <c:pt idx="91">
                  <c:v>642.98848433047442</c:v>
                </c:pt>
                <c:pt idx="92">
                  <c:v>648.64171103598301</c:v>
                </c:pt>
                <c:pt idx="93">
                  <c:v>654.31146742523322</c:v>
                </c:pt>
                <c:pt idx="94">
                  <c:v>659.99774053561941</c:v>
                </c:pt>
                <c:pt idx="95">
                  <c:v>665.70051640642669</c:v>
                </c:pt>
                <c:pt idx="96">
                  <c:v>671.41978013664357</c:v>
                </c:pt>
                <c:pt idx="97">
                  <c:v>677.15551593952489</c:v>
                </c:pt>
                <c:pt idx="98">
                  <c:v>682.9077071941042</c:v>
                </c:pt>
                <c:pt idx="99">
                  <c:v>688.67633649384811</c:v>
                </c:pt>
                <c:pt idx="100">
                  <c:v>694.46138569262632</c:v>
                </c:pt>
              </c:numCache>
            </c:numRef>
          </c:val>
          <c:smooth val="0"/>
          <c:extLst>
            <c:ext xmlns:c16="http://schemas.microsoft.com/office/drawing/2014/chart" uri="{C3380CC4-5D6E-409C-BE32-E72D297353CC}">
              <c16:uniqueId val="{00000002-2E7B-44CD-81A3-DB5BB9B01FFA}"/>
            </c:ext>
          </c:extLst>
        </c:ser>
        <c:ser>
          <c:idx val="1"/>
          <c:order val="3"/>
          <c:tx>
            <c:strRef>
              <c:f>'Calculations - Single'!$BS$3</c:f>
              <c:strCache>
                <c:ptCount val="1"/>
                <c:pt idx="0">
                  <c:v>Transformer Loss</c:v>
                </c:pt>
              </c:strCache>
            </c:strRef>
          </c:tx>
          <c:spPr>
            <a:ln w="38100">
              <a:solidFill>
                <a:srgbClr val="002060"/>
              </a:solidFill>
              <a:prstDash val="sysDot"/>
            </a:ln>
          </c:spPr>
          <c:marker>
            <c:symbol val="none"/>
          </c:marker>
          <c:cat>
            <c:numLit>
              <c:formatCode>General</c:formatCode>
              <c:ptCount val="201"/>
              <c:pt idx="0">
                <c:v>0</c:v>
              </c:pt>
              <c:pt idx="1">
                <c:v>2.5000000000000001E-2</c:v>
              </c:pt>
              <c:pt idx="2">
                <c:v>0.05</c:v>
              </c:pt>
              <c:pt idx="3">
                <c:v>7.4999999999999997E-2</c:v>
              </c:pt>
              <c:pt idx="4">
                <c:v>0.1</c:v>
              </c:pt>
              <c:pt idx="5">
                <c:v>0.125</c:v>
              </c:pt>
              <c:pt idx="6">
                <c:v>0.15</c:v>
              </c:pt>
              <c:pt idx="7">
                <c:v>0.17500000000000002</c:v>
              </c:pt>
              <c:pt idx="8">
                <c:v>0.2</c:v>
              </c:pt>
              <c:pt idx="9">
                <c:v>0.22499999999999998</c:v>
              </c:pt>
              <c:pt idx="10">
                <c:v>0.25</c:v>
              </c:pt>
              <c:pt idx="11">
                <c:v>0.27500000000000002</c:v>
              </c:pt>
              <c:pt idx="12">
                <c:v>0.3</c:v>
              </c:pt>
              <c:pt idx="13">
                <c:v>0.32500000000000001</c:v>
              </c:pt>
              <c:pt idx="14">
                <c:v>0.35000000000000003</c:v>
              </c:pt>
              <c:pt idx="15">
                <c:v>0.375</c:v>
              </c:pt>
              <c:pt idx="16">
                <c:v>0.4</c:v>
              </c:pt>
              <c:pt idx="17">
                <c:v>0.42500000000000004</c:v>
              </c:pt>
              <c:pt idx="18">
                <c:v>0.44999999999999996</c:v>
              </c:pt>
              <c:pt idx="19">
                <c:v>0.47499999999999998</c:v>
              </c:pt>
              <c:pt idx="20">
                <c:v>0.5</c:v>
              </c:pt>
              <c:pt idx="21">
                <c:v>0.52500000000000002</c:v>
              </c:pt>
              <c:pt idx="22">
                <c:v>0.55000000000000004</c:v>
              </c:pt>
              <c:pt idx="23">
                <c:v>0.57500000000000007</c:v>
              </c:pt>
              <c:pt idx="24">
                <c:v>0.6</c:v>
              </c:pt>
              <c:pt idx="25">
                <c:v>0.625</c:v>
              </c:pt>
              <c:pt idx="26">
                <c:v>0.65</c:v>
              </c:pt>
              <c:pt idx="27">
                <c:v>0.67500000000000004</c:v>
              </c:pt>
              <c:pt idx="28">
                <c:v>0.70000000000000007</c:v>
              </c:pt>
              <c:pt idx="29">
                <c:v>0.72499999999999998</c:v>
              </c:pt>
              <c:pt idx="30">
                <c:v>0.75</c:v>
              </c:pt>
              <c:pt idx="31">
                <c:v>0.77500000000000002</c:v>
              </c:pt>
              <c:pt idx="32">
                <c:v>0.8</c:v>
              </c:pt>
              <c:pt idx="33">
                <c:v>0.82500000000000007</c:v>
              </c:pt>
              <c:pt idx="34">
                <c:v>0.85000000000000009</c:v>
              </c:pt>
              <c:pt idx="35">
                <c:v>0.875</c:v>
              </c:pt>
              <c:pt idx="36">
                <c:v>0.89999999999999991</c:v>
              </c:pt>
              <c:pt idx="37">
                <c:v>0.92500000000000004</c:v>
              </c:pt>
              <c:pt idx="38">
                <c:v>0.95</c:v>
              </c:pt>
              <c:pt idx="39">
                <c:v>0.97500000000000009</c:v>
              </c:pt>
              <c:pt idx="40">
                <c:v>1</c:v>
              </c:pt>
              <c:pt idx="41">
                <c:v>1.0249999999999999</c:v>
              </c:pt>
              <c:pt idx="42">
                <c:v>1.05</c:v>
              </c:pt>
              <c:pt idx="43">
                <c:v>1.075</c:v>
              </c:pt>
              <c:pt idx="44">
                <c:v>1.1000000000000001</c:v>
              </c:pt>
              <c:pt idx="45">
                <c:v>1.125</c:v>
              </c:pt>
              <c:pt idx="46">
                <c:v>1.1500000000000001</c:v>
              </c:pt>
              <c:pt idx="47">
                <c:v>1.1749999999999998</c:v>
              </c:pt>
              <c:pt idx="48">
                <c:v>1.2</c:v>
              </c:pt>
              <c:pt idx="49">
                <c:v>1.2250000000000001</c:v>
              </c:pt>
              <c:pt idx="50">
                <c:v>1.25</c:v>
              </c:pt>
              <c:pt idx="51">
                <c:v>1.2749999999999999</c:v>
              </c:pt>
              <c:pt idx="52">
                <c:v>1.3</c:v>
              </c:pt>
              <c:pt idx="53">
                <c:v>1.3250000000000002</c:v>
              </c:pt>
              <c:pt idx="54">
                <c:v>1.35</c:v>
              </c:pt>
              <c:pt idx="55">
                <c:v>1.375</c:v>
              </c:pt>
              <c:pt idx="56">
                <c:v>1.4000000000000001</c:v>
              </c:pt>
              <c:pt idx="57">
                <c:v>1.4249999999999998</c:v>
              </c:pt>
              <c:pt idx="58">
                <c:v>1.45</c:v>
              </c:pt>
              <c:pt idx="59">
                <c:v>1.4749999999999999</c:v>
              </c:pt>
              <c:pt idx="60">
                <c:v>1.5</c:v>
              </c:pt>
              <c:pt idx="61">
                <c:v>1.5249999999999999</c:v>
              </c:pt>
              <c:pt idx="62">
                <c:v>1.55</c:v>
              </c:pt>
              <c:pt idx="63">
                <c:v>1.575</c:v>
              </c:pt>
              <c:pt idx="64">
                <c:v>1.6</c:v>
              </c:pt>
              <c:pt idx="65">
                <c:v>1.625</c:v>
              </c:pt>
              <c:pt idx="66">
                <c:v>1.6500000000000001</c:v>
              </c:pt>
              <c:pt idx="67">
                <c:v>1.675</c:v>
              </c:pt>
              <c:pt idx="68">
                <c:v>1.7000000000000002</c:v>
              </c:pt>
              <c:pt idx="69">
                <c:v>1.7249999999999999</c:v>
              </c:pt>
              <c:pt idx="70">
                <c:v>1.75</c:v>
              </c:pt>
              <c:pt idx="71">
                <c:v>1.7749999999999999</c:v>
              </c:pt>
              <c:pt idx="72">
                <c:v>1.7999999999999998</c:v>
              </c:pt>
              <c:pt idx="73">
                <c:v>1.825</c:v>
              </c:pt>
              <c:pt idx="74">
                <c:v>1.85</c:v>
              </c:pt>
              <c:pt idx="75">
                <c:v>1.875</c:v>
              </c:pt>
              <c:pt idx="76">
                <c:v>1.9</c:v>
              </c:pt>
              <c:pt idx="77">
                <c:v>1.925</c:v>
              </c:pt>
              <c:pt idx="78">
                <c:v>1.9500000000000002</c:v>
              </c:pt>
              <c:pt idx="79">
                <c:v>1.9750000000000001</c:v>
              </c:pt>
              <c:pt idx="80">
                <c:v>2</c:v>
              </c:pt>
              <c:pt idx="81">
                <c:v>2.0250000000000004</c:v>
              </c:pt>
              <c:pt idx="82">
                <c:v>2.0499999999999998</c:v>
              </c:pt>
              <c:pt idx="83">
                <c:v>2.0749999999999997</c:v>
              </c:pt>
              <c:pt idx="84">
                <c:v>2.1</c:v>
              </c:pt>
              <c:pt idx="85">
                <c:v>2.125</c:v>
              </c:pt>
              <c:pt idx="86">
                <c:v>2.15</c:v>
              </c:pt>
              <c:pt idx="87">
                <c:v>2.1749999999999998</c:v>
              </c:pt>
              <c:pt idx="88">
                <c:v>2.2000000000000002</c:v>
              </c:pt>
              <c:pt idx="89">
                <c:v>2.2250000000000001</c:v>
              </c:pt>
              <c:pt idx="90">
                <c:v>2.25</c:v>
              </c:pt>
              <c:pt idx="91">
                <c:v>2.2749999999999999</c:v>
              </c:pt>
              <c:pt idx="92">
                <c:v>2.3000000000000003</c:v>
              </c:pt>
              <c:pt idx="93">
                <c:v>2.3250000000000002</c:v>
              </c:pt>
              <c:pt idx="94">
                <c:v>2.3499999999999996</c:v>
              </c:pt>
              <c:pt idx="95">
                <c:v>2.375</c:v>
              </c:pt>
              <c:pt idx="96">
                <c:v>2.4</c:v>
              </c:pt>
              <c:pt idx="97">
                <c:v>2.4249999999999998</c:v>
              </c:pt>
              <c:pt idx="98">
                <c:v>2.4500000000000002</c:v>
              </c:pt>
              <c:pt idx="99">
                <c:v>2.4750000000000001</c:v>
              </c:pt>
              <c:pt idx="100">
                <c:v>2.5</c:v>
              </c:pt>
              <c:pt idx="101">
                <c:v>2.5249999999999999</c:v>
              </c:pt>
              <c:pt idx="102">
                <c:v>2.5499999999999998</c:v>
              </c:pt>
              <c:pt idx="103">
                <c:v>2.5750000000000002</c:v>
              </c:pt>
              <c:pt idx="104">
                <c:v>2.6</c:v>
              </c:pt>
              <c:pt idx="105">
                <c:v>2.625</c:v>
              </c:pt>
              <c:pt idx="106">
                <c:v>2.6500000000000004</c:v>
              </c:pt>
              <c:pt idx="107">
                <c:v>2.6750000000000003</c:v>
              </c:pt>
              <c:pt idx="108">
                <c:v>2.7</c:v>
              </c:pt>
              <c:pt idx="109">
                <c:v>2.7250000000000001</c:v>
              </c:pt>
              <c:pt idx="110">
                <c:v>2.75</c:v>
              </c:pt>
              <c:pt idx="111">
                <c:v>2.7750000000000004</c:v>
              </c:pt>
              <c:pt idx="112">
                <c:v>2.8000000000000003</c:v>
              </c:pt>
              <c:pt idx="113">
                <c:v>2.8249999999999997</c:v>
              </c:pt>
              <c:pt idx="114">
                <c:v>2.8499999999999996</c:v>
              </c:pt>
              <c:pt idx="115">
                <c:v>2.875</c:v>
              </c:pt>
              <c:pt idx="116">
                <c:v>2.9</c:v>
              </c:pt>
              <c:pt idx="117">
                <c:v>2.9249999999999998</c:v>
              </c:pt>
              <c:pt idx="118">
                <c:v>2.9499999999999997</c:v>
              </c:pt>
              <c:pt idx="119">
                <c:v>2.9749999999999996</c:v>
              </c:pt>
              <c:pt idx="120">
                <c:v>3</c:v>
              </c:pt>
              <c:pt idx="121">
                <c:v>3.0249999999999999</c:v>
              </c:pt>
              <c:pt idx="122">
                <c:v>3.05</c:v>
              </c:pt>
              <c:pt idx="123">
                <c:v>3.0750000000000002</c:v>
              </c:pt>
              <c:pt idx="124">
                <c:v>3.1</c:v>
              </c:pt>
              <c:pt idx="125">
                <c:v>3.125</c:v>
              </c:pt>
              <c:pt idx="126">
                <c:v>3.15</c:v>
              </c:pt>
              <c:pt idx="127">
                <c:v>3.1749999999999998</c:v>
              </c:pt>
              <c:pt idx="128">
                <c:v>3.2</c:v>
              </c:pt>
              <c:pt idx="129">
                <c:v>3.2250000000000001</c:v>
              </c:pt>
              <c:pt idx="130">
                <c:v>3.25</c:v>
              </c:pt>
              <c:pt idx="131">
                <c:v>3.2750000000000004</c:v>
              </c:pt>
              <c:pt idx="132">
                <c:v>3.3000000000000003</c:v>
              </c:pt>
              <c:pt idx="133">
                <c:v>3.3250000000000002</c:v>
              </c:pt>
              <c:pt idx="134">
                <c:v>3.35</c:v>
              </c:pt>
              <c:pt idx="135">
                <c:v>3.375</c:v>
              </c:pt>
              <c:pt idx="136">
                <c:v>3.4000000000000004</c:v>
              </c:pt>
              <c:pt idx="137">
                <c:v>3.4250000000000003</c:v>
              </c:pt>
              <c:pt idx="138">
                <c:v>3.4499999999999997</c:v>
              </c:pt>
              <c:pt idx="139">
                <c:v>3.4749999999999996</c:v>
              </c:pt>
              <c:pt idx="140">
                <c:v>3.5</c:v>
              </c:pt>
              <c:pt idx="141">
                <c:v>3.5249999999999999</c:v>
              </c:pt>
              <c:pt idx="142">
                <c:v>3.55</c:v>
              </c:pt>
              <c:pt idx="143">
                <c:v>3.5749999999999997</c:v>
              </c:pt>
              <c:pt idx="144">
                <c:v>3.5999999999999996</c:v>
              </c:pt>
              <c:pt idx="145">
                <c:v>3.625</c:v>
              </c:pt>
              <c:pt idx="146">
                <c:v>3.65</c:v>
              </c:pt>
              <c:pt idx="147">
                <c:v>3.6749999999999998</c:v>
              </c:pt>
              <c:pt idx="148">
                <c:v>3.7</c:v>
              </c:pt>
              <c:pt idx="149">
                <c:v>3.7250000000000001</c:v>
              </c:pt>
              <c:pt idx="150">
                <c:v>3.75</c:v>
              </c:pt>
              <c:pt idx="151">
                <c:v>3.7749999999999999</c:v>
              </c:pt>
              <c:pt idx="152">
                <c:v>3.8</c:v>
              </c:pt>
              <c:pt idx="153">
                <c:v>3.8250000000000002</c:v>
              </c:pt>
              <c:pt idx="154">
                <c:v>3.85</c:v>
              </c:pt>
              <c:pt idx="155">
                <c:v>3.875</c:v>
              </c:pt>
              <c:pt idx="156">
                <c:v>3.9000000000000004</c:v>
              </c:pt>
              <c:pt idx="157">
                <c:v>3.9250000000000003</c:v>
              </c:pt>
              <c:pt idx="158">
                <c:v>3.95</c:v>
              </c:pt>
              <c:pt idx="159">
                <c:v>3.9750000000000001</c:v>
              </c:pt>
              <c:pt idx="160">
                <c:v>4</c:v>
              </c:pt>
              <c:pt idx="161">
                <c:v>4.0250000000000004</c:v>
              </c:pt>
              <c:pt idx="162">
                <c:v>4.0500000000000007</c:v>
              </c:pt>
              <c:pt idx="163">
                <c:v>4.0749999999999993</c:v>
              </c:pt>
              <c:pt idx="164">
                <c:v>4.0999999999999996</c:v>
              </c:pt>
              <c:pt idx="165">
                <c:v>4.125</c:v>
              </c:pt>
              <c:pt idx="166">
                <c:v>4.1499999999999995</c:v>
              </c:pt>
              <c:pt idx="167">
                <c:v>4.1749999999999998</c:v>
              </c:pt>
              <c:pt idx="168">
                <c:v>4.2</c:v>
              </c:pt>
              <c:pt idx="169">
                <c:v>4.2249999999999996</c:v>
              </c:pt>
              <c:pt idx="170">
                <c:v>4.25</c:v>
              </c:pt>
              <c:pt idx="171">
                <c:v>4.2750000000000004</c:v>
              </c:pt>
              <c:pt idx="172">
                <c:v>4.3</c:v>
              </c:pt>
              <c:pt idx="173">
                <c:v>4.3250000000000002</c:v>
              </c:pt>
              <c:pt idx="174">
                <c:v>4.3499999999999996</c:v>
              </c:pt>
              <c:pt idx="175">
                <c:v>4.375</c:v>
              </c:pt>
              <c:pt idx="176">
                <c:v>4.4000000000000004</c:v>
              </c:pt>
              <c:pt idx="177">
                <c:v>4.4249999999999998</c:v>
              </c:pt>
              <c:pt idx="178">
                <c:v>4.45</c:v>
              </c:pt>
              <c:pt idx="179">
                <c:v>4.4749999999999996</c:v>
              </c:pt>
              <c:pt idx="180">
                <c:v>4.5</c:v>
              </c:pt>
              <c:pt idx="181">
                <c:v>4.5250000000000004</c:v>
              </c:pt>
              <c:pt idx="182">
                <c:v>4.55</c:v>
              </c:pt>
              <c:pt idx="183">
                <c:v>4.5750000000000002</c:v>
              </c:pt>
              <c:pt idx="184">
                <c:v>4.6000000000000005</c:v>
              </c:pt>
              <c:pt idx="185">
                <c:v>4.625</c:v>
              </c:pt>
              <c:pt idx="186">
                <c:v>4.6500000000000004</c:v>
              </c:pt>
              <c:pt idx="187">
                <c:v>4.6750000000000007</c:v>
              </c:pt>
              <c:pt idx="188">
                <c:v>4.6999999999999993</c:v>
              </c:pt>
              <c:pt idx="189">
                <c:v>4.7249999999999996</c:v>
              </c:pt>
              <c:pt idx="190">
                <c:v>4.75</c:v>
              </c:pt>
              <c:pt idx="191">
                <c:v>4.7749999999999995</c:v>
              </c:pt>
              <c:pt idx="192">
                <c:v>4.8</c:v>
              </c:pt>
              <c:pt idx="193">
                <c:v>4.8250000000000002</c:v>
              </c:pt>
              <c:pt idx="194">
                <c:v>4.8499999999999996</c:v>
              </c:pt>
              <c:pt idx="195">
                <c:v>4.875</c:v>
              </c:pt>
              <c:pt idx="196">
                <c:v>4.9000000000000004</c:v>
              </c:pt>
              <c:pt idx="197">
                <c:v>4.9249999999999998</c:v>
              </c:pt>
              <c:pt idx="198">
                <c:v>4.95</c:v>
              </c:pt>
              <c:pt idx="199">
                <c:v>4.9749999999999996</c:v>
              </c:pt>
              <c:pt idx="200">
                <c:v>5</c:v>
              </c:pt>
            </c:numLit>
          </c:cat>
          <c:val>
            <c:numRef>
              <c:f>'Calculations - Single'!$BW$5:$BW$105</c:f>
              <c:numCache>
                <c:formatCode>0.0</c:formatCode>
                <c:ptCount val="10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numCache>
            </c:numRef>
          </c:val>
          <c:smooth val="0"/>
          <c:extLst>
            <c:ext xmlns:c16="http://schemas.microsoft.com/office/drawing/2014/chart" uri="{C3380CC4-5D6E-409C-BE32-E72D297353CC}">
              <c16:uniqueId val="{00000003-2E7B-44CD-81A3-DB5BB9B01FFA}"/>
            </c:ext>
          </c:extLst>
        </c:ser>
        <c:dLbls>
          <c:showLegendKey val="0"/>
          <c:showVal val="0"/>
          <c:showCatName val="0"/>
          <c:showSerName val="0"/>
          <c:showPercent val="0"/>
          <c:showBubbleSize val="0"/>
        </c:dLbls>
        <c:marker val="1"/>
        <c:smooth val="0"/>
        <c:axId val="151422848"/>
        <c:axId val="151420928"/>
      </c:lineChart>
      <c:catAx>
        <c:axId val="151400448"/>
        <c:scaling>
          <c:orientation val="minMax"/>
        </c:scaling>
        <c:delete val="0"/>
        <c:axPos val="b"/>
        <c:majorGridlines>
          <c:spPr>
            <a:ln w="15875">
              <a:solidFill>
                <a:srgbClr val="969696"/>
              </a:solidFill>
              <a:prstDash val="sysDash"/>
            </a:ln>
          </c:spPr>
        </c:majorGridlines>
        <c:minorGridlines/>
        <c:title>
          <c:tx>
            <c:rich>
              <a:bodyPr/>
              <a:lstStyle/>
              <a:p>
                <a:pPr>
                  <a:defRPr sz="1200" b="1" i="0" u="none" strike="noStrike" baseline="0">
                    <a:solidFill>
                      <a:srgbClr val="0000FF"/>
                    </a:solidFill>
                    <a:latin typeface="Arial" pitchFamily="34" charset="0"/>
                    <a:ea typeface="Calibri"/>
                    <a:cs typeface="Arial" pitchFamily="34" charset="0"/>
                  </a:defRPr>
                </a:pPr>
                <a:r>
                  <a:rPr lang="en-US" sz="1200">
                    <a:solidFill>
                      <a:srgbClr val="0000FF"/>
                    </a:solidFill>
                    <a:latin typeface="Arial" pitchFamily="34" charset="0"/>
                    <a:cs typeface="Arial" pitchFamily="34" charset="0"/>
                  </a:rPr>
                  <a:t>Load Current (A)</a:t>
                </a:r>
              </a:p>
            </c:rich>
          </c:tx>
          <c:layout>
            <c:manualLayout>
              <c:xMode val="edge"/>
              <c:yMode val="edge"/>
              <c:x val="0.41550199871424914"/>
              <c:y val="0.93853773960073172"/>
            </c:manualLayout>
          </c:layout>
          <c:overlay val="0"/>
          <c:spPr>
            <a:noFill/>
            <a:ln w="25400">
              <a:noFill/>
            </a:ln>
          </c:spPr>
        </c:title>
        <c:numFmt formatCode="#,##0.0" sourceLinked="0"/>
        <c:majorTickMark val="in"/>
        <c:minorTickMark val="in"/>
        <c:tickLblPos val="nextTo"/>
        <c:spPr>
          <a:ln w="3175">
            <a:solidFill>
              <a:srgbClr val="000000"/>
            </a:solidFill>
            <a:prstDash val="solid"/>
          </a:ln>
        </c:spPr>
        <c:txPr>
          <a:bodyPr rot="0" vert="horz"/>
          <a:lstStyle/>
          <a:p>
            <a:pPr>
              <a:defRPr sz="1100" b="1" i="0" u="none" strike="noStrike" baseline="0">
                <a:solidFill>
                  <a:srgbClr val="0000FF"/>
                </a:solidFill>
                <a:latin typeface="Arial" pitchFamily="34" charset="0"/>
                <a:ea typeface="Calibri"/>
                <a:cs typeface="Arial" pitchFamily="34" charset="0"/>
              </a:defRPr>
            </a:pPr>
            <a:endParaRPr lang="en-US"/>
          </a:p>
        </c:txPr>
        <c:crossAx val="151402368"/>
        <c:crosses val="autoZero"/>
        <c:auto val="1"/>
        <c:lblAlgn val="ctr"/>
        <c:lblOffset val="100"/>
        <c:tickLblSkip val="20"/>
        <c:tickMarkSkip val="20"/>
        <c:noMultiLvlLbl val="0"/>
      </c:catAx>
      <c:valAx>
        <c:axId val="151402368"/>
        <c:scaling>
          <c:orientation val="minMax"/>
          <c:max val="100"/>
          <c:min val="55"/>
        </c:scaling>
        <c:delete val="0"/>
        <c:axPos val="l"/>
        <c:majorGridlines>
          <c:spPr>
            <a:ln w="15875">
              <a:solidFill>
                <a:srgbClr val="808080"/>
              </a:solidFill>
              <a:prstDash val="solid"/>
            </a:ln>
          </c:spPr>
        </c:majorGridlines>
        <c:title>
          <c:tx>
            <c:rich>
              <a:bodyPr/>
              <a:lstStyle/>
              <a:p>
                <a:pPr>
                  <a:defRPr sz="1400" b="1" i="0" u="none" strike="noStrike" baseline="0">
                    <a:solidFill>
                      <a:srgbClr val="FF0000"/>
                    </a:solidFill>
                    <a:latin typeface="Arial" pitchFamily="34" charset="0"/>
                    <a:ea typeface="Calibri"/>
                    <a:cs typeface="Arial" pitchFamily="34" charset="0"/>
                  </a:defRPr>
                </a:pPr>
                <a:r>
                  <a:rPr lang="en-US" sz="1200" b="1">
                    <a:solidFill>
                      <a:srgbClr val="FF0000"/>
                    </a:solidFill>
                    <a:latin typeface="Arial" pitchFamily="34" charset="0"/>
                    <a:cs typeface="Arial" pitchFamily="34" charset="0"/>
                  </a:rPr>
                  <a:t>Efficiency  (%)</a:t>
                </a:r>
              </a:p>
            </c:rich>
          </c:tx>
          <c:layout>
            <c:manualLayout>
              <c:xMode val="edge"/>
              <c:yMode val="edge"/>
              <c:x val="1.2871858674081443E-2"/>
              <c:y val="0.37638177915688309"/>
            </c:manualLayout>
          </c:layout>
          <c:overlay val="0"/>
          <c:spPr>
            <a:noFill/>
            <a:ln w="25400">
              <a:noFill/>
            </a:ln>
          </c:spPr>
        </c:title>
        <c:numFmt formatCode="General" sourceLinked="0"/>
        <c:majorTickMark val="in"/>
        <c:minorTickMark val="in"/>
        <c:tickLblPos val="nextTo"/>
        <c:spPr>
          <a:ln w="3175">
            <a:solidFill>
              <a:srgbClr val="000000"/>
            </a:solidFill>
            <a:prstDash val="solid"/>
          </a:ln>
        </c:spPr>
        <c:txPr>
          <a:bodyPr rot="0" vert="horz"/>
          <a:lstStyle/>
          <a:p>
            <a:pPr>
              <a:defRPr sz="1100" b="1" i="0" u="none" strike="noStrike" baseline="0">
                <a:solidFill>
                  <a:srgbClr val="FF0000"/>
                </a:solidFill>
                <a:latin typeface="Arial" pitchFamily="34" charset="0"/>
                <a:ea typeface="Calibri"/>
                <a:cs typeface="Arial" pitchFamily="34" charset="0"/>
              </a:defRPr>
            </a:pPr>
            <a:endParaRPr lang="en-US"/>
          </a:p>
        </c:txPr>
        <c:crossAx val="151400448"/>
        <c:crossesAt val="0"/>
        <c:crossBetween val="between"/>
        <c:majorUnit val="5"/>
        <c:minorUnit val="2.5"/>
      </c:valAx>
      <c:valAx>
        <c:axId val="151420928"/>
        <c:scaling>
          <c:orientation val="minMax"/>
        </c:scaling>
        <c:delete val="0"/>
        <c:axPos val="r"/>
        <c:title>
          <c:tx>
            <c:rich>
              <a:bodyPr rot="-5400000" vert="horz"/>
              <a:lstStyle/>
              <a:p>
                <a:pPr>
                  <a:defRPr sz="1200" b="1"/>
                </a:pPr>
                <a:r>
                  <a:rPr lang="en-US" sz="1200" b="1"/>
                  <a:t>Power Loss (mW)</a:t>
                </a:r>
              </a:p>
            </c:rich>
          </c:tx>
          <c:layout>
            <c:manualLayout>
              <c:xMode val="edge"/>
              <c:yMode val="edge"/>
              <c:x val="0.95168474305601269"/>
              <c:y val="0.38117714045368295"/>
            </c:manualLayout>
          </c:layout>
          <c:overlay val="0"/>
        </c:title>
        <c:numFmt formatCode="General" sourceLinked="0"/>
        <c:majorTickMark val="out"/>
        <c:minorTickMark val="none"/>
        <c:tickLblPos val="nextTo"/>
        <c:txPr>
          <a:bodyPr/>
          <a:lstStyle/>
          <a:p>
            <a:pPr>
              <a:defRPr sz="1100" b="1">
                <a:solidFill>
                  <a:sysClr val="windowText" lastClr="000000"/>
                </a:solidFill>
              </a:defRPr>
            </a:pPr>
            <a:endParaRPr lang="en-US"/>
          </a:p>
        </c:txPr>
        <c:crossAx val="151422848"/>
        <c:crosses val="max"/>
        <c:crossBetween val="between"/>
      </c:valAx>
      <c:catAx>
        <c:axId val="151422848"/>
        <c:scaling>
          <c:orientation val="minMax"/>
        </c:scaling>
        <c:delete val="1"/>
        <c:axPos val="b"/>
        <c:numFmt formatCode="General" sourceLinked="1"/>
        <c:majorTickMark val="out"/>
        <c:minorTickMark val="none"/>
        <c:tickLblPos val="nextTo"/>
        <c:crossAx val="151420928"/>
        <c:crosses val="autoZero"/>
        <c:auto val="1"/>
        <c:lblAlgn val="ctr"/>
        <c:lblOffset val="100"/>
        <c:noMultiLvlLbl val="0"/>
      </c:catAx>
      <c:spPr>
        <a:noFill/>
        <a:ln w="25400">
          <a:noFill/>
        </a:ln>
      </c:spPr>
    </c:plotArea>
    <c:legend>
      <c:legendPos val="t"/>
      <c:layout>
        <c:manualLayout>
          <c:xMode val="edge"/>
          <c:yMode val="edge"/>
          <c:x val="0.40102557566231317"/>
          <c:y val="1.1892633038167682E-2"/>
          <c:w val="0.54467583520385743"/>
          <c:h val="8.9795049320617604E-2"/>
        </c:manualLayout>
      </c:layout>
      <c:overlay val="0"/>
      <c:spPr>
        <a:solidFill>
          <a:srgbClr val="FFFFFF"/>
        </a:solidFill>
        <a:ln w="25400">
          <a:noFill/>
        </a:ln>
      </c:spPr>
      <c:txPr>
        <a:bodyPr/>
        <a:lstStyle/>
        <a:p>
          <a:pPr>
            <a:defRPr sz="1100" b="0" i="0" u="none" strike="noStrike" baseline="0">
              <a:solidFill>
                <a:srgbClr val="000000"/>
              </a:solidFill>
              <a:latin typeface="Arial" pitchFamily="34" charset="0"/>
              <a:ea typeface="Calibri"/>
              <a:cs typeface="Arial" pitchFamily="34" charset="0"/>
            </a:defRPr>
          </a:pPr>
          <a:endParaRPr lang="en-US"/>
        </a:p>
      </c:txPr>
    </c:legend>
    <c:plotVisOnly val="1"/>
    <c:dispBlanksAs val="gap"/>
    <c:showDLblsOverMax val="0"/>
  </c:chart>
  <c:spPr>
    <a:solidFill>
      <a:srgbClr val="FFFFFF"/>
    </a:solidFill>
    <a:ln w="9525">
      <a:solidFill>
        <a:srgbClr val="808080"/>
      </a:solidFill>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0000000000006" r="0.750000000000006" t="1" header="0.5" footer="0.5"/>
    <c:pageSetup paperSize="5"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rgbClr val="000000"/>
                </a:solidFill>
                <a:latin typeface="Arial" pitchFamily="34" charset="0"/>
                <a:ea typeface="Calibri"/>
                <a:cs typeface="Arial" pitchFamily="34" charset="0"/>
              </a:defRPr>
            </a:pPr>
            <a:r>
              <a:rPr lang="en-US" sz="1800" b="1" i="0" baseline="0">
                <a:effectLst/>
                <a:sym typeface="Symbol"/>
              </a:rPr>
              <a:t></a:t>
            </a:r>
            <a:r>
              <a:rPr lang="en-US" sz="1800" b="1" i="0" baseline="0">
                <a:effectLst/>
              </a:rPr>
              <a:t>, V</a:t>
            </a:r>
            <a:r>
              <a:rPr lang="en-US" sz="1800" b="1" i="0" baseline="-25000">
                <a:effectLst/>
              </a:rPr>
              <a:t>IN</a:t>
            </a:r>
            <a:r>
              <a:rPr lang="en-US" sz="1800" b="1" i="0" baseline="0">
                <a:effectLst/>
              </a:rPr>
              <a:t> = V</a:t>
            </a:r>
            <a:r>
              <a:rPr lang="en-US" sz="1800" b="1" i="0" baseline="-25000">
                <a:effectLst/>
              </a:rPr>
              <a:t>IN(nom)</a:t>
            </a:r>
            <a:endParaRPr lang="en-US">
              <a:effectLst/>
            </a:endParaRPr>
          </a:p>
        </c:rich>
      </c:tx>
      <c:layout>
        <c:manualLayout>
          <c:xMode val="edge"/>
          <c:yMode val="edge"/>
          <c:x val="8.2586704916618195E-2"/>
          <c:y val="1.8363289746112718E-2"/>
        </c:manualLayout>
      </c:layout>
      <c:overlay val="0"/>
      <c:spPr>
        <a:noFill/>
        <a:ln w="25400">
          <a:noFill/>
        </a:ln>
      </c:spPr>
    </c:title>
    <c:autoTitleDeleted val="0"/>
    <c:plotArea>
      <c:layout>
        <c:manualLayout>
          <c:layoutTarget val="inner"/>
          <c:xMode val="edge"/>
          <c:yMode val="edge"/>
          <c:x val="7.6761884085804283E-2"/>
          <c:y val="0.12133523343001466"/>
          <c:w val="0.82579990228506128"/>
          <c:h val="0.7558980268938309"/>
        </c:manualLayout>
      </c:layout>
      <c:lineChart>
        <c:grouping val="standard"/>
        <c:varyColors val="0"/>
        <c:ser>
          <c:idx val="0"/>
          <c:order val="0"/>
          <c:tx>
            <c:v>Efficiency</c:v>
          </c:tx>
          <c:spPr>
            <a:ln w="38100">
              <a:solidFill>
                <a:srgbClr val="FF0000"/>
              </a:solidFill>
              <a:prstDash val="solid"/>
            </a:ln>
          </c:spPr>
          <c:marker>
            <c:symbol val="none"/>
          </c:marker>
          <c:cat>
            <c:numRef>
              <c:f>'Calculations - Dual'!$CC$5:$CC$105</c:f>
              <c:numCache>
                <c:formatCode>General</c:formatCode>
                <c:ptCount val="101"/>
                <c:pt idx="0">
                  <c:v>0</c:v>
                </c:pt>
                <c:pt idx="1">
                  <c:v>1</c:v>
                </c:pt>
                <c:pt idx="2">
                  <c:v>2</c:v>
                </c:pt>
                <c:pt idx="3">
                  <c:v>3</c:v>
                </c:pt>
                <c:pt idx="4">
                  <c:v>4</c:v>
                </c:pt>
                <c:pt idx="5">
                  <c:v>5</c:v>
                </c:pt>
                <c:pt idx="6">
                  <c:v>6</c:v>
                </c:pt>
                <c:pt idx="7">
                  <c:v>7.0000000000000009</c:v>
                </c:pt>
                <c:pt idx="8">
                  <c:v>8</c:v>
                </c:pt>
                <c:pt idx="9">
                  <c:v>9</c:v>
                </c:pt>
                <c:pt idx="10">
                  <c:v>10</c:v>
                </c:pt>
                <c:pt idx="11">
                  <c:v>11</c:v>
                </c:pt>
                <c:pt idx="12">
                  <c:v>12</c:v>
                </c:pt>
                <c:pt idx="13">
                  <c:v>13</c:v>
                </c:pt>
                <c:pt idx="14">
                  <c:v>14.000000000000002</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Dual'!$CB$5:$CB$105</c:f>
              <c:numCache>
                <c:formatCode>0.00</c:formatCode>
                <c:ptCount val="101"/>
                <c:pt idx="0">
                  <c:v>2.2147960299013144E-4</c:v>
                </c:pt>
                <c:pt idx="1">
                  <c:v>74.371165592479088</c:v>
                </c:pt>
                <c:pt idx="2">
                  <c:v>75.096382726536064</c:v>
                </c:pt>
                <c:pt idx="3">
                  <c:v>75.3412750542537</c:v>
                </c:pt>
                <c:pt idx="4">
                  <c:v>75.464321149117765</c:v>
                </c:pt>
                <c:pt idx="5">
                  <c:v>76.549747739318192</c:v>
                </c:pt>
                <c:pt idx="6">
                  <c:v>78.562266018074055</c:v>
                </c:pt>
                <c:pt idx="7">
                  <c:v>80.084319732445792</c:v>
                </c:pt>
                <c:pt idx="8">
                  <c:v>81.277732655752885</c:v>
                </c:pt>
                <c:pt idx="9">
                  <c:v>82.23973780245602</c:v>
                </c:pt>
                <c:pt idx="10">
                  <c:v>83.032394640313541</c:v>
                </c:pt>
                <c:pt idx="11">
                  <c:v>83.697235359400651</c:v>
                </c:pt>
                <c:pt idx="12">
                  <c:v>84.263137926437906</c:v>
                </c:pt>
                <c:pt idx="13">
                  <c:v>84.750824631238459</c:v>
                </c:pt>
                <c:pt idx="14">
                  <c:v>85.175563905443255</c:v>
                </c:pt>
                <c:pt idx="15">
                  <c:v>85.548861867994859</c:v>
                </c:pt>
                <c:pt idx="16">
                  <c:v>85.879559284581134</c:v>
                </c:pt>
                <c:pt idx="17">
                  <c:v>86.174564748523309</c:v>
                </c:pt>
                <c:pt idx="18">
                  <c:v>86.439357735160854</c:v>
                </c:pt>
                <c:pt idx="19">
                  <c:v>86.67834178206904</c:v>
                </c:pt>
                <c:pt idx="20">
                  <c:v>86.89509753384803</c:v>
                </c:pt>
                <c:pt idx="21">
                  <c:v>87.092567350831814</c:v>
                </c:pt>
                <c:pt idx="22">
                  <c:v>87.273192191127492</c:v>
                </c:pt>
                <c:pt idx="23">
                  <c:v>87.439014598753246</c:v>
                </c:pt>
                <c:pt idx="24">
                  <c:v>87.591757223497439</c:v>
                </c:pt>
                <c:pt idx="25">
                  <c:v>87.732883412019788</c:v>
                </c:pt>
                <c:pt idx="26">
                  <c:v>87.86364448236742</c:v>
                </c:pt>
                <c:pt idx="27">
                  <c:v>87.985116983862838</c:v>
                </c:pt>
                <c:pt idx="28">
                  <c:v>88.098232339008092</c:v>
                </c:pt>
                <c:pt idx="29">
                  <c:v>88.203800629085194</c:v>
                </c:pt>
                <c:pt idx="30">
                  <c:v>88.30252983360522</c:v>
                </c:pt>
                <c:pt idx="31">
                  <c:v>88.395041508558322</c:v>
                </c:pt>
                <c:pt idx="32">
                  <c:v>88.481883651414833</c:v>
                </c:pt>
                <c:pt idx="33">
                  <c:v>88.563541326197779</c:v>
                </c:pt>
                <c:pt idx="34">
                  <c:v>88.640445491947844</c:v>
                </c:pt>
                <c:pt idx="35">
                  <c:v>88.712980380196456</c:v>
                </c:pt>
                <c:pt idx="36">
                  <c:v>88.781489692968009</c:v>
                </c:pt>
                <c:pt idx="37">
                  <c:v>88.846281836166369</c:v>
                </c:pt>
                <c:pt idx="38">
                  <c:v>88.907634359520372</c:v>
                </c:pt>
                <c:pt idx="39">
                  <c:v>88.965797740339283</c:v>
                </c:pt>
                <c:pt idx="40">
                  <c:v>89.02099862179854</c:v>
                </c:pt>
                <c:pt idx="41">
                  <c:v>89.073442595584879</c:v>
                </c:pt>
                <c:pt idx="42">
                  <c:v>89.123316602180353</c:v>
                </c:pt>
                <c:pt idx="43">
                  <c:v>89.170791008870623</c:v>
                </c:pt>
                <c:pt idx="44">
                  <c:v>89.216021414988916</c:v>
                </c:pt>
                <c:pt idx="45">
                  <c:v>89.259150225382626</c:v>
                </c:pt>
                <c:pt idx="46">
                  <c:v>89.30030802618495</c:v>
                </c:pt>
                <c:pt idx="47">
                  <c:v>89.339614791352915</c:v>
                </c:pt>
                <c:pt idx="48">
                  <c:v>89.377180943835242</c:v>
                </c:pt>
                <c:pt idx="49">
                  <c:v>89.413108291455885</c:v>
                </c:pt>
                <c:pt idx="50">
                  <c:v>89.447490854482695</c:v>
                </c:pt>
                <c:pt idx="51">
                  <c:v>89.480415599268241</c:v>
                </c:pt>
                <c:pt idx="52">
                  <c:v>89.511963090202116</c:v>
                </c:pt>
                <c:pt idx="53">
                  <c:v>89.542208070421324</c:v>
                </c:pt>
                <c:pt idx="54">
                  <c:v>89.57121998022221</c:v>
                </c:pt>
                <c:pt idx="55">
                  <c:v>89.599063420855131</c:v>
                </c:pt>
                <c:pt idx="56">
                  <c:v>89.625798570316448</c:v>
                </c:pt>
                <c:pt idx="57">
                  <c:v>89.651481556851394</c:v>
                </c:pt>
                <c:pt idx="58">
                  <c:v>89.676164795114715</c:v>
                </c:pt>
                <c:pt idx="59">
                  <c:v>89.699897289285275</c:v>
                </c:pt>
                <c:pt idx="60">
                  <c:v>89.722724906872614</c:v>
                </c:pt>
                <c:pt idx="61">
                  <c:v>89.744690626478274</c:v>
                </c:pt>
                <c:pt idx="62">
                  <c:v>89.765834762364065</c:v>
                </c:pt>
                <c:pt idx="63">
                  <c:v>89.786195168328248</c:v>
                </c:pt>
                <c:pt idx="64">
                  <c:v>89.805807423085596</c:v>
                </c:pt>
                <c:pt idx="65">
                  <c:v>89.824704999085199</c:v>
                </c:pt>
                <c:pt idx="66">
                  <c:v>89.84291941647092</c:v>
                </c:pt>
                <c:pt idx="67">
                  <c:v>89.860480383692135</c:v>
                </c:pt>
                <c:pt idx="68">
                  <c:v>89.877415926099204</c:v>
                </c:pt>
                <c:pt idx="69">
                  <c:v>89.893752503707475</c:v>
                </c:pt>
                <c:pt idx="70">
                  <c:v>89.909515119182316</c:v>
                </c:pt>
                <c:pt idx="71">
                  <c:v>89.924727416981881</c:v>
                </c:pt>
                <c:pt idx="72">
                  <c:v>89.939411774492811</c:v>
                </c:pt>
                <c:pt idx="73">
                  <c:v>89.953589385905317</c:v>
                </c:pt>
                <c:pt idx="74">
                  <c:v>89.967280339495233</c:v>
                </c:pt>
                <c:pt idx="75">
                  <c:v>89.980503688911142</c:v>
                </c:pt>
                <c:pt idx="76">
                  <c:v>89.993277519003584</c:v>
                </c:pt>
                <c:pt idx="77">
                  <c:v>90.005619006678913</c:v>
                </c:pt>
                <c:pt idx="78">
                  <c:v>90.017544477211814</c:v>
                </c:pt>
                <c:pt idx="79">
                  <c:v>90.029069456408237</c:v>
                </c:pt>
                <c:pt idx="80">
                  <c:v>90.040208718971797</c:v>
                </c:pt>
                <c:pt idx="81">
                  <c:v>90.050976333392782</c:v>
                </c:pt>
                <c:pt idx="82">
                  <c:v>90.061385703648867</c:v>
                </c:pt>
                <c:pt idx="83">
                  <c:v>90.071449607979105</c:v>
                </c:pt>
                <c:pt idx="84">
                  <c:v>90.081180234968542</c:v>
                </c:pt>
                <c:pt idx="85">
                  <c:v>90.090589217159135</c:v>
                </c:pt>
                <c:pt idx="86">
                  <c:v>90.099687662383005</c:v>
                </c:pt>
                <c:pt idx="87">
                  <c:v>90.108486182996444</c:v>
                </c:pt>
                <c:pt idx="88">
                  <c:v>90.116994923177288</c:v>
                </c:pt>
                <c:pt idx="89">
                  <c:v>90.12522358443394</c:v>
                </c:pt>
                <c:pt idx="90">
                  <c:v>90.133181449461759</c:v>
                </c:pt>
                <c:pt idx="91">
                  <c:v>90.140877404470345</c:v>
                </c:pt>
                <c:pt idx="92">
                  <c:v>90.148319960095236</c:v>
                </c:pt>
                <c:pt idx="93">
                  <c:v>90.155517270997919</c:v>
                </c:pt>
                <c:pt idx="94">
                  <c:v>90.162477154249189</c:v>
                </c:pt>
                <c:pt idx="95">
                  <c:v>90.169207106583258</c:v>
                </c:pt>
                <c:pt idx="96">
                  <c:v>90.175714320602935</c:v>
                </c:pt>
                <c:pt idx="97">
                  <c:v>90.182005700009597</c:v>
                </c:pt>
                <c:pt idx="98">
                  <c:v>90.044427540638452</c:v>
                </c:pt>
                <c:pt idx="99">
                  <c:v>90.049624389175477</c:v>
                </c:pt>
                <c:pt idx="100">
                  <c:v>90.059509259144306</c:v>
                </c:pt>
              </c:numCache>
            </c:numRef>
          </c:val>
          <c:smooth val="0"/>
          <c:extLst>
            <c:ext xmlns:c16="http://schemas.microsoft.com/office/drawing/2014/chart" uri="{C3380CC4-5D6E-409C-BE32-E72D297353CC}">
              <c16:uniqueId val="{00000000-0141-4D02-A9BF-7BCD46D62696}"/>
            </c:ext>
          </c:extLst>
        </c:ser>
        <c:dLbls>
          <c:showLegendKey val="0"/>
          <c:showVal val="0"/>
          <c:showCatName val="0"/>
          <c:showSerName val="0"/>
          <c:showPercent val="0"/>
          <c:showBubbleSize val="0"/>
        </c:dLbls>
        <c:marker val="1"/>
        <c:smooth val="0"/>
        <c:axId val="151344640"/>
        <c:axId val="151346560"/>
      </c:lineChart>
      <c:lineChart>
        <c:grouping val="standard"/>
        <c:varyColors val="0"/>
        <c:ser>
          <c:idx val="2"/>
          <c:order val="1"/>
          <c:tx>
            <c:strRef>
              <c:f>'Calculations - Dual'!$BN$3</c:f>
              <c:strCache>
                <c:ptCount val="1"/>
                <c:pt idx="0">
                  <c:v>Flyback Diode Loss</c:v>
                </c:pt>
              </c:strCache>
            </c:strRef>
          </c:tx>
          <c:spPr>
            <a:ln w="38100">
              <a:solidFill>
                <a:srgbClr val="808000"/>
              </a:solidFill>
              <a:prstDash val="sysDash"/>
            </a:ln>
          </c:spPr>
          <c:marker>
            <c:symbol val="none"/>
          </c:marker>
          <c:cat>
            <c:numLit>
              <c:formatCode>General</c:formatCode>
              <c:ptCount val="201"/>
              <c:pt idx="0">
                <c:v>0</c:v>
              </c:pt>
              <c:pt idx="1">
                <c:v>2.5000000000000001E-2</c:v>
              </c:pt>
              <c:pt idx="2">
                <c:v>0.05</c:v>
              </c:pt>
              <c:pt idx="3">
                <c:v>7.4999999999999997E-2</c:v>
              </c:pt>
              <c:pt idx="4">
                <c:v>0.1</c:v>
              </c:pt>
              <c:pt idx="5">
                <c:v>0.125</c:v>
              </c:pt>
              <c:pt idx="6">
                <c:v>0.15</c:v>
              </c:pt>
              <c:pt idx="7">
                <c:v>0.17500000000000002</c:v>
              </c:pt>
              <c:pt idx="8">
                <c:v>0.2</c:v>
              </c:pt>
              <c:pt idx="9">
                <c:v>0.22499999999999998</c:v>
              </c:pt>
              <c:pt idx="10">
                <c:v>0.25</c:v>
              </c:pt>
              <c:pt idx="11">
                <c:v>0.27500000000000002</c:v>
              </c:pt>
              <c:pt idx="12">
                <c:v>0.3</c:v>
              </c:pt>
              <c:pt idx="13">
                <c:v>0.32500000000000001</c:v>
              </c:pt>
              <c:pt idx="14">
                <c:v>0.35000000000000003</c:v>
              </c:pt>
              <c:pt idx="15">
                <c:v>0.375</c:v>
              </c:pt>
              <c:pt idx="16">
                <c:v>0.4</c:v>
              </c:pt>
              <c:pt idx="17">
                <c:v>0.42500000000000004</c:v>
              </c:pt>
              <c:pt idx="18">
                <c:v>0.44999999999999996</c:v>
              </c:pt>
              <c:pt idx="19">
                <c:v>0.47499999999999998</c:v>
              </c:pt>
              <c:pt idx="20">
                <c:v>0.5</c:v>
              </c:pt>
              <c:pt idx="21">
                <c:v>0.52500000000000002</c:v>
              </c:pt>
              <c:pt idx="22">
                <c:v>0.55000000000000004</c:v>
              </c:pt>
              <c:pt idx="23">
                <c:v>0.57500000000000007</c:v>
              </c:pt>
              <c:pt idx="24">
                <c:v>0.6</c:v>
              </c:pt>
              <c:pt idx="25">
                <c:v>0.625</c:v>
              </c:pt>
              <c:pt idx="26">
                <c:v>0.65</c:v>
              </c:pt>
              <c:pt idx="27">
                <c:v>0.67500000000000004</c:v>
              </c:pt>
              <c:pt idx="28">
                <c:v>0.70000000000000007</c:v>
              </c:pt>
              <c:pt idx="29">
                <c:v>0.72499999999999998</c:v>
              </c:pt>
              <c:pt idx="30">
                <c:v>0.75</c:v>
              </c:pt>
              <c:pt idx="31">
                <c:v>0.77500000000000002</c:v>
              </c:pt>
              <c:pt idx="32">
                <c:v>0.8</c:v>
              </c:pt>
              <c:pt idx="33">
                <c:v>0.82500000000000007</c:v>
              </c:pt>
              <c:pt idx="34">
                <c:v>0.85000000000000009</c:v>
              </c:pt>
              <c:pt idx="35">
                <c:v>0.875</c:v>
              </c:pt>
              <c:pt idx="36">
                <c:v>0.89999999999999991</c:v>
              </c:pt>
              <c:pt idx="37">
                <c:v>0.92500000000000004</c:v>
              </c:pt>
              <c:pt idx="38">
                <c:v>0.95</c:v>
              </c:pt>
              <c:pt idx="39">
                <c:v>0.97500000000000009</c:v>
              </c:pt>
              <c:pt idx="40">
                <c:v>1</c:v>
              </c:pt>
              <c:pt idx="41">
                <c:v>1.0249999999999999</c:v>
              </c:pt>
              <c:pt idx="42">
                <c:v>1.05</c:v>
              </c:pt>
              <c:pt idx="43">
                <c:v>1.075</c:v>
              </c:pt>
              <c:pt idx="44">
                <c:v>1.1000000000000001</c:v>
              </c:pt>
              <c:pt idx="45">
                <c:v>1.125</c:v>
              </c:pt>
              <c:pt idx="46">
                <c:v>1.1500000000000001</c:v>
              </c:pt>
              <c:pt idx="47">
                <c:v>1.1749999999999998</c:v>
              </c:pt>
              <c:pt idx="48">
                <c:v>1.2</c:v>
              </c:pt>
              <c:pt idx="49">
                <c:v>1.2250000000000001</c:v>
              </c:pt>
              <c:pt idx="50">
                <c:v>1.25</c:v>
              </c:pt>
              <c:pt idx="51">
                <c:v>1.2749999999999999</c:v>
              </c:pt>
              <c:pt idx="52">
                <c:v>1.3</c:v>
              </c:pt>
              <c:pt idx="53">
                <c:v>1.3250000000000002</c:v>
              </c:pt>
              <c:pt idx="54">
                <c:v>1.35</c:v>
              </c:pt>
              <c:pt idx="55">
                <c:v>1.375</c:v>
              </c:pt>
              <c:pt idx="56">
                <c:v>1.4000000000000001</c:v>
              </c:pt>
              <c:pt idx="57">
                <c:v>1.4249999999999998</c:v>
              </c:pt>
              <c:pt idx="58">
                <c:v>1.45</c:v>
              </c:pt>
              <c:pt idx="59">
                <c:v>1.4749999999999999</c:v>
              </c:pt>
              <c:pt idx="60">
                <c:v>1.5</c:v>
              </c:pt>
              <c:pt idx="61">
                <c:v>1.5249999999999999</c:v>
              </c:pt>
              <c:pt idx="62">
                <c:v>1.55</c:v>
              </c:pt>
              <c:pt idx="63">
                <c:v>1.575</c:v>
              </c:pt>
              <c:pt idx="64">
                <c:v>1.6</c:v>
              </c:pt>
              <c:pt idx="65">
                <c:v>1.625</c:v>
              </c:pt>
              <c:pt idx="66">
                <c:v>1.6500000000000001</c:v>
              </c:pt>
              <c:pt idx="67">
                <c:v>1.675</c:v>
              </c:pt>
              <c:pt idx="68">
                <c:v>1.7000000000000002</c:v>
              </c:pt>
              <c:pt idx="69">
                <c:v>1.7249999999999999</c:v>
              </c:pt>
              <c:pt idx="70">
                <c:v>1.75</c:v>
              </c:pt>
              <c:pt idx="71">
                <c:v>1.7749999999999999</c:v>
              </c:pt>
              <c:pt idx="72">
                <c:v>1.7999999999999998</c:v>
              </c:pt>
              <c:pt idx="73">
                <c:v>1.825</c:v>
              </c:pt>
              <c:pt idx="74">
                <c:v>1.85</c:v>
              </c:pt>
              <c:pt idx="75">
                <c:v>1.875</c:v>
              </c:pt>
              <c:pt idx="76">
                <c:v>1.9</c:v>
              </c:pt>
              <c:pt idx="77">
                <c:v>1.925</c:v>
              </c:pt>
              <c:pt idx="78">
                <c:v>1.9500000000000002</c:v>
              </c:pt>
              <c:pt idx="79">
                <c:v>1.9750000000000001</c:v>
              </c:pt>
              <c:pt idx="80">
                <c:v>2</c:v>
              </c:pt>
              <c:pt idx="81">
                <c:v>2.0250000000000004</c:v>
              </c:pt>
              <c:pt idx="82">
                <c:v>2.0499999999999998</c:v>
              </c:pt>
              <c:pt idx="83">
                <c:v>2.0749999999999997</c:v>
              </c:pt>
              <c:pt idx="84">
                <c:v>2.1</c:v>
              </c:pt>
              <c:pt idx="85">
                <c:v>2.125</c:v>
              </c:pt>
              <c:pt idx="86">
                <c:v>2.15</c:v>
              </c:pt>
              <c:pt idx="87">
                <c:v>2.1749999999999998</c:v>
              </c:pt>
              <c:pt idx="88">
                <c:v>2.2000000000000002</c:v>
              </c:pt>
              <c:pt idx="89">
                <c:v>2.2250000000000001</c:v>
              </c:pt>
              <c:pt idx="90">
                <c:v>2.25</c:v>
              </c:pt>
              <c:pt idx="91">
                <c:v>2.2749999999999999</c:v>
              </c:pt>
              <c:pt idx="92">
                <c:v>2.3000000000000003</c:v>
              </c:pt>
              <c:pt idx="93">
                <c:v>2.3250000000000002</c:v>
              </c:pt>
              <c:pt idx="94">
                <c:v>2.3499999999999996</c:v>
              </c:pt>
              <c:pt idx="95">
                <c:v>2.375</c:v>
              </c:pt>
              <c:pt idx="96">
                <c:v>2.4</c:v>
              </c:pt>
              <c:pt idx="97">
                <c:v>2.4249999999999998</c:v>
              </c:pt>
              <c:pt idx="98">
                <c:v>2.4500000000000002</c:v>
              </c:pt>
              <c:pt idx="99">
                <c:v>2.4750000000000001</c:v>
              </c:pt>
              <c:pt idx="100">
                <c:v>2.5</c:v>
              </c:pt>
              <c:pt idx="101">
                <c:v>2.5249999999999999</c:v>
              </c:pt>
              <c:pt idx="102">
                <c:v>2.5499999999999998</c:v>
              </c:pt>
              <c:pt idx="103">
                <c:v>2.5750000000000002</c:v>
              </c:pt>
              <c:pt idx="104">
                <c:v>2.6</c:v>
              </c:pt>
              <c:pt idx="105">
                <c:v>2.625</c:v>
              </c:pt>
              <c:pt idx="106">
                <c:v>2.6500000000000004</c:v>
              </c:pt>
              <c:pt idx="107">
                <c:v>2.6750000000000003</c:v>
              </c:pt>
              <c:pt idx="108">
                <c:v>2.7</c:v>
              </c:pt>
              <c:pt idx="109">
                <c:v>2.7250000000000001</c:v>
              </c:pt>
              <c:pt idx="110">
                <c:v>2.75</c:v>
              </c:pt>
              <c:pt idx="111">
                <c:v>2.7750000000000004</c:v>
              </c:pt>
              <c:pt idx="112">
                <c:v>2.8000000000000003</c:v>
              </c:pt>
              <c:pt idx="113">
                <c:v>2.8249999999999997</c:v>
              </c:pt>
              <c:pt idx="114">
                <c:v>2.8499999999999996</c:v>
              </c:pt>
              <c:pt idx="115">
                <c:v>2.875</c:v>
              </c:pt>
              <c:pt idx="116">
                <c:v>2.9</c:v>
              </c:pt>
              <c:pt idx="117">
                <c:v>2.9249999999999998</c:v>
              </c:pt>
              <c:pt idx="118">
                <c:v>2.9499999999999997</c:v>
              </c:pt>
              <c:pt idx="119">
                <c:v>2.9749999999999996</c:v>
              </c:pt>
              <c:pt idx="120">
                <c:v>3</c:v>
              </c:pt>
              <c:pt idx="121">
                <c:v>3.0249999999999999</c:v>
              </c:pt>
              <c:pt idx="122">
                <c:v>3.05</c:v>
              </c:pt>
              <c:pt idx="123">
                <c:v>3.0750000000000002</c:v>
              </c:pt>
              <c:pt idx="124">
                <c:v>3.1</c:v>
              </c:pt>
              <c:pt idx="125">
                <c:v>3.125</c:v>
              </c:pt>
              <c:pt idx="126">
                <c:v>3.15</c:v>
              </c:pt>
              <c:pt idx="127">
                <c:v>3.1749999999999998</c:v>
              </c:pt>
              <c:pt idx="128">
                <c:v>3.2</c:v>
              </c:pt>
              <c:pt idx="129">
                <c:v>3.2250000000000001</c:v>
              </c:pt>
              <c:pt idx="130">
                <c:v>3.25</c:v>
              </c:pt>
              <c:pt idx="131">
                <c:v>3.2750000000000004</c:v>
              </c:pt>
              <c:pt idx="132">
                <c:v>3.3000000000000003</c:v>
              </c:pt>
              <c:pt idx="133">
                <c:v>3.3250000000000002</c:v>
              </c:pt>
              <c:pt idx="134">
                <c:v>3.35</c:v>
              </c:pt>
              <c:pt idx="135">
                <c:v>3.375</c:v>
              </c:pt>
              <c:pt idx="136">
                <c:v>3.4000000000000004</c:v>
              </c:pt>
              <c:pt idx="137">
                <c:v>3.4250000000000003</c:v>
              </c:pt>
              <c:pt idx="138">
                <c:v>3.4499999999999997</c:v>
              </c:pt>
              <c:pt idx="139">
                <c:v>3.4749999999999996</c:v>
              </c:pt>
              <c:pt idx="140">
                <c:v>3.5</c:v>
              </c:pt>
              <c:pt idx="141">
                <c:v>3.5249999999999999</c:v>
              </c:pt>
              <c:pt idx="142">
                <c:v>3.55</c:v>
              </c:pt>
              <c:pt idx="143">
                <c:v>3.5749999999999997</c:v>
              </c:pt>
              <c:pt idx="144">
                <c:v>3.5999999999999996</c:v>
              </c:pt>
              <c:pt idx="145">
                <c:v>3.625</c:v>
              </c:pt>
              <c:pt idx="146">
                <c:v>3.65</c:v>
              </c:pt>
              <c:pt idx="147">
                <c:v>3.6749999999999998</c:v>
              </c:pt>
              <c:pt idx="148">
                <c:v>3.7</c:v>
              </c:pt>
              <c:pt idx="149">
                <c:v>3.7250000000000001</c:v>
              </c:pt>
              <c:pt idx="150">
                <c:v>3.75</c:v>
              </c:pt>
              <c:pt idx="151">
                <c:v>3.7749999999999999</c:v>
              </c:pt>
              <c:pt idx="152">
                <c:v>3.8</c:v>
              </c:pt>
              <c:pt idx="153">
                <c:v>3.8250000000000002</c:v>
              </c:pt>
              <c:pt idx="154">
                <c:v>3.85</c:v>
              </c:pt>
              <c:pt idx="155">
                <c:v>3.875</c:v>
              </c:pt>
              <c:pt idx="156">
                <c:v>3.9000000000000004</c:v>
              </c:pt>
              <c:pt idx="157">
                <c:v>3.9250000000000003</c:v>
              </c:pt>
              <c:pt idx="158">
                <c:v>3.95</c:v>
              </c:pt>
              <c:pt idx="159">
                <c:v>3.9750000000000001</c:v>
              </c:pt>
              <c:pt idx="160">
                <c:v>4</c:v>
              </c:pt>
              <c:pt idx="161">
                <c:v>4.0250000000000004</c:v>
              </c:pt>
              <c:pt idx="162">
                <c:v>4.0500000000000007</c:v>
              </c:pt>
              <c:pt idx="163">
                <c:v>4.0749999999999993</c:v>
              </c:pt>
              <c:pt idx="164">
                <c:v>4.0999999999999996</c:v>
              </c:pt>
              <c:pt idx="165">
                <c:v>4.125</c:v>
              </c:pt>
              <c:pt idx="166">
                <c:v>4.1499999999999995</c:v>
              </c:pt>
              <c:pt idx="167">
                <c:v>4.1749999999999998</c:v>
              </c:pt>
              <c:pt idx="168">
                <c:v>4.2</c:v>
              </c:pt>
              <c:pt idx="169">
                <c:v>4.2249999999999996</c:v>
              </c:pt>
              <c:pt idx="170">
                <c:v>4.25</c:v>
              </c:pt>
              <c:pt idx="171">
                <c:v>4.2750000000000004</c:v>
              </c:pt>
              <c:pt idx="172">
                <c:v>4.3</c:v>
              </c:pt>
              <c:pt idx="173">
                <c:v>4.3250000000000002</c:v>
              </c:pt>
              <c:pt idx="174">
                <c:v>4.3499999999999996</c:v>
              </c:pt>
              <c:pt idx="175">
                <c:v>4.375</c:v>
              </c:pt>
              <c:pt idx="176">
                <c:v>4.4000000000000004</c:v>
              </c:pt>
              <c:pt idx="177">
                <c:v>4.4249999999999998</c:v>
              </c:pt>
              <c:pt idx="178">
                <c:v>4.45</c:v>
              </c:pt>
              <c:pt idx="179">
                <c:v>4.4749999999999996</c:v>
              </c:pt>
              <c:pt idx="180">
                <c:v>4.5</c:v>
              </c:pt>
              <c:pt idx="181">
                <c:v>4.5250000000000004</c:v>
              </c:pt>
              <c:pt idx="182">
                <c:v>4.55</c:v>
              </c:pt>
              <c:pt idx="183">
                <c:v>4.5750000000000002</c:v>
              </c:pt>
              <c:pt idx="184">
                <c:v>4.6000000000000005</c:v>
              </c:pt>
              <c:pt idx="185">
                <c:v>4.625</c:v>
              </c:pt>
              <c:pt idx="186">
                <c:v>4.6500000000000004</c:v>
              </c:pt>
              <c:pt idx="187">
                <c:v>4.6750000000000007</c:v>
              </c:pt>
              <c:pt idx="188">
                <c:v>4.6999999999999993</c:v>
              </c:pt>
              <c:pt idx="189">
                <c:v>4.7249999999999996</c:v>
              </c:pt>
              <c:pt idx="190">
                <c:v>4.75</c:v>
              </c:pt>
              <c:pt idx="191">
                <c:v>4.7749999999999995</c:v>
              </c:pt>
              <c:pt idx="192">
                <c:v>4.8</c:v>
              </c:pt>
              <c:pt idx="193">
                <c:v>4.8250000000000002</c:v>
              </c:pt>
              <c:pt idx="194">
                <c:v>4.8499999999999996</c:v>
              </c:pt>
              <c:pt idx="195">
                <c:v>4.875</c:v>
              </c:pt>
              <c:pt idx="196">
                <c:v>4.9000000000000004</c:v>
              </c:pt>
              <c:pt idx="197">
                <c:v>4.9249999999999998</c:v>
              </c:pt>
              <c:pt idx="198">
                <c:v>4.95</c:v>
              </c:pt>
              <c:pt idx="199">
                <c:v>4.9749999999999996</c:v>
              </c:pt>
              <c:pt idx="200">
                <c:v>5</c:v>
              </c:pt>
            </c:numLit>
          </c:cat>
          <c:val>
            <c:numRef>
              <c:f>'Calculations - Dual'!$BR$5:$BR$105</c:f>
              <c:numCache>
                <c:formatCode>0.0</c:formatCode>
                <c:ptCount val="101"/>
                <c:pt idx="0">
                  <c:v>1.8000000000000001E-6</c:v>
                </c:pt>
                <c:pt idx="1">
                  <c:v>11.250000000000002</c:v>
                </c:pt>
                <c:pt idx="2">
                  <c:v>22.500000000000004</c:v>
                </c:pt>
                <c:pt idx="3">
                  <c:v>33.75</c:v>
                </c:pt>
                <c:pt idx="4">
                  <c:v>45.000000000000007</c:v>
                </c:pt>
                <c:pt idx="5">
                  <c:v>56.250000000000007</c:v>
                </c:pt>
                <c:pt idx="6">
                  <c:v>67.5</c:v>
                </c:pt>
                <c:pt idx="7">
                  <c:v>78.750000000000014</c:v>
                </c:pt>
                <c:pt idx="8">
                  <c:v>90.000000000000014</c:v>
                </c:pt>
                <c:pt idx="9">
                  <c:v>101.25</c:v>
                </c:pt>
                <c:pt idx="10">
                  <c:v>112.50000000000001</c:v>
                </c:pt>
                <c:pt idx="11">
                  <c:v>123.75</c:v>
                </c:pt>
                <c:pt idx="12">
                  <c:v>135</c:v>
                </c:pt>
                <c:pt idx="13">
                  <c:v>146.25000000000003</c:v>
                </c:pt>
                <c:pt idx="14">
                  <c:v>157.50000000000003</c:v>
                </c:pt>
                <c:pt idx="15">
                  <c:v>168.75</c:v>
                </c:pt>
                <c:pt idx="16">
                  <c:v>180.00000000000003</c:v>
                </c:pt>
                <c:pt idx="17">
                  <c:v>191.25000000000003</c:v>
                </c:pt>
                <c:pt idx="18">
                  <c:v>202.5</c:v>
                </c:pt>
                <c:pt idx="19">
                  <c:v>213.75000000000003</c:v>
                </c:pt>
                <c:pt idx="20">
                  <c:v>225.00000000000003</c:v>
                </c:pt>
                <c:pt idx="21">
                  <c:v>236.25000000000003</c:v>
                </c:pt>
                <c:pt idx="22">
                  <c:v>247.5</c:v>
                </c:pt>
                <c:pt idx="23">
                  <c:v>258.75000000000006</c:v>
                </c:pt>
                <c:pt idx="24">
                  <c:v>270</c:v>
                </c:pt>
                <c:pt idx="25">
                  <c:v>281.25</c:v>
                </c:pt>
                <c:pt idx="26">
                  <c:v>292.50000000000006</c:v>
                </c:pt>
                <c:pt idx="27">
                  <c:v>303.75</c:v>
                </c:pt>
                <c:pt idx="28">
                  <c:v>315.00000000000006</c:v>
                </c:pt>
                <c:pt idx="29">
                  <c:v>326.25000000000006</c:v>
                </c:pt>
                <c:pt idx="30">
                  <c:v>337.5</c:v>
                </c:pt>
                <c:pt idx="31">
                  <c:v>348.75</c:v>
                </c:pt>
                <c:pt idx="32">
                  <c:v>360.00000000000006</c:v>
                </c:pt>
                <c:pt idx="33">
                  <c:v>371.25000000000006</c:v>
                </c:pt>
                <c:pt idx="34">
                  <c:v>382.50000000000006</c:v>
                </c:pt>
                <c:pt idx="35">
                  <c:v>393.75</c:v>
                </c:pt>
                <c:pt idx="36">
                  <c:v>405</c:v>
                </c:pt>
                <c:pt idx="37">
                  <c:v>416.25</c:v>
                </c:pt>
                <c:pt idx="38">
                  <c:v>427.50000000000006</c:v>
                </c:pt>
                <c:pt idx="39">
                  <c:v>438.75000000000006</c:v>
                </c:pt>
                <c:pt idx="40">
                  <c:v>450.00000000000006</c:v>
                </c:pt>
                <c:pt idx="41">
                  <c:v>461.25</c:v>
                </c:pt>
                <c:pt idx="42">
                  <c:v>472.50000000000006</c:v>
                </c:pt>
                <c:pt idx="43">
                  <c:v>483.75</c:v>
                </c:pt>
                <c:pt idx="44">
                  <c:v>495</c:v>
                </c:pt>
                <c:pt idx="45">
                  <c:v>506.25000000000011</c:v>
                </c:pt>
                <c:pt idx="46">
                  <c:v>517.50000000000011</c:v>
                </c:pt>
                <c:pt idx="47">
                  <c:v>528.74999999999989</c:v>
                </c:pt>
                <c:pt idx="48">
                  <c:v>540</c:v>
                </c:pt>
                <c:pt idx="49">
                  <c:v>551.25</c:v>
                </c:pt>
                <c:pt idx="50">
                  <c:v>562.5</c:v>
                </c:pt>
                <c:pt idx="51">
                  <c:v>573.75</c:v>
                </c:pt>
                <c:pt idx="52">
                  <c:v>585.00000000000011</c:v>
                </c:pt>
                <c:pt idx="53">
                  <c:v>596.25000000000011</c:v>
                </c:pt>
                <c:pt idx="54">
                  <c:v>607.5</c:v>
                </c:pt>
                <c:pt idx="55">
                  <c:v>618.75</c:v>
                </c:pt>
                <c:pt idx="56">
                  <c:v>630.00000000000011</c:v>
                </c:pt>
                <c:pt idx="57">
                  <c:v>641.25</c:v>
                </c:pt>
                <c:pt idx="58">
                  <c:v>652.50000000000011</c:v>
                </c:pt>
                <c:pt idx="59">
                  <c:v>663.75000000000011</c:v>
                </c:pt>
                <c:pt idx="60">
                  <c:v>675</c:v>
                </c:pt>
                <c:pt idx="61">
                  <c:v>686.25</c:v>
                </c:pt>
                <c:pt idx="62">
                  <c:v>697.5</c:v>
                </c:pt>
                <c:pt idx="63">
                  <c:v>708.75000000000011</c:v>
                </c:pt>
                <c:pt idx="64">
                  <c:v>720.00000000000011</c:v>
                </c:pt>
                <c:pt idx="65">
                  <c:v>731.25000000000011</c:v>
                </c:pt>
                <c:pt idx="66">
                  <c:v>742.50000000000011</c:v>
                </c:pt>
                <c:pt idx="67">
                  <c:v>753.75000000000011</c:v>
                </c:pt>
                <c:pt idx="68">
                  <c:v>765.00000000000011</c:v>
                </c:pt>
                <c:pt idx="69">
                  <c:v>776.25</c:v>
                </c:pt>
                <c:pt idx="70">
                  <c:v>787.5</c:v>
                </c:pt>
                <c:pt idx="71">
                  <c:v>798.75000000000011</c:v>
                </c:pt>
                <c:pt idx="72">
                  <c:v>810</c:v>
                </c:pt>
                <c:pt idx="73">
                  <c:v>821.25</c:v>
                </c:pt>
                <c:pt idx="74">
                  <c:v>832.5</c:v>
                </c:pt>
                <c:pt idx="75">
                  <c:v>843.75</c:v>
                </c:pt>
                <c:pt idx="76">
                  <c:v>855.00000000000011</c:v>
                </c:pt>
                <c:pt idx="77">
                  <c:v>866.25000000000011</c:v>
                </c:pt>
                <c:pt idx="78">
                  <c:v>877.50000000000011</c:v>
                </c:pt>
                <c:pt idx="79">
                  <c:v>888.75000000000011</c:v>
                </c:pt>
                <c:pt idx="80">
                  <c:v>900.00000000000011</c:v>
                </c:pt>
                <c:pt idx="81">
                  <c:v>911.25000000000011</c:v>
                </c:pt>
                <c:pt idx="82">
                  <c:v>922.5</c:v>
                </c:pt>
                <c:pt idx="83">
                  <c:v>933.75</c:v>
                </c:pt>
                <c:pt idx="84">
                  <c:v>945.00000000000011</c:v>
                </c:pt>
                <c:pt idx="85">
                  <c:v>956.25</c:v>
                </c:pt>
                <c:pt idx="86">
                  <c:v>967.5</c:v>
                </c:pt>
                <c:pt idx="87">
                  <c:v>978.75</c:v>
                </c:pt>
                <c:pt idx="88">
                  <c:v>990</c:v>
                </c:pt>
                <c:pt idx="89">
                  <c:v>1001.25</c:v>
                </c:pt>
                <c:pt idx="90">
                  <c:v>1012.5000000000002</c:v>
                </c:pt>
                <c:pt idx="91">
                  <c:v>1023.7500000000001</c:v>
                </c:pt>
                <c:pt idx="92">
                  <c:v>1035.0000000000002</c:v>
                </c:pt>
                <c:pt idx="93">
                  <c:v>1046.2500000000002</c:v>
                </c:pt>
                <c:pt idx="94">
                  <c:v>1057.4999999999998</c:v>
                </c:pt>
                <c:pt idx="95">
                  <c:v>1068.75</c:v>
                </c:pt>
                <c:pt idx="96">
                  <c:v>1080</c:v>
                </c:pt>
                <c:pt idx="97">
                  <c:v>1091.25</c:v>
                </c:pt>
                <c:pt idx="98">
                  <c:v>1102.5</c:v>
                </c:pt>
                <c:pt idx="99">
                  <c:v>1113.75</c:v>
                </c:pt>
                <c:pt idx="100">
                  <c:v>1125</c:v>
                </c:pt>
              </c:numCache>
            </c:numRef>
          </c:val>
          <c:smooth val="0"/>
          <c:extLst>
            <c:ext xmlns:c16="http://schemas.microsoft.com/office/drawing/2014/chart" uri="{C3380CC4-5D6E-409C-BE32-E72D297353CC}">
              <c16:uniqueId val="{00000001-0141-4D02-A9BF-7BCD46D62696}"/>
            </c:ext>
          </c:extLst>
        </c:ser>
        <c:ser>
          <c:idx val="3"/>
          <c:order val="2"/>
          <c:tx>
            <c:strRef>
              <c:f>'Calculations - Dual'!$BH$3</c:f>
              <c:strCache>
                <c:ptCount val="1"/>
                <c:pt idx="0">
                  <c:v>IC Loss</c:v>
                </c:pt>
              </c:strCache>
            </c:strRef>
          </c:tx>
          <c:spPr>
            <a:ln w="38100">
              <a:solidFill>
                <a:srgbClr val="800080"/>
              </a:solidFill>
              <a:prstDash val="dash"/>
            </a:ln>
          </c:spPr>
          <c:marker>
            <c:symbol val="none"/>
          </c:marker>
          <c:cat>
            <c:numLit>
              <c:formatCode>General</c:formatCode>
              <c:ptCount val="201"/>
              <c:pt idx="0">
                <c:v>0</c:v>
              </c:pt>
              <c:pt idx="1">
                <c:v>2.5000000000000001E-2</c:v>
              </c:pt>
              <c:pt idx="2">
                <c:v>0.05</c:v>
              </c:pt>
              <c:pt idx="3">
                <c:v>7.4999999999999997E-2</c:v>
              </c:pt>
              <c:pt idx="4">
                <c:v>0.1</c:v>
              </c:pt>
              <c:pt idx="5">
                <c:v>0.125</c:v>
              </c:pt>
              <c:pt idx="6">
                <c:v>0.15</c:v>
              </c:pt>
              <c:pt idx="7">
                <c:v>0.17500000000000002</c:v>
              </c:pt>
              <c:pt idx="8">
                <c:v>0.2</c:v>
              </c:pt>
              <c:pt idx="9">
                <c:v>0.22499999999999998</c:v>
              </c:pt>
              <c:pt idx="10">
                <c:v>0.25</c:v>
              </c:pt>
              <c:pt idx="11">
                <c:v>0.27500000000000002</c:v>
              </c:pt>
              <c:pt idx="12">
                <c:v>0.3</c:v>
              </c:pt>
              <c:pt idx="13">
                <c:v>0.32500000000000001</c:v>
              </c:pt>
              <c:pt idx="14">
                <c:v>0.35000000000000003</c:v>
              </c:pt>
              <c:pt idx="15">
                <c:v>0.375</c:v>
              </c:pt>
              <c:pt idx="16">
                <c:v>0.4</c:v>
              </c:pt>
              <c:pt idx="17">
                <c:v>0.42500000000000004</c:v>
              </c:pt>
              <c:pt idx="18">
                <c:v>0.44999999999999996</c:v>
              </c:pt>
              <c:pt idx="19">
                <c:v>0.47499999999999998</c:v>
              </c:pt>
              <c:pt idx="20">
                <c:v>0.5</c:v>
              </c:pt>
              <c:pt idx="21">
                <c:v>0.52500000000000002</c:v>
              </c:pt>
              <c:pt idx="22">
                <c:v>0.55000000000000004</c:v>
              </c:pt>
              <c:pt idx="23">
                <c:v>0.57500000000000007</c:v>
              </c:pt>
              <c:pt idx="24">
                <c:v>0.6</c:v>
              </c:pt>
              <c:pt idx="25">
                <c:v>0.625</c:v>
              </c:pt>
              <c:pt idx="26">
                <c:v>0.65</c:v>
              </c:pt>
              <c:pt idx="27">
                <c:v>0.67500000000000004</c:v>
              </c:pt>
              <c:pt idx="28">
                <c:v>0.70000000000000007</c:v>
              </c:pt>
              <c:pt idx="29">
                <c:v>0.72499999999999998</c:v>
              </c:pt>
              <c:pt idx="30">
                <c:v>0.75</c:v>
              </c:pt>
              <c:pt idx="31">
                <c:v>0.77500000000000002</c:v>
              </c:pt>
              <c:pt idx="32">
                <c:v>0.8</c:v>
              </c:pt>
              <c:pt idx="33">
                <c:v>0.82500000000000007</c:v>
              </c:pt>
              <c:pt idx="34">
                <c:v>0.85000000000000009</c:v>
              </c:pt>
              <c:pt idx="35">
                <c:v>0.875</c:v>
              </c:pt>
              <c:pt idx="36">
                <c:v>0.89999999999999991</c:v>
              </c:pt>
              <c:pt idx="37">
                <c:v>0.92500000000000004</c:v>
              </c:pt>
              <c:pt idx="38">
                <c:v>0.95</c:v>
              </c:pt>
              <c:pt idx="39">
                <c:v>0.97500000000000009</c:v>
              </c:pt>
              <c:pt idx="40">
                <c:v>1</c:v>
              </c:pt>
              <c:pt idx="41">
                <c:v>1.0249999999999999</c:v>
              </c:pt>
              <c:pt idx="42">
                <c:v>1.05</c:v>
              </c:pt>
              <c:pt idx="43">
                <c:v>1.075</c:v>
              </c:pt>
              <c:pt idx="44">
                <c:v>1.1000000000000001</c:v>
              </c:pt>
              <c:pt idx="45">
                <c:v>1.125</c:v>
              </c:pt>
              <c:pt idx="46">
                <c:v>1.1500000000000001</c:v>
              </c:pt>
              <c:pt idx="47">
                <c:v>1.1749999999999998</c:v>
              </c:pt>
              <c:pt idx="48">
                <c:v>1.2</c:v>
              </c:pt>
              <c:pt idx="49">
                <c:v>1.2250000000000001</c:v>
              </c:pt>
              <c:pt idx="50">
                <c:v>1.25</c:v>
              </c:pt>
              <c:pt idx="51">
                <c:v>1.2749999999999999</c:v>
              </c:pt>
              <c:pt idx="52">
                <c:v>1.3</c:v>
              </c:pt>
              <c:pt idx="53">
                <c:v>1.3250000000000002</c:v>
              </c:pt>
              <c:pt idx="54">
                <c:v>1.35</c:v>
              </c:pt>
              <c:pt idx="55">
                <c:v>1.375</c:v>
              </c:pt>
              <c:pt idx="56">
                <c:v>1.4000000000000001</c:v>
              </c:pt>
              <c:pt idx="57">
                <c:v>1.4249999999999998</c:v>
              </c:pt>
              <c:pt idx="58">
                <c:v>1.45</c:v>
              </c:pt>
              <c:pt idx="59">
                <c:v>1.4749999999999999</c:v>
              </c:pt>
              <c:pt idx="60">
                <c:v>1.5</c:v>
              </c:pt>
              <c:pt idx="61">
                <c:v>1.5249999999999999</c:v>
              </c:pt>
              <c:pt idx="62">
                <c:v>1.55</c:v>
              </c:pt>
              <c:pt idx="63">
                <c:v>1.575</c:v>
              </c:pt>
              <c:pt idx="64">
                <c:v>1.6</c:v>
              </c:pt>
              <c:pt idx="65">
                <c:v>1.625</c:v>
              </c:pt>
              <c:pt idx="66">
                <c:v>1.6500000000000001</c:v>
              </c:pt>
              <c:pt idx="67">
                <c:v>1.675</c:v>
              </c:pt>
              <c:pt idx="68">
                <c:v>1.7000000000000002</c:v>
              </c:pt>
              <c:pt idx="69">
                <c:v>1.7249999999999999</c:v>
              </c:pt>
              <c:pt idx="70">
                <c:v>1.75</c:v>
              </c:pt>
              <c:pt idx="71">
                <c:v>1.7749999999999999</c:v>
              </c:pt>
              <c:pt idx="72">
                <c:v>1.7999999999999998</c:v>
              </c:pt>
              <c:pt idx="73">
                <c:v>1.825</c:v>
              </c:pt>
              <c:pt idx="74">
                <c:v>1.85</c:v>
              </c:pt>
              <c:pt idx="75">
                <c:v>1.875</c:v>
              </c:pt>
              <c:pt idx="76">
                <c:v>1.9</c:v>
              </c:pt>
              <c:pt idx="77">
                <c:v>1.925</c:v>
              </c:pt>
              <c:pt idx="78">
                <c:v>1.9500000000000002</c:v>
              </c:pt>
              <c:pt idx="79">
                <c:v>1.9750000000000001</c:v>
              </c:pt>
              <c:pt idx="80">
                <c:v>2</c:v>
              </c:pt>
              <c:pt idx="81">
                <c:v>2.0250000000000004</c:v>
              </c:pt>
              <c:pt idx="82">
                <c:v>2.0499999999999998</c:v>
              </c:pt>
              <c:pt idx="83">
                <c:v>2.0749999999999997</c:v>
              </c:pt>
              <c:pt idx="84">
                <c:v>2.1</c:v>
              </c:pt>
              <c:pt idx="85">
                <c:v>2.125</c:v>
              </c:pt>
              <c:pt idx="86">
                <c:v>2.15</c:v>
              </c:pt>
              <c:pt idx="87">
                <c:v>2.1749999999999998</c:v>
              </c:pt>
              <c:pt idx="88">
                <c:v>2.2000000000000002</c:v>
              </c:pt>
              <c:pt idx="89">
                <c:v>2.2250000000000001</c:v>
              </c:pt>
              <c:pt idx="90">
                <c:v>2.25</c:v>
              </c:pt>
              <c:pt idx="91">
                <c:v>2.2749999999999999</c:v>
              </c:pt>
              <c:pt idx="92">
                <c:v>2.3000000000000003</c:v>
              </c:pt>
              <c:pt idx="93">
                <c:v>2.3250000000000002</c:v>
              </c:pt>
              <c:pt idx="94">
                <c:v>2.3499999999999996</c:v>
              </c:pt>
              <c:pt idx="95">
                <c:v>2.375</c:v>
              </c:pt>
              <c:pt idx="96">
                <c:v>2.4</c:v>
              </c:pt>
              <c:pt idx="97">
                <c:v>2.4249999999999998</c:v>
              </c:pt>
              <c:pt idx="98">
                <c:v>2.4500000000000002</c:v>
              </c:pt>
              <c:pt idx="99">
                <c:v>2.4750000000000001</c:v>
              </c:pt>
              <c:pt idx="100">
                <c:v>2.5</c:v>
              </c:pt>
              <c:pt idx="101">
                <c:v>2.5249999999999999</c:v>
              </c:pt>
              <c:pt idx="102">
                <c:v>2.5499999999999998</c:v>
              </c:pt>
              <c:pt idx="103">
                <c:v>2.5750000000000002</c:v>
              </c:pt>
              <c:pt idx="104">
                <c:v>2.6</c:v>
              </c:pt>
              <c:pt idx="105">
                <c:v>2.625</c:v>
              </c:pt>
              <c:pt idx="106">
                <c:v>2.6500000000000004</c:v>
              </c:pt>
              <c:pt idx="107">
                <c:v>2.6750000000000003</c:v>
              </c:pt>
              <c:pt idx="108">
                <c:v>2.7</c:v>
              </c:pt>
              <c:pt idx="109">
                <c:v>2.7250000000000001</c:v>
              </c:pt>
              <c:pt idx="110">
                <c:v>2.75</c:v>
              </c:pt>
              <c:pt idx="111">
                <c:v>2.7750000000000004</c:v>
              </c:pt>
              <c:pt idx="112">
                <c:v>2.8000000000000003</c:v>
              </c:pt>
              <c:pt idx="113">
                <c:v>2.8249999999999997</c:v>
              </c:pt>
              <c:pt idx="114">
                <c:v>2.8499999999999996</c:v>
              </c:pt>
              <c:pt idx="115">
                <c:v>2.875</c:v>
              </c:pt>
              <c:pt idx="116">
                <c:v>2.9</c:v>
              </c:pt>
              <c:pt idx="117">
                <c:v>2.9249999999999998</c:v>
              </c:pt>
              <c:pt idx="118">
                <c:v>2.9499999999999997</c:v>
              </c:pt>
              <c:pt idx="119">
                <c:v>2.9749999999999996</c:v>
              </c:pt>
              <c:pt idx="120">
                <c:v>3</c:v>
              </c:pt>
              <c:pt idx="121">
                <c:v>3.0249999999999999</c:v>
              </c:pt>
              <c:pt idx="122">
                <c:v>3.05</c:v>
              </c:pt>
              <c:pt idx="123">
                <c:v>3.0750000000000002</c:v>
              </c:pt>
              <c:pt idx="124">
                <c:v>3.1</c:v>
              </c:pt>
              <c:pt idx="125">
                <c:v>3.125</c:v>
              </c:pt>
              <c:pt idx="126">
                <c:v>3.15</c:v>
              </c:pt>
              <c:pt idx="127">
                <c:v>3.1749999999999998</c:v>
              </c:pt>
              <c:pt idx="128">
                <c:v>3.2</c:v>
              </c:pt>
              <c:pt idx="129">
                <c:v>3.2250000000000001</c:v>
              </c:pt>
              <c:pt idx="130">
                <c:v>3.25</c:v>
              </c:pt>
              <c:pt idx="131">
                <c:v>3.2750000000000004</c:v>
              </c:pt>
              <c:pt idx="132">
                <c:v>3.3000000000000003</c:v>
              </c:pt>
              <c:pt idx="133">
                <c:v>3.3250000000000002</c:v>
              </c:pt>
              <c:pt idx="134">
                <c:v>3.35</c:v>
              </c:pt>
              <c:pt idx="135">
                <c:v>3.375</c:v>
              </c:pt>
              <c:pt idx="136">
                <c:v>3.4000000000000004</c:v>
              </c:pt>
              <c:pt idx="137">
                <c:v>3.4250000000000003</c:v>
              </c:pt>
              <c:pt idx="138">
                <c:v>3.4499999999999997</c:v>
              </c:pt>
              <c:pt idx="139">
                <c:v>3.4749999999999996</c:v>
              </c:pt>
              <c:pt idx="140">
                <c:v>3.5</c:v>
              </c:pt>
              <c:pt idx="141">
                <c:v>3.5249999999999999</c:v>
              </c:pt>
              <c:pt idx="142">
                <c:v>3.55</c:v>
              </c:pt>
              <c:pt idx="143">
                <c:v>3.5749999999999997</c:v>
              </c:pt>
              <c:pt idx="144">
                <c:v>3.5999999999999996</c:v>
              </c:pt>
              <c:pt idx="145">
                <c:v>3.625</c:v>
              </c:pt>
              <c:pt idx="146">
                <c:v>3.65</c:v>
              </c:pt>
              <c:pt idx="147">
                <c:v>3.6749999999999998</c:v>
              </c:pt>
              <c:pt idx="148">
                <c:v>3.7</c:v>
              </c:pt>
              <c:pt idx="149">
                <c:v>3.7250000000000001</c:v>
              </c:pt>
              <c:pt idx="150">
                <c:v>3.75</c:v>
              </c:pt>
              <c:pt idx="151">
                <c:v>3.7749999999999999</c:v>
              </c:pt>
              <c:pt idx="152">
                <c:v>3.8</c:v>
              </c:pt>
              <c:pt idx="153">
                <c:v>3.8250000000000002</c:v>
              </c:pt>
              <c:pt idx="154">
                <c:v>3.85</c:v>
              </c:pt>
              <c:pt idx="155">
                <c:v>3.875</c:v>
              </c:pt>
              <c:pt idx="156">
                <c:v>3.9000000000000004</c:v>
              </c:pt>
              <c:pt idx="157">
                <c:v>3.9250000000000003</c:v>
              </c:pt>
              <c:pt idx="158">
                <c:v>3.95</c:v>
              </c:pt>
              <c:pt idx="159">
                <c:v>3.9750000000000001</c:v>
              </c:pt>
              <c:pt idx="160">
                <c:v>4</c:v>
              </c:pt>
              <c:pt idx="161">
                <c:v>4.0250000000000004</c:v>
              </c:pt>
              <c:pt idx="162">
                <c:v>4.0500000000000007</c:v>
              </c:pt>
              <c:pt idx="163">
                <c:v>4.0749999999999993</c:v>
              </c:pt>
              <c:pt idx="164">
                <c:v>4.0999999999999996</c:v>
              </c:pt>
              <c:pt idx="165">
                <c:v>4.125</c:v>
              </c:pt>
              <c:pt idx="166">
                <c:v>4.1499999999999995</c:v>
              </c:pt>
              <c:pt idx="167">
                <c:v>4.1749999999999998</c:v>
              </c:pt>
              <c:pt idx="168">
                <c:v>4.2</c:v>
              </c:pt>
              <c:pt idx="169">
                <c:v>4.2249999999999996</c:v>
              </c:pt>
              <c:pt idx="170">
                <c:v>4.25</c:v>
              </c:pt>
              <c:pt idx="171">
                <c:v>4.2750000000000004</c:v>
              </c:pt>
              <c:pt idx="172">
                <c:v>4.3</c:v>
              </c:pt>
              <c:pt idx="173">
                <c:v>4.3250000000000002</c:v>
              </c:pt>
              <c:pt idx="174">
                <c:v>4.3499999999999996</c:v>
              </c:pt>
              <c:pt idx="175">
                <c:v>4.375</c:v>
              </c:pt>
              <c:pt idx="176">
                <c:v>4.4000000000000004</c:v>
              </c:pt>
              <c:pt idx="177">
                <c:v>4.4249999999999998</c:v>
              </c:pt>
              <c:pt idx="178">
                <c:v>4.45</c:v>
              </c:pt>
              <c:pt idx="179">
                <c:v>4.4749999999999996</c:v>
              </c:pt>
              <c:pt idx="180">
                <c:v>4.5</c:v>
              </c:pt>
              <c:pt idx="181">
                <c:v>4.5250000000000004</c:v>
              </c:pt>
              <c:pt idx="182">
                <c:v>4.55</c:v>
              </c:pt>
              <c:pt idx="183">
                <c:v>4.5750000000000002</c:v>
              </c:pt>
              <c:pt idx="184">
                <c:v>4.6000000000000005</c:v>
              </c:pt>
              <c:pt idx="185">
                <c:v>4.625</c:v>
              </c:pt>
              <c:pt idx="186">
                <c:v>4.6500000000000004</c:v>
              </c:pt>
              <c:pt idx="187">
                <c:v>4.6750000000000007</c:v>
              </c:pt>
              <c:pt idx="188">
                <c:v>4.6999999999999993</c:v>
              </c:pt>
              <c:pt idx="189">
                <c:v>4.7249999999999996</c:v>
              </c:pt>
              <c:pt idx="190">
                <c:v>4.75</c:v>
              </c:pt>
              <c:pt idx="191">
                <c:v>4.7749999999999995</c:v>
              </c:pt>
              <c:pt idx="192">
                <c:v>4.8</c:v>
              </c:pt>
              <c:pt idx="193">
                <c:v>4.8250000000000002</c:v>
              </c:pt>
              <c:pt idx="194">
                <c:v>4.8499999999999996</c:v>
              </c:pt>
              <c:pt idx="195">
                <c:v>4.875</c:v>
              </c:pt>
              <c:pt idx="196">
                <c:v>4.9000000000000004</c:v>
              </c:pt>
              <c:pt idx="197">
                <c:v>4.9249999999999998</c:v>
              </c:pt>
              <c:pt idx="198">
                <c:v>4.95</c:v>
              </c:pt>
              <c:pt idx="199">
                <c:v>4.9749999999999996</c:v>
              </c:pt>
              <c:pt idx="200">
                <c:v>5</c:v>
              </c:pt>
            </c:numLit>
          </c:cat>
          <c:val>
            <c:numRef>
              <c:f>'Calculations - Dual'!$BM$5:$BM$105</c:f>
              <c:numCache>
                <c:formatCode>0.0</c:formatCode>
                <c:ptCount val="101"/>
                <c:pt idx="0">
                  <c:v>9.9331708161111116</c:v>
                </c:pt>
                <c:pt idx="1">
                  <c:v>46.47169535142892</c:v>
                </c:pt>
                <c:pt idx="2">
                  <c:v>88.593390702857846</c:v>
                </c:pt>
                <c:pt idx="3">
                  <c:v>130.71508605428673</c:v>
                </c:pt>
                <c:pt idx="4">
                  <c:v>172.83678140571567</c:v>
                </c:pt>
                <c:pt idx="5">
                  <c:v>200.30977776963391</c:v>
                </c:pt>
                <c:pt idx="6">
                  <c:v>206.74008679789026</c:v>
                </c:pt>
                <c:pt idx="7">
                  <c:v>212.83186261332119</c:v>
                </c:pt>
                <c:pt idx="8">
                  <c:v>218.6680376229144</c:v>
                </c:pt>
                <c:pt idx="9">
                  <c:v>224.30545504180782</c:v>
                </c:pt>
                <c:pt idx="10">
                  <c:v>229.7849491525572</c:v>
                </c:pt>
                <c:pt idx="11">
                  <c:v>235.13693003203903</c:v>
                </c:pt>
                <c:pt idx="12">
                  <c:v>240.38470019326715</c:v>
                </c:pt>
                <c:pt idx="13">
                  <c:v>245.54653425152759</c:v>
                </c:pt>
                <c:pt idx="14">
                  <c:v>250.6370412801453</c:v>
                </c:pt>
                <c:pt idx="15">
                  <c:v>255.66809001139356</c:v>
                </c:pt>
                <c:pt idx="16">
                  <c:v>260.64945643144284</c:v>
                </c:pt>
                <c:pt idx="17">
                  <c:v>265.58928887212033</c:v>
                </c:pt>
                <c:pt idx="18">
                  <c:v>270.49444951635917</c:v>
                </c:pt>
                <c:pt idx="19">
                  <c:v>275.37077004380018</c:v>
                </c:pt>
                <c:pt idx="20">
                  <c:v>280.22324627702119</c:v>
                </c:pt>
                <c:pt idx="21">
                  <c:v>285.0561886275359</c:v>
                </c:pt>
                <c:pt idx="22">
                  <c:v>289.87333994828975</c:v>
                </c:pt>
                <c:pt idx="23">
                  <c:v>294.67796897202339</c:v>
                </c:pt>
                <c:pt idx="24">
                  <c:v>299.472945202647</c:v>
                </c:pt>
                <c:pt idx="25">
                  <c:v>304.26079953596292</c:v>
                </c:pt>
                <c:pt idx="26">
                  <c:v>309.04377377205924</c:v>
                </c:pt>
                <c:pt idx="27">
                  <c:v>313.8238613889236</c:v>
                </c:pt>
                <c:pt idx="28">
                  <c:v>318.60284137433706</c:v>
                </c:pt>
                <c:pt idx="29">
                  <c:v>323.38230649410389</c:v>
                </c:pt>
                <c:pt idx="30">
                  <c:v>328.16368706419502</c:v>
                </c:pt>
                <c:pt idx="31">
                  <c:v>332.94827106169384</c:v>
                </c:pt>
                <c:pt idx="32">
                  <c:v>337.73722123318896</c:v>
                </c:pt>
                <c:pt idx="33">
                  <c:v>342.53158972446448</c:v>
                </c:pt>
                <c:pt idx="34">
                  <c:v>347.33233065129065</c:v>
                </c:pt>
                <c:pt idx="35">
                  <c:v>352.14031095013871</c:v>
                </c:pt>
                <c:pt idx="36">
                  <c:v>356.95631978408909</c:v>
                </c:pt>
                <c:pt idx="37">
                  <c:v>361.78107672897858</c:v>
                </c:pt>
                <c:pt idx="38">
                  <c:v>366.61523892484024</c:v>
                </c:pt>
                <c:pt idx="39">
                  <c:v>371.45940734565403</c:v>
                </c:pt>
                <c:pt idx="40">
                  <c:v>376.31413231459061</c:v>
                </c:pt>
                <c:pt idx="41">
                  <c:v>381.17991837097981</c:v>
                </c:pt>
                <c:pt idx="42">
                  <c:v>386.05722857815221</c:v>
                </c:pt>
                <c:pt idx="43">
                  <c:v>390.94648834729179</c:v>
                </c:pt>
                <c:pt idx="44">
                  <c:v>395.84808884089932</c:v>
                </c:pt>
                <c:pt idx="45">
                  <c:v>400.76239000991501</c:v>
                </c:pt>
                <c:pt idx="46">
                  <c:v>405.68972331059877</c:v>
                </c:pt>
                <c:pt idx="47">
                  <c:v>410.63039414064076</c:v>
                </c:pt>
                <c:pt idx="48">
                  <c:v>415.58468402840714</c:v>
                </c:pt>
                <c:pt idx="49">
                  <c:v>420.55285260454286</c:v>
                </c:pt>
                <c:pt idx="50">
                  <c:v>425.53513938119897</c:v>
                </c:pt>
                <c:pt idx="51">
                  <c:v>430.53176536079923</c:v>
                </c:pt>
                <c:pt idx="52">
                  <c:v>435.54293449339758</c:v>
                </c:pt>
                <c:pt idx="53">
                  <c:v>440.56883499925033</c:v>
                </c:pt>
                <c:pt idx="54">
                  <c:v>445.60964057113688</c:v>
                </c:pt>
                <c:pt idx="55">
                  <c:v>450.66551146916703</c:v>
                </c:pt>
                <c:pt idx="56">
                  <c:v>455.73659551927454</c:v>
                </c:pt>
                <c:pt idx="57">
                  <c:v>460.82302902525981</c:v>
                </c:pt>
                <c:pt idx="58">
                  <c:v>465.92493760308889</c:v>
                </c:pt>
                <c:pt idx="59">
                  <c:v>471.0424369451564</c:v>
                </c:pt>
                <c:pt idx="60">
                  <c:v>476.17563352134181</c:v>
                </c:pt>
                <c:pt idx="61">
                  <c:v>481.32462522293133</c:v>
                </c:pt>
                <c:pt idx="62">
                  <c:v>486.48950195481041</c:v>
                </c:pt>
                <c:pt idx="63">
                  <c:v>491.67034618074229</c:v>
                </c:pt>
                <c:pt idx="64">
                  <c:v>496.86723342604506</c:v>
                </c:pt>
                <c:pt idx="65">
                  <c:v>502.08023274151702</c:v>
                </c:pt>
                <c:pt idx="66">
                  <c:v>507.30940713207173</c:v>
                </c:pt>
                <c:pt idx="67">
                  <c:v>512.55481395318282</c:v>
                </c:pt>
                <c:pt idx="68">
                  <c:v>517.81650527793488</c:v>
                </c:pt>
                <c:pt idx="69">
                  <c:v>523.0945282371946</c:v>
                </c:pt>
                <c:pt idx="70">
                  <c:v>528.38892533517333</c:v>
                </c:pt>
                <c:pt idx="71">
                  <c:v>533.69973474243125</c:v>
                </c:pt>
                <c:pt idx="72">
                  <c:v>539.02699056818392</c:v>
                </c:pt>
                <c:pt idx="73">
                  <c:v>544.37072311358645</c:v>
                </c:pt>
                <c:pt idx="74">
                  <c:v>549.73095910752943</c:v>
                </c:pt>
                <c:pt idx="75">
                  <c:v>555.10772192632726</c:v>
                </c:pt>
                <c:pt idx="76">
                  <c:v>560.50103179856546</c:v>
                </c:pt>
                <c:pt idx="77">
                  <c:v>565.91090599625181</c:v>
                </c:pt>
                <c:pt idx="78">
                  <c:v>571.33735901332147</c:v>
                </c:pt>
                <c:pt idx="79">
                  <c:v>576.78040273245335</c:v>
                </c:pt>
                <c:pt idx="80">
                  <c:v>582.2400465810689</c:v>
                </c:pt>
                <c:pt idx="81">
                  <c:v>587.71629767731736</c:v>
                </c:pt>
                <c:pt idx="82">
                  <c:v>593.20916096677558</c:v>
                </c:pt>
                <c:pt idx="83">
                  <c:v>598.71863935053921</c:v>
                </c:pt>
                <c:pt idx="84">
                  <c:v>604.24473380531686</c:v>
                </c:pt>
                <c:pt idx="85">
                  <c:v>609.78744349609678</c:v>
                </c:pt>
                <c:pt idx="86">
                  <c:v>615.34676588190723</c:v>
                </c:pt>
                <c:pt idx="87">
                  <c:v>620.92269681514722</c:v>
                </c:pt>
                <c:pt idx="88">
                  <c:v>626.51523063493175</c:v>
                </c:pt>
                <c:pt idx="89">
                  <c:v>632.12436025485988</c:v>
                </c:pt>
                <c:pt idx="90">
                  <c:v>637.75007724557599</c:v>
                </c:pt>
                <c:pt idx="91">
                  <c:v>643.39237191247992</c:v>
                </c:pt>
                <c:pt idx="92">
                  <c:v>649.05123336889869</c:v>
                </c:pt>
                <c:pt idx="93">
                  <c:v>654.72664960502402</c:v>
                </c:pt>
                <c:pt idx="94">
                  <c:v>660.4186075528836</c:v>
                </c:pt>
                <c:pt idx="95">
                  <c:v>666.12709314760855</c:v>
                </c:pt>
                <c:pt idx="96">
                  <c:v>671.852091385226</c:v>
                </c:pt>
                <c:pt idx="97">
                  <c:v>677.593586377203</c:v>
                </c:pt>
                <c:pt idx="98">
                  <c:v>712.38989806354925</c:v>
                </c:pt>
                <c:pt idx="99">
                  <c:v>718.59638329409768</c:v>
                </c:pt>
                <c:pt idx="100">
                  <c:v>723.81331554032249</c:v>
                </c:pt>
              </c:numCache>
            </c:numRef>
          </c:val>
          <c:smooth val="0"/>
          <c:extLst>
            <c:ext xmlns:c16="http://schemas.microsoft.com/office/drawing/2014/chart" uri="{C3380CC4-5D6E-409C-BE32-E72D297353CC}">
              <c16:uniqueId val="{00000002-0141-4D02-A9BF-7BCD46D62696}"/>
            </c:ext>
          </c:extLst>
        </c:ser>
        <c:ser>
          <c:idx val="1"/>
          <c:order val="3"/>
          <c:tx>
            <c:strRef>
              <c:f>'Calculations - Dual'!$BS$3</c:f>
              <c:strCache>
                <c:ptCount val="1"/>
                <c:pt idx="0">
                  <c:v>Transformer Loss</c:v>
                </c:pt>
              </c:strCache>
            </c:strRef>
          </c:tx>
          <c:spPr>
            <a:ln w="38100">
              <a:solidFill>
                <a:srgbClr val="002060"/>
              </a:solidFill>
              <a:prstDash val="sysDot"/>
            </a:ln>
          </c:spPr>
          <c:marker>
            <c:symbol val="none"/>
          </c:marker>
          <c:cat>
            <c:numLit>
              <c:formatCode>General</c:formatCode>
              <c:ptCount val="201"/>
              <c:pt idx="0">
                <c:v>0</c:v>
              </c:pt>
              <c:pt idx="1">
                <c:v>2.5000000000000001E-2</c:v>
              </c:pt>
              <c:pt idx="2">
                <c:v>0.05</c:v>
              </c:pt>
              <c:pt idx="3">
                <c:v>7.4999999999999997E-2</c:v>
              </c:pt>
              <c:pt idx="4">
                <c:v>0.1</c:v>
              </c:pt>
              <c:pt idx="5">
                <c:v>0.125</c:v>
              </c:pt>
              <c:pt idx="6">
                <c:v>0.15</c:v>
              </c:pt>
              <c:pt idx="7">
                <c:v>0.17500000000000002</c:v>
              </c:pt>
              <c:pt idx="8">
                <c:v>0.2</c:v>
              </c:pt>
              <c:pt idx="9">
                <c:v>0.22499999999999998</c:v>
              </c:pt>
              <c:pt idx="10">
                <c:v>0.25</c:v>
              </c:pt>
              <c:pt idx="11">
                <c:v>0.27500000000000002</c:v>
              </c:pt>
              <c:pt idx="12">
                <c:v>0.3</c:v>
              </c:pt>
              <c:pt idx="13">
                <c:v>0.32500000000000001</c:v>
              </c:pt>
              <c:pt idx="14">
                <c:v>0.35000000000000003</c:v>
              </c:pt>
              <c:pt idx="15">
                <c:v>0.375</c:v>
              </c:pt>
              <c:pt idx="16">
                <c:v>0.4</c:v>
              </c:pt>
              <c:pt idx="17">
                <c:v>0.42500000000000004</c:v>
              </c:pt>
              <c:pt idx="18">
                <c:v>0.44999999999999996</c:v>
              </c:pt>
              <c:pt idx="19">
                <c:v>0.47499999999999998</c:v>
              </c:pt>
              <c:pt idx="20">
                <c:v>0.5</c:v>
              </c:pt>
              <c:pt idx="21">
                <c:v>0.52500000000000002</c:v>
              </c:pt>
              <c:pt idx="22">
                <c:v>0.55000000000000004</c:v>
              </c:pt>
              <c:pt idx="23">
                <c:v>0.57500000000000007</c:v>
              </c:pt>
              <c:pt idx="24">
                <c:v>0.6</c:v>
              </c:pt>
              <c:pt idx="25">
                <c:v>0.625</c:v>
              </c:pt>
              <c:pt idx="26">
                <c:v>0.65</c:v>
              </c:pt>
              <c:pt idx="27">
                <c:v>0.67500000000000004</c:v>
              </c:pt>
              <c:pt idx="28">
                <c:v>0.70000000000000007</c:v>
              </c:pt>
              <c:pt idx="29">
                <c:v>0.72499999999999998</c:v>
              </c:pt>
              <c:pt idx="30">
                <c:v>0.75</c:v>
              </c:pt>
              <c:pt idx="31">
                <c:v>0.77500000000000002</c:v>
              </c:pt>
              <c:pt idx="32">
                <c:v>0.8</c:v>
              </c:pt>
              <c:pt idx="33">
                <c:v>0.82500000000000007</c:v>
              </c:pt>
              <c:pt idx="34">
                <c:v>0.85000000000000009</c:v>
              </c:pt>
              <c:pt idx="35">
                <c:v>0.875</c:v>
              </c:pt>
              <c:pt idx="36">
                <c:v>0.89999999999999991</c:v>
              </c:pt>
              <c:pt idx="37">
                <c:v>0.92500000000000004</c:v>
              </c:pt>
              <c:pt idx="38">
                <c:v>0.95</c:v>
              </c:pt>
              <c:pt idx="39">
                <c:v>0.97500000000000009</c:v>
              </c:pt>
              <c:pt idx="40">
                <c:v>1</c:v>
              </c:pt>
              <c:pt idx="41">
                <c:v>1.0249999999999999</c:v>
              </c:pt>
              <c:pt idx="42">
                <c:v>1.05</c:v>
              </c:pt>
              <c:pt idx="43">
                <c:v>1.075</c:v>
              </c:pt>
              <c:pt idx="44">
                <c:v>1.1000000000000001</c:v>
              </c:pt>
              <c:pt idx="45">
                <c:v>1.125</c:v>
              </c:pt>
              <c:pt idx="46">
                <c:v>1.1500000000000001</c:v>
              </c:pt>
              <c:pt idx="47">
                <c:v>1.1749999999999998</c:v>
              </c:pt>
              <c:pt idx="48">
                <c:v>1.2</c:v>
              </c:pt>
              <c:pt idx="49">
                <c:v>1.2250000000000001</c:v>
              </c:pt>
              <c:pt idx="50">
                <c:v>1.25</c:v>
              </c:pt>
              <c:pt idx="51">
                <c:v>1.2749999999999999</c:v>
              </c:pt>
              <c:pt idx="52">
                <c:v>1.3</c:v>
              </c:pt>
              <c:pt idx="53">
                <c:v>1.3250000000000002</c:v>
              </c:pt>
              <c:pt idx="54">
                <c:v>1.35</c:v>
              </c:pt>
              <c:pt idx="55">
                <c:v>1.375</c:v>
              </c:pt>
              <c:pt idx="56">
                <c:v>1.4000000000000001</c:v>
              </c:pt>
              <c:pt idx="57">
                <c:v>1.4249999999999998</c:v>
              </c:pt>
              <c:pt idx="58">
                <c:v>1.45</c:v>
              </c:pt>
              <c:pt idx="59">
                <c:v>1.4749999999999999</c:v>
              </c:pt>
              <c:pt idx="60">
                <c:v>1.5</c:v>
              </c:pt>
              <c:pt idx="61">
                <c:v>1.5249999999999999</c:v>
              </c:pt>
              <c:pt idx="62">
                <c:v>1.55</c:v>
              </c:pt>
              <c:pt idx="63">
                <c:v>1.575</c:v>
              </c:pt>
              <c:pt idx="64">
                <c:v>1.6</c:v>
              </c:pt>
              <c:pt idx="65">
                <c:v>1.625</c:v>
              </c:pt>
              <c:pt idx="66">
                <c:v>1.6500000000000001</c:v>
              </c:pt>
              <c:pt idx="67">
                <c:v>1.675</c:v>
              </c:pt>
              <c:pt idx="68">
                <c:v>1.7000000000000002</c:v>
              </c:pt>
              <c:pt idx="69">
                <c:v>1.7249999999999999</c:v>
              </c:pt>
              <c:pt idx="70">
                <c:v>1.75</c:v>
              </c:pt>
              <c:pt idx="71">
                <c:v>1.7749999999999999</c:v>
              </c:pt>
              <c:pt idx="72">
                <c:v>1.7999999999999998</c:v>
              </c:pt>
              <c:pt idx="73">
                <c:v>1.825</c:v>
              </c:pt>
              <c:pt idx="74">
                <c:v>1.85</c:v>
              </c:pt>
              <c:pt idx="75">
                <c:v>1.875</c:v>
              </c:pt>
              <c:pt idx="76">
                <c:v>1.9</c:v>
              </c:pt>
              <c:pt idx="77">
                <c:v>1.925</c:v>
              </c:pt>
              <c:pt idx="78">
                <c:v>1.9500000000000002</c:v>
              </c:pt>
              <c:pt idx="79">
                <c:v>1.9750000000000001</c:v>
              </c:pt>
              <c:pt idx="80">
                <c:v>2</c:v>
              </c:pt>
              <c:pt idx="81">
                <c:v>2.0250000000000004</c:v>
              </c:pt>
              <c:pt idx="82">
                <c:v>2.0499999999999998</c:v>
              </c:pt>
              <c:pt idx="83">
                <c:v>2.0749999999999997</c:v>
              </c:pt>
              <c:pt idx="84">
                <c:v>2.1</c:v>
              </c:pt>
              <c:pt idx="85">
                <c:v>2.125</c:v>
              </c:pt>
              <c:pt idx="86">
                <c:v>2.15</c:v>
              </c:pt>
              <c:pt idx="87">
                <c:v>2.1749999999999998</c:v>
              </c:pt>
              <c:pt idx="88">
                <c:v>2.2000000000000002</c:v>
              </c:pt>
              <c:pt idx="89">
                <c:v>2.2250000000000001</c:v>
              </c:pt>
              <c:pt idx="90">
                <c:v>2.25</c:v>
              </c:pt>
              <c:pt idx="91">
                <c:v>2.2749999999999999</c:v>
              </c:pt>
              <c:pt idx="92">
                <c:v>2.3000000000000003</c:v>
              </c:pt>
              <c:pt idx="93">
                <c:v>2.3250000000000002</c:v>
              </c:pt>
              <c:pt idx="94">
                <c:v>2.3499999999999996</c:v>
              </c:pt>
              <c:pt idx="95">
                <c:v>2.375</c:v>
              </c:pt>
              <c:pt idx="96">
                <c:v>2.4</c:v>
              </c:pt>
              <c:pt idx="97">
                <c:v>2.4249999999999998</c:v>
              </c:pt>
              <c:pt idx="98">
                <c:v>2.4500000000000002</c:v>
              </c:pt>
              <c:pt idx="99">
                <c:v>2.4750000000000001</c:v>
              </c:pt>
              <c:pt idx="100">
                <c:v>2.5</c:v>
              </c:pt>
              <c:pt idx="101">
                <c:v>2.5249999999999999</c:v>
              </c:pt>
              <c:pt idx="102">
                <c:v>2.5499999999999998</c:v>
              </c:pt>
              <c:pt idx="103">
                <c:v>2.5750000000000002</c:v>
              </c:pt>
              <c:pt idx="104">
                <c:v>2.6</c:v>
              </c:pt>
              <c:pt idx="105">
                <c:v>2.625</c:v>
              </c:pt>
              <c:pt idx="106">
                <c:v>2.6500000000000004</c:v>
              </c:pt>
              <c:pt idx="107">
                <c:v>2.6750000000000003</c:v>
              </c:pt>
              <c:pt idx="108">
                <c:v>2.7</c:v>
              </c:pt>
              <c:pt idx="109">
                <c:v>2.7250000000000001</c:v>
              </c:pt>
              <c:pt idx="110">
                <c:v>2.75</c:v>
              </c:pt>
              <c:pt idx="111">
                <c:v>2.7750000000000004</c:v>
              </c:pt>
              <c:pt idx="112">
                <c:v>2.8000000000000003</c:v>
              </c:pt>
              <c:pt idx="113">
                <c:v>2.8249999999999997</c:v>
              </c:pt>
              <c:pt idx="114">
                <c:v>2.8499999999999996</c:v>
              </c:pt>
              <c:pt idx="115">
                <c:v>2.875</c:v>
              </c:pt>
              <c:pt idx="116">
                <c:v>2.9</c:v>
              </c:pt>
              <c:pt idx="117">
                <c:v>2.9249999999999998</c:v>
              </c:pt>
              <c:pt idx="118">
                <c:v>2.9499999999999997</c:v>
              </c:pt>
              <c:pt idx="119">
                <c:v>2.9749999999999996</c:v>
              </c:pt>
              <c:pt idx="120">
                <c:v>3</c:v>
              </c:pt>
              <c:pt idx="121">
                <c:v>3.0249999999999999</c:v>
              </c:pt>
              <c:pt idx="122">
                <c:v>3.05</c:v>
              </c:pt>
              <c:pt idx="123">
                <c:v>3.0750000000000002</c:v>
              </c:pt>
              <c:pt idx="124">
                <c:v>3.1</c:v>
              </c:pt>
              <c:pt idx="125">
                <c:v>3.125</c:v>
              </c:pt>
              <c:pt idx="126">
                <c:v>3.15</c:v>
              </c:pt>
              <c:pt idx="127">
                <c:v>3.1749999999999998</c:v>
              </c:pt>
              <c:pt idx="128">
                <c:v>3.2</c:v>
              </c:pt>
              <c:pt idx="129">
                <c:v>3.2250000000000001</c:v>
              </c:pt>
              <c:pt idx="130">
                <c:v>3.25</c:v>
              </c:pt>
              <c:pt idx="131">
                <c:v>3.2750000000000004</c:v>
              </c:pt>
              <c:pt idx="132">
                <c:v>3.3000000000000003</c:v>
              </c:pt>
              <c:pt idx="133">
                <c:v>3.3250000000000002</c:v>
              </c:pt>
              <c:pt idx="134">
                <c:v>3.35</c:v>
              </c:pt>
              <c:pt idx="135">
                <c:v>3.375</c:v>
              </c:pt>
              <c:pt idx="136">
                <c:v>3.4000000000000004</c:v>
              </c:pt>
              <c:pt idx="137">
                <c:v>3.4250000000000003</c:v>
              </c:pt>
              <c:pt idx="138">
                <c:v>3.4499999999999997</c:v>
              </c:pt>
              <c:pt idx="139">
                <c:v>3.4749999999999996</c:v>
              </c:pt>
              <c:pt idx="140">
                <c:v>3.5</c:v>
              </c:pt>
              <c:pt idx="141">
                <c:v>3.5249999999999999</c:v>
              </c:pt>
              <c:pt idx="142">
                <c:v>3.55</c:v>
              </c:pt>
              <c:pt idx="143">
                <c:v>3.5749999999999997</c:v>
              </c:pt>
              <c:pt idx="144">
                <c:v>3.5999999999999996</c:v>
              </c:pt>
              <c:pt idx="145">
                <c:v>3.625</c:v>
              </c:pt>
              <c:pt idx="146">
                <c:v>3.65</c:v>
              </c:pt>
              <c:pt idx="147">
                <c:v>3.6749999999999998</c:v>
              </c:pt>
              <c:pt idx="148">
                <c:v>3.7</c:v>
              </c:pt>
              <c:pt idx="149">
                <c:v>3.7250000000000001</c:v>
              </c:pt>
              <c:pt idx="150">
                <c:v>3.75</c:v>
              </c:pt>
              <c:pt idx="151">
                <c:v>3.7749999999999999</c:v>
              </c:pt>
              <c:pt idx="152">
                <c:v>3.8</c:v>
              </c:pt>
              <c:pt idx="153">
                <c:v>3.8250000000000002</c:v>
              </c:pt>
              <c:pt idx="154">
                <c:v>3.85</c:v>
              </c:pt>
              <c:pt idx="155">
                <c:v>3.875</c:v>
              </c:pt>
              <c:pt idx="156">
                <c:v>3.9000000000000004</c:v>
              </c:pt>
              <c:pt idx="157">
                <c:v>3.9250000000000003</c:v>
              </c:pt>
              <c:pt idx="158">
                <c:v>3.95</c:v>
              </c:pt>
              <c:pt idx="159">
                <c:v>3.9750000000000001</c:v>
              </c:pt>
              <c:pt idx="160">
                <c:v>4</c:v>
              </c:pt>
              <c:pt idx="161">
                <c:v>4.0250000000000004</c:v>
              </c:pt>
              <c:pt idx="162">
                <c:v>4.0500000000000007</c:v>
              </c:pt>
              <c:pt idx="163">
                <c:v>4.0749999999999993</c:v>
              </c:pt>
              <c:pt idx="164">
                <c:v>4.0999999999999996</c:v>
              </c:pt>
              <c:pt idx="165">
                <c:v>4.125</c:v>
              </c:pt>
              <c:pt idx="166">
                <c:v>4.1499999999999995</c:v>
              </c:pt>
              <c:pt idx="167">
                <c:v>4.1749999999999998</c:v>
              </c:pt>
              <c:pt idx="168">
                <c:v>4.2</c:v>
              </c:pt>
              <c:pt idx="169">
                <c:v>4.2249999999999996</c:v>
              </c:pt>
              <c:pt idx="170">
                <c:v>4.25</c:v>
              </c:pt>
              <c:pt idx="171">
                <c:v>4.2750000000000004</c:v>
              </c:pt>
              <c:pt idx="172">
                <c:v>4.3</c:v>
              </c:pt>
              <c:pt idx="173">
                <c:v>4.3250000000000002</c:v>
              </c:pt>
              <c:pt idx="174">
                <c:v>4.3499999999999996</c:v>
              </c:pt>
              <c:pt idx="175">
                <c:v>4.375</c:v>
              </c:pt>
              <c:pt idx="176">
                <c:v>4.4000000000000004</c:v>
              </c:pt>
              <c:pt idx="177">
                <c:v>4.4249999999999998</c:v>
              </c:pt>
              <c:pt idx="178">
                <c:v>4.45</c:v>
              </c:pt>
              <c:pt idx="179">
                <c:v>4.4749999999999996</c:v>
              </c:pt>
              <c:pt idx="180">
                <c:v>4.5</c:v>
              </c:pt>
              <c:pt idx="181">
                <c:v>4.5250000000000004</c:v>
              </c:pt>
              <c:pt idx="182">
                <c:v>4.55</c:v>
              </c:pt>
              <c:pt idx="183">
                <c:v>4.5750000000000002</c:v>
              </c:pt>
              <c:pt idx="184">
                <c:v>4.6000000000000005</c:v>
              </c:pt>
              <c:pt idx="185">
                <c:v>4.625</c:v>
              </c:pt>
              <c:pt idx="186">
                <c:v>4.6500000000000004</c:v>
              </c:pt>
              <c:pt idx="187">
                <c:v>4.6750000000000007</c:v>
              </c:pt>
              <c:pt idx="188">
                <c:v>4.6999999999999993</c:v>
              </c:pt>
              <c:pt idx="189">
                <c:v>4.7249999999999996</c:v>
              </c:pt>
              <c:pt idx="190">
                <c:v>4.75</c:v>
              </c:pt>
              <c:pt idx="191">
                <c:v>4.7749999999999995</c:v>
              </c:pt>
              <c:pt idx="192">
                <c:v>4.8</c:v>
              </c:pt>
              <c:pt idx="193">
                <c:v>4.8250000000000002</c:v>
              </c:pt>
              <c:pt idx="194">
                <c:v>4.8499999999999996</c:v>
              </c:pt>
              <c:pt idx="195">
                <c:v>4.875</c:v>
              </c:pt>
              <c:pt idx="196">
                <c:v>4.9000000000000004</c:v>
              </c:pt>
              <c:pt idx="197">
                <c:v>4.9249999999999998</c:v>
              </c:pt>
              <c:pt idx="198">
                <c:v>4.95</c:v>
              </c:pt>
              <c:pt idx="199">
                <c:v>4.9749999999999996</c:v>
              </c:pt>
              <c:pt idx="200">
                <c:v>5</c:v>
              </c:pt>
            </c:numLit>
          </c:cat>
          <c:val>
            <c:numRef>
              <c:f>'Calculations - Dual'!$BX$5:$BX$105</c:f>
              <c:numCache>
                <c:formatCode>0.0</c:formatCode>
                <c:ptCount val="10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numCache>
            </c:numRef>
          </c:val>
          <c:smooth val="0"/>
          <c:extLst>
            <c:ext xmlns:c16="http://schemas.microsoft.com/office/drawing/2014/chart" uri="{C3380CC4-5D6E-409C-BE32-E72D297353CC}">
              <c16:uniqueId val="{00000003-0141-4D02-A9BF-7BCD46D62696}"/>
            </c:ext>
          </c:extLst>
        </c:ser>
        <c:dLbls>
          <c:showLegendKey val="0"/>
          <c:showVal val="0"/>
          <c:showCatName val="0"/>
          <c:showSerName val="0"/>
          <c:showPercent val="0"/>
          <c:showBubbleSize val="0"/>
        </c:dLbls>
        <c:marker val="1"/>
        <c:smooth val="0"/>
        <c:axId val="151354752"/>
        <c:axId val="151352832"/>
      </c:lineChart>
      <c:catAx>
        <c:axId val="151344640"/>
        <c:scaling>
          <c:orientation val="minMax"/>
        </c:scaling>
        <c:delete val="0"/>
        <c:axPos val="b"/>
        <c:majorGridlines>
          <c:spPr>
            <a:ln w="15875">
              <a:solidFill>
                <a:srgbClr val="969696"/>
              </a:solidFill>
              <a:prstDash val="sysDash"/>
            </a:ln>
          </c:spPr>
        </c:majorGridlines>
        <c:minorGridlines/>
        <c:title>
          <c:tx>
            <c:rich>
              <a:bodyPr/>
              <a:lstStyle/>
              <a:p>
                <a:pPr>
                  <a:defRPr sz="1200" b="1" i="0" u="none" strike="noStrike" baseline="0">
                    <a:solidFill>
                      <a:srgbClr val="0000FF"/>
                    </a:solidFill>
                    <a:latin typeface="Arial" pitchFamily="34" charset="0"/>
                    <a:ea typeface="Calibri"/>
                    <a:cs typeface="Arial" pitchFamily="34" charset="0"/>
                  </a:defRPr>
                </a:pPr>
                <a:r>
                  <a:rPr lang="en-US" sz="1200">
                    <a:solidFill>
                      <a:srgbClr val="0000FF"/>
                    </a:solidFill>
                    <a:latin typeface="Arial" pitchFamily="34" charset="0"/>
                    <a:cs typeface="Arial" pitchFamily="34" charset="0"/>
                  </a:rPr>
                  <a:t>%</a:t>
                </a:r>
                <a:r>
                  <a:rPr lang="en-US" sz="1200" baseline="0">
                    <a:solidFill>
                      <a:srgbClr val="0000FF"/>
                    </a:solidFill>
                    <a:latin typeface="Arial" pitchFamily="34" charset="0"/>
                    <a:cs typeface="Arial" pitchFamily="34" charset="0"/>
                  </a:rPr>
                  <a:t> Total Rated Output Power</a:t>
                </a:r>
                <a:endParaRPr lang="en-US" sz="1200">
                  <a:solidFill>
                    <a:srgbClr val="0000FF"/>
                  </a:solidFill>
                  <a:latin typeface="Arial" pitchFamily="34" charset="0"/>
                  <a:cs typeface="Arial" pitchFamily="34" charset="0"/>
                </a:endParaRPr>
              </a:p>
            </c:rich>
          </c:tx>
          <c:layout>
            <c:manualLayout>
              <c:xMode val="edge"/>
              <c:yMode val="edge"/>
              <c:x val="0.37236214410842988"/>
              <c:y val="0.9410299506954154"/>
            </c:manualLayout>
          </c:layout>
          <c:overlay val="0"/>
          <c:spPr>
            <a:noFill/>
            <a:ln w="25400">
              <a:noFill/>
            </a:ln>
          </c:spPr>
        </c:title>
        <c:numFmt formatCode="General" sourceLinked="1"/>
        <c:majorTickMark val="in"/>
        <c:minorTickMark val="in"/>
        <c:tickLblPos val="nextTo"/>
        <c:spPr>
          <a:ln w="3175">
            <a:solidFill>
              <a:srgbClr val="000000"/>
            </a:solidFill>
            <a:prstDash val="solid"/>
          </a:ln>
        </c:spPr>
        <c:txPr>
          <a:bodyPr rot="0" vert="horz"/>
          <a:lstStyle/>
          <a:p>
            <a:pPr>
              <a:defRPr sz="1100" b="1" i="0" u="none" strike="noStrike" baseline="0">
                <a:solidFill>
                  <a:srgbClr val="0000FF"/>
                </a:solidFill>
                <a:latin typeface="Arial" pitchFamily="34" charset="0"/>
                <a:ea typeface="Calibri"/>
                <a:cs typeface="Arial" pitchFamily="34" charset="0"/>
              </a:defRPr>
            </a:pPr>
            <a:endParaRPr lang="en-US"/>
          </a:p>
        </c:txPr>
        <c:crossAx val="151346560"/>
        <c:crosses val="autoZero"/>
        <c:auto val="1"/>
        <c:lblAlgn val="ctr"/>
        <c:lblOffset val="100"/>
        <c:tickLblSkip val="20"/>
        <c:tickMarkSkip val="20"/>
        <c:noMultiLvlLbl val="0"/>
      </c:catAx>
      <c:valAx>
        <c:axId val="151346560"/>
        <c:scaling>
          <c:orientation val="minMax"/>
          <c:max val="100"/>
          <c:min val="55"/>
        </c:scaling>
        <c:delete val="0"/>
        <c:axPos val="l"/>
        <c:majorGridlines>
          <c:spPr>
            <a:ln w="15875">
              <a:solidFill>
                <a:srgbClr val="808080"/>
              </a:solidFill>
              <a:prstDash val="solid"/>
            </a:ln>
          </c:spPr>
        </c:majorGridlines>
        <c:title>
          <c:tx>
            <c:rich>
              <a:bodyPr/>
              <a:lstStyle/>
              <a:p>
                <a:pPr>
                  <a:defRPr sz="1400" b="1" i="0" u="none" strike="noStrike" baseline="0">
                    <a:solidFill>
                      <a:srgbClr val="FF0000"/>
                    </a:solidFill>
                    <a:latin typeface="Arial" pitchFamily="34" charset="0"/>
                    <a:ea typeface="Calibri"/>
                    <a:cs typeface="Arial" pitchFamily="34" charset="0"/>
                  </a:defRPr>
                </a:pPr>
                <a:r>
                  <a:rPr lang="en-US" sz="1200" b="1">
                    <a:solidFill>
                      <a:srgbClr val="FF0000"/>
                    </a:solidFill>
                    <a:latin typeface="Arial" pitchFamily="34" charset="0"/>
                    <a:cs typeface="Arial" pitchFamily="34" charset="0"/>
                  </a:rPr>
                  <a:t>Efficiency  (%)</a:t>
                </a:r>
              </a:p>
            </c:rich>
          </c:tx>
          <c:layout>
            <c:manualLayout>
              <c:xMode val="edge"/>
              <c:yMode val="edge"/>
              <c:x val="1.2871858674081443E-2"/>
              <c:y val="0.37638177915688309"/>
            </c:manualLayout>
          </c:layout>
          <c:overlay val="0"/>
          <c:spPr>
            <a:noFill/>
            <a:ln w="25400">
              <a:noFill/>
            </a:ln>
          </c:spPr>
        </c:title>
        <c:numFmt formatCode="General" sourceLinked="0"/>
        <c:majorTickMark val="in"/>
        <c:minorTickMark val="in"/>
        <c:tickLblPos val="nextTo"/>
        <c:spPr>
          <a:ln w="3175">
            <a:solidFill>
              <a:srgbClr val="000000"/>
            </a:solidFill>
            <a:prstDash val="solid"/>
          </a:ln>
        </c:spPr>
        <c:txPr>
          <a:bodyPr rot="0" vert="horz"/>
          <a:lstStyle/>
          <a:p>
            <a:pPr>
              <a:defRPr sz="1100" b="1" i="0" u="none" strike="noStrike" baseline="0">
                <a:solidFill>
                  <a:srgbClr val="FF0000"/>
                </a:solidFill>
                <a:latin typeface="Arial" pitchFamily="34" charset="0"/>
                <a:ea typeface="Calibri"/>
                <a:cs typeface="Arial" pitchFamily="34" charset="0"/>
              </a:defRPr>
            </a:pPr>
            <a:endParaRPr lang="en-US"/>
          </a:p>
        </c:txPr>
        <c:crossAx val="151344640"/>
        <c:crossesAt val="0"/>
        <c:crossBetween val="between"/>
        <c:majorUnit val="5"/>
        <c:minorUnit val="2.5"/>
      </c:valAx>
      <c:valAx>
        <c:axId val="151352832"/>
        <c:scaling>
          <c:orientation val="minMax"/>
        </c:scaling>
        <c:delete val="0"/>
        <c:axPos val="r"/>
        <c:title>
          <c:tx>
            <c:rich>
              <a:bodyPr rot="-5400000" vert="horz"/>
              <a:lstStyle/>
              <a:p>
                <a:pPr>
                  <a:defRPr sz="1200" b="1"/>
                </a:pPr>
                <a:r>
                  <a:rPr lang="en-US" sz="1200" b="1"/>
                  <a:t>Power Loss (mW)</a:t>
                </a:r>
              </a:p>
            </c:rich>
          </c:tx>
          <c:layout>
            <c:manualLayout>
              <c:xMode val="edge"/>
              <c:yMode val="edge"/>
              <c:x val="0.95168474305601269"/>
              <c:y val="0.38117714045368295"/>
            </c:manualLayout>
          </c:layout>
          <c:overlay val="0"/>
        </c:title>
        <c:numFmt formatCode="General" sourceLinked="0"/>
        <c:majorTickMark val="out"/>
        <c:minorTickMark val="none"/>
        <c:tickLblPos val="nextTo"/>
        <c:txPr>
          <a:bodyPr/>
          <a:lstStyle/>
          <a:p>
            <a:pPr>
              <a:defRPr sz="1100" b="1">
                <a:solidFill>
                  <a:sysClr val="windowText" lastClr="000000"/>
                </a:solidFill>
              </a:defRPr>
            </a:pPr>
            <a:endParaRPr lang="en-US"/>
          </a:p>
        </c:txPr>
        <c:crossAx val="151354752"/>
        <c:crosses val="max"/>
        <c:crossBetween val="between"/>
      </c:valAx>
      <c:catAx>
        <c:axId val="151354752"/>
        <c:scaling>
          <c:orientation val="minMax"/>
        </c:scaling>
        <c:delete val="1"/>
        <c:axPos val="b"/>
        <c:numFmt formatCode="General" sourceLinked="1"/>
        <c:majorTickMark val="out"/>
        <c:minorTickMark val="none"/>
        <c:tickLblPos val="nextTo"/>
        <c:crossAx val="151352832"/>
        <c:crosses val="autoZero"/>
        <c:auto val="1"/>
        <c:lblAlgn val="ctr"/>
        <c:lblOffset val="100"/>
        <c:noMultiLvlLbl val="0"/>
      </c:catAx>
      <c:spPr>
        <a:noFill/>
        <a:ln w="25400">
          <a:noFill/>
        </a:ln>
      </c:spPr>
    </c:plotArea>
    <c:legend>
      <c:legendPos val="t"/>
      <c:layout>
        <c:manualLayout>
          <c:xMode val="edge"/>
          <c:yMode val="edge"/>
          <c:x val="0.40102557566231317"/>
          <c:y val="1.1892633038167682E-2"/>
          <c:w val="0.50550962619267337"/>
          <c:h val="8.9795049320617604E-2"/>
        </c:manualLayout>
      </c:layout>
      <c:overlay val="0"/>
      <c:spPr>
        <a:solidFill>
          <a:srgbClr val="FFFFFF"/>
        </a:solidFill>
        <a:ln w="25400">
          <a:noFill/>
        </a:ln>
      </c:spPr>
      <c:txPr>
        <a:bodyPr/>
        <a:lstStyle/>
        <a:p>
          <a:pPr>
            <a:defRPr sz="1100" b="0" i="0" u="none" strike="noStrike" baseline="0">
              <a:solidFill>
                <a:srgbClr val="000000"/>
              </a:solidFill>
              <a:latin typeface="Arial" pitchFamily="34" charset="0"/>
              <a:ea typeface="Calibri"/>
              <a:cs typeface="Arial" pitchFamily="34" charset="0"/>
            </a:defRPr>
          </a:pPr>
          <a:endParaRPr lang="en-US"/>
        </a:p>
      </c:txPr>
    </c:legend>
    <c:plotVisOnly val="1"/>
    <c:dispBlanksAs val="gap"/>
    <c:showDLblsOverMax val="0"/>
  </c:chart>
  <c:spPr>
    <a:solidFill>
      <a:srgbClr val="FFFFFF"/>
    </a:solidFill>
    <a:ln w="9525">
      <a:solidFill>
        <a:srgbClr val="808080"/>
      </a:solidFill>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0000000000006" r="0.750000000000006" t="1" header="0.5" footer="0.5"/>
    <c:pageSetup paperSize="5"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280746883383756E-2"/>
          <c:y val="0.12133523343001466"/>
          <c:w val="0.86047278973849184"/>
          <c:h val="0.7558980268938309"/>
        </c:manualLayout>
      </c:layout>
      <c:lineChart>
        <c:grouping val="standard"/>
        <c:varyColors val="0"/>
        <c:ser>
          <c:idx val="1"/>
          <c:order val="0"/>
          <c:tx>
            <c:v>VIN-min</c:v>
          </c:tx>
          <c:spPr>
            <a:ln>
              <a:solidFill>
                <a:srgbClr val="00B050"/>
              </a:solidFill>
              <a:prstDash val="sysDash"/>
            </a:ln>
          </c:spPr>
          <c:marker>
            <c:symbol val="none"/>
          </c:marker>
          <c:val>
            <c:numRef>
              <c:f>'Calculations - Single'!$AJ$110:$AJ$210</c:f>
              <c:numCache>
                <c:formatCode>0.000</c:formatCode>
                <c:ptCount val="101"/>
                <c:pt idx="0">
                  <c:v>0.82</c:v>
                </c:pt>
                <c:pt idx="1">
                  <c:v>0.82</c:v>
                </c:pt>
                <c:pt idx="2">
                  <c:v>0.82</c:v>
                </c:pt>
                <c:pt idx="3">
                  <c:v>0.82</c:v>
                </c:pt>
                <c:pt idx="4">
                  <c:v>0.82</c:v>
                </c:pt>
                <c:pt idx="5">
                  <c:v>0.82</c:v>
                </c:pt>
                <c:pt idx="6">
                  <c:v>0.88248258351317155</c:v>
                </c:pt>
                <c:pt idx="7">
                  <c:v>0.9531901324349874</c:v>
                </c:pt>
                <c:pt idx="8">
                  <c:v>1.0190031142929721</c:v>
                </c:pt>
                <c:pt idx="9">
                  <c:v>1.0808160182501565</c:v>
                </c:pt>
                <c:pt idx="10">
                  <c:v>1.1392801164215365</c:v>
                </c:pt>
                <c:pt idx="11">
                  <c:v>1.1948870666472278</c:v>
                </c:pt>
                <c:pt idx="12">
                  <c:v>1.2480188381623747</c:v>
                </c:pt>
                <c:pt idx="13">
                  <c:v>1.2989791910479207</c:v>
                </c:pt>
                <c:pt idx="14">
                  <c:v>1.3480144128097657</c:v>
                </c:pt>
                <c:pt idx="15">
                  <c:v>1.3953274796656892</c:v>
                </c:pt>
                <c:pt idx="16">
                  <c:v>1.441088024333542</c:v>
                </c:pt>
                <c:pt idx="17">
                  <c:v>1.485439535034967</c:v>
                </c:pt>
                <c:pt idx="18">
                  <c:v>1.5285046714394579</c:v>
                </c:pt>
                <c:pt idx="19">
                  <c:v>1.5703892667041484</c:v>
                </c:pt>
                <c:pt idx="20">
                  <c:v>1.6111853919853356</c:v>
                </c:pt>
                <c:pt idx="21">
                  <c:v>1.6509737386507051</c:v>
                </c:pt>
                <c:pt idx="22">
                  <c:v>1.6898254951567138</c:v>
                </c:pt>
                <c:pt idx="23">
                  <c:v>1.7278038437418122</c:v>
                </c:pt>
                <c:pt idx="24">
                  <c:v>1.7649651670263431</c:v>
                </c:pt>
                <c:pt idx="25">
                  <c:v>1.8013600304169275</c:v>
                </c:pt>
                <c:pt idx="26">
                  <c:v>1.8370339892204013</c:v>
                </c:pt>
                <c:pt idx="27">
                  <c:v>1.8720282572435623</c:v>
                </c:pt>
                <c:pt idx="28">
                  <c:v>1.9063802648699748</c:v>
                </c:pt>
                <c:pt idx="29">
                  <c:v>1.9401241281559956</c:v>
                </c:pt>
                <c:pt idx="30">
                  <c:v>1.9732910456950867</c:v>
                </c:pt>
                <c:pt idx="31">
                  <c:v>2.0059096363963547</c:v>
                </c:pt>
                <c:pt idx="32">
                  <c:v>2.0380062285859442</c:v>
                </c:pt>
                <c:pt idx="33">
                  <c:v>2.0696051087399381</c:v>
                </c:pt>
                <c:pt idx="34">
                  <c:v>2.1007287365316345</c:v>
                </c:pt>
                <c:pt idx="35">
                  <c:v>2.1313979316066587</c:v>
                </c:pt>
                <c:pt idx="36">
                  <c:v>2.161632036500313</c:v>
                </c:pt>
                <c:pt idx="37">
                  <c:v>2.1914490593193898</c:v>
                </c:pt>
                <c:pt idx="38">
                  <c:v>2.2208657991781462</c:v>
                </c:pt>
                <c:pt idx="39">
                  <c:v>2.2498979568697184</c:v>
                </c:pt>
                <c:pt idx="40">
                  <c:v>2.278560232843073</c:v>
                </c:pt>
                <c:pt idx="41">
                  <c:v>2.3068664142210804</c:v>
                </c:pt>
                <c:pt idx="42">
                  <c:v>2.3348294523216406</c:v>
                </c:pt>
                <c:pt idx="43">
                  <c:v>2.3624615319187567</c:v>
                </c:pt>
                <c:pt idx="44">
                  <c:v>2.3897741332944555</c:v>
                </c:pt>
                <c:pt idx="45">
                  <c:v>2.4167780879780034</c:v>
                </c:pt>
                <c:pt idx="46">
                  <c:v>2.4434836289400348</c:v>
                </c:pt>
                <c:pt idx="47">
                  <c:v>2.4699004359012746</c:v>
                </c:pt>
                <c:pt idx="48">
                  <c:v>2.4960376763247494</c:v>
                </c:pt>
                <c:pt idx="49">
                  <c:v>2.5219040425836985</c:v>
                </c:pt>
                <c:pt idx="50">
                  <c:v>2.5475077857324302</c:v>
                </c:pt>
                <c:pt idx="51">
                  <c:v>2.572856746252052</c:v>
                </c:pt>
                <c:pt idx="52">
                  <c:v>2.5979583820958414</c:v>
                </c:pt>
                <c:pt idx="53">
                  <c:v>2.6228197943185858</c:v>
                </c:pt>
                <c:pt idx="54">
                  <c:v>2.6474477505395146</c:v>
                </c:pt>
                <c:pt idx="55">
                  <c:v>2.6718487064585235</c:v>
                </c:pt>
                <c:pt idx="56">
                  <c:v>2.6960288256195315</c:v>
                </c:pt>
                <c:pt idx="57">
                  <c:v>2.7199939975924168</c:v>
                </c:pt>
                <c:pt idx="58">
                  <c:v>2.7437498547254857</c:v>
                </c:pt>
                <c:pt idx="59">
                  <c:v>2.7673017876034898</c:v>
                </c:pt>
                <c:pt idx="60">
                  <c:v>2.7906549593313783</c:v>
                </c:pt>
                <c:pt idx="61">
                  <c:v>2.8138143187510019</c:v>
                </c:pt>
                <c:pt idx="62">
                  <c:v>2.8367846126866088</c:v>
                </c:pt>
                <c:pt idx="63">
                  <c:v>2.8595703973049624</c:v>
                </c:pt>
                <c:pt idx="64">
                  <c:v>2.882176048667084</c:v>
                </c:pt>
                <c:pt idx="65">
                  <c:v>2.9046057725408372</c:v>
                </c:pt>
                <c:pt idx="66">
                  <c:v>2.9268636135366641</c:v>
                </c:pt>
                <c:pt idx="67">
                  <c:v>2.9489534636226877</c:v>
                </c:pt>
                <c:pt idx="68">
                  <c:v>2.9708790700699339</c:v>
                </c:pt>
                <c:pt idx="69">
                  <c:v>2.9926440428736161</c:v>
                </c:pt>
                <c:pt idx="70">
                  <c:v>3.0142518616920992</c:v>
                </c:pt>
                <c:pt idx="71">
                  <c:v>3.0357058823413103</c:v>
                </c:pt>
                <c:pt idx="72">
                  <c:v>3.0570093428789158</c:v>
                </c:pt>
                <c:pt idx="73">
                  <c:v>3.0781653693095059</c:v>
                </c:pt>
                <c:pt idx="74">
                  <c:v>3.0991769809392422</c:v>
                </c:pt>
                <c:pt idx="75">
                  <c:v>3.1200470954059365</c:v>
                </c:pt>
                <c:pt idx="76">
                  <c:v>3.1407785334082967</c:v>
                </c:pt>
                <c:pt idx="77">
                  <c:v>3.1613740231560259</c:v>
                </c:pt>
                <c:pt idx="78">
                  <c:v>3.1818362045606725</c:v>
                </c:pt>
                <c:pt idx="79">
                  <c:v>3.202167633185435</c:v>
                </c:pt>
                <c:pt idx="80">
                  <c:v>3.2223707839706712</c:v>
                </c:pt>
                <c:pt idx="81">
                  <c:v>3.2424480547504699</c:v>
                </c:pt>
                <c:pt idx="82">
                  <c:v>3.2436279377689505</c:v>
                </c:pt>
                <c:pt idx="83">
                  <c:v>3.2831843760344257</c:v>
                </c:pt>
                <c:pt idx="84">
                  <c:v>3.3227408142999009</c:v>
                </c:pt>
                <c:pt idx="85">
                  <c:v>3.362297252565376</c:v>
                </c:pt>
                <c:pt idx="86">
                  <c:v>3.4018536908308512</c:v>
                </c:pt>
                <c:pt idx="87">
                  <c:v>3.4414101290963264</c:v>
                </c:pt>
                <c:pt idx="88">
                  <c:v>3.4809665673618007</c:v>
                </c:pt>
                <c:pt idx="89">
                  <c:v>3.5205230056272758</c:v>
                </c:pt>
                <c:pt idx="90">
                  <c:v>3.560079443892751</c:v>
                </c:pt>
                <c:pt idx="91">
                  <c:v>3.5996358821582262</c:v>
                </c:pt>
                <c:pt idx="92">
                  <c:v>3.6391923204237013</c:v>
                </c:pt>
                <c:pt idx="93">
                  <c:v>3.6787487586891765</c:v>
                </c:pt>
                <c:pt idx="94">
                  <c:v>3.7183051969546512</c:v>
                </c:pt>
                <c:pt idx="95">
                  <c:v>3.757861635220126</c:v>
                </c:pt>
                <c:pt idx="96">
                  <c:v>3.7974180734856007</c:v>
                </c:pt>
                <c:pt idx="97">
                  <c:v>3.8369745117510758</c:v>
                </c:pt>
                <c:pt idx="98">
                  <c:v>3.876530950016551</c:v>
                </c:pt>
                <c:pt idx="99">
                  <c:v>3.9160873882820262</c:v>
                </c:pt>
                <c:pt idx="100">
                  <c:v>3.9556438265475014</c:v>
                </c:pt>
              </c:numCache>
            </c:numRef>
          </c:val>
          <c:smooth val="0"/>
          <c:extLst>
            <c:ext xmlns:c16="http://schemas.microsoft.com/office/drawing/2014/chart" uri="{C3380CC4-5D6E-409C-BE32-E72D297353CC}">
              <c16:uniqueId val="{00000000-E0E1-4CD5-B8B0-FEF4BCC1AE12}"/>
            </c:ext>
          </c:extLst>
        </c:ser>
        <c:ser>
          <c:idx val="0"/>
          <c:order val="1"/>
          <c:tx>
            <c:v>VIN-nom</c:v>
          </c:tx>
          <c:spPr>
            <a:ln w="28575">
              <a:solidFill>
                <a:srgbClr val="0000FF"/>
              </a:solidFill>
              <a:prstDash val="lgDash"/>
            </a:ln>
          </c:spPr>
          <c:marker>
            <c:symbol val="none"/>
          </c:marker>
          <c:cat>
            <c:numRef>
              <c:f>'Calculations - Single'!$AM$5:$AM$105</c:f>
              <c:numCache>
                <c:formatCode>0</c:formatCode>
                <c:ptCount val="101"/>
                <c:pt idx="0">
                  <c:v>1.0000000000000002E-6</c:v>
                </c:pt>
                <c:pt idx="1">
                  <c:v>10</c:v>
                </c:pt>
                <c:pt idx="2">
                  <c:v>20</c:v>
                </c:pt>
                <c:pt idx="3">
                  <c:v>30</c:v>
                </c:pt>
                <c:pt idx="4">
                  <c:v>40</c:v>
                </c:pt>
                <c:pt idx="5">
                  <c:v>50</c:v>
                </c:pt>
                <c:pt idx="6">
                  <c:v>60</c:v>
                </c:pt>
                <c:pt idx="7">
                  <c:v>70</c:v>
                </c:pt>
                <c:pt idx="8">
                  <c:v>80</c:v>
                </c:pt>
                <c:pt idx="9">
                  <c:v>90</c:v>
                </c:pt>
                <c:pt idx="10">
                  <c:v>100</c:v>
                </c:pt>
                <c:pt idx="11">
                  <c:v>110</c:v>
                </c:pt>
                <c:pt idx="12">
                  <c:v>120</c:v>
                </c:pt>
                <c:pt idx="13">
                  <c:v>130</c:v>
                </c:pt>
                <c:pt idx="14">
                  <c:v>140</c:v>
                </c:pt>
                <c:pt idx="15">
                  <c:v>150</c:v>
                </c:pt>
                <c:pt idx="16">
                  <c:v>160</c:v>
                </c:pt>
                <c:pt idx="17">
                  <c:v>170</c:v>
                </c:pt>
                <c:pt idx="18">
                  <c:v>180</c:v>
                </c:pt>
                <c:pt idx="19">
                  <c:v>190</c:v>
                </c:pt>
                <c:pt idx="20">
                  <c:v>200</c:v>
                </c:pt>
                <c:pt idx="21">
                  <c:v>210</c:v>
                </c:pt>
                <c:pt idx="22">
                  <c:v>220</c:v>
                </c:pt>
                <c:pt idx="23">
                  <c:v>230</c:v>
                </c:pt>
                <c:pt idx="24">
                  <c:v>240</c:v>
                </c:pt>
                <c:pt idx="25">
                  <c:v>250</c:v>
                </c:pt>
                <c:pt idx="26">
                  <c:v>260</c:v>
                </c:pt>
                <c:pt idx="27">
                  <c:v>270</c:v>
                </c:pt>
                <c:pt idx="28">
                  <c:v>280</c:v>
                </c:pt>
                <c:pt idx="29">
                  <c:v>290</c:v>
                </c:pt>
                <c:pt idx="30">
                  <c:v>300</c:v>
                </c:pt>
                <c:pt idx="31">
                  <c:v>310</c:v>
                </c:pt>
                <c:pt idx="32">
                  <c:v>320</c:v>
                </c:pt>
                <c:pt idx="33">
                  <c:v>330</c:v>
                </c:pt>
                <c:pt idx="34">
                  <c:v>340</c:v>
                </c:pt>
                <c:pt idx="35">
                  <c:v>350</c:v>
                </c:pt>
                <c:pt idx="36">
                  <c:v>360</c:v>
                </c:pt>
                <c:pt idx="37">
                  <c:v>370</c:v>
                </c:pt>
                <c:pt idx="38">
                  <c:v>380</c:v>
                </c:pt>
                <c:pt idx="39">
                  <c:v>390</c:v>
                </c:pt>
                <c:pt idx="40">
                  <c:v>400</c:v>
                </c:pt>
                <c:pt idx="41">
                  <c:v>410</c:v>
                </c:pt>
                <c:pt idx="42">
                  <c:v>420</c:v>
                </c:pt>
                <c:pt idx="43">
                  <c:v>430</c:v>
                </c:pt>
                <c:pt idx="44">
                  <c:v>440</c:v>
                </c:pt>
                <c:pt idx="45">
                  <c:v>450</c:v>
                </c:pt>
                <c:pt idx="46">
                  <c:v>460</c:v>
                </c:pt>
                <c:pt idx="47">
                  <c:v>470</c:v>
                </c:pt>
                <c:pt idx="48">
                  <c:v>480</c:v>
                </c:pt>
                <c:pt idx="49">
                  <c:v>490</c:v>
                </c:pt>
                <c:pt idx="50">
                  <c:v>500</c:v>
                </c:pt>
                <c:pt idx="51">
                  <c:v>510</c:v>
                </c:pt>
                <c:pt idx="52">
                  <c:v>520</c:v>
                </c:pt>
                <c:pt idx="53">
                  <c:v>530</c:v>
                </c:pt>
                <c:pt idx="54">
                  <c:v>540</c:v>
                </c:pt>
                <c:pt idx="55">
                  <c:v>550</c:v>
                </c:pt>
                <c:pt idx="56">
                  <c:v>560</c:v>
                </c:pt>
                <c:pt idx="57">
                  <c:v>570</c:v>
                </c:pt>
                <c:pt idx="58">
                  <c:v>580</c:v>
                </c:pt>
                <c:pt idx="59">
                  <c:v>590</c:v>
                </c:pt>
                <c:pt idx="60">
                  <c:v>600</c:v>
                </c:pt>
                <c:pt idx="61">
                  <c:v>610</c:v>
                </c:pt>
                <c:pt idx="62">
                  <c:v>620</c:v>
                </c:pt>
                <c:pt idx="63">
                  <c:v>630</c:v>
                </c:pt>
                <c:pt idx="64">
                  <c:v>640</c:v>
                </c:pt>
                <c:pt idx="65">
                  <c:v>650</c:v>
                </c:pt>
                <c:pt idx="66">
                  <c:v>660</c:v>
                </c:pt>
                <c:pt idx="67">
                  <c:v>670</c:v>
                </c:pt>
                <c:pt idx="68">
                  <c:v>680</c:v>
                </c:pt>
                <c:pt idx="69">
                  <c:v>690</c:v>
                </c:pt>
                <c:pt idx="70">
                  <c:v>700</c:v>
                </c:pt>
                <c:pt idx="71">
                  <c:v>710</c:v>
                </c:pt>
                <c:pt idx="72">
                  <c:v>720</c:v>
                </c:pt>
                <c:pt idx="73">
                  <c:v>730</c:v>
                </c:pt>
                <c:pt idx="74">
                  <c:v>740</c:v>
                </c:pt>
                <c:pt idx="75">
                  <c:v>750</c:v>
                </c:pt>
                <c:pt idx="76">
                  <c:v>760</c:v>
                </c:pt>
                <c:pt idx="77">
                  <c:v>770</c:v>
                </c:pt>
                <c:pt idx="78">
                  <c:v>780</c:v>
                </c:pt>
                <c:pt idx="79">
                  <c:v>790</c:v>
                </c:pt>
                <c:pt idx="80">
                  <c:v>800</c:v>
                </c:pt>
                <c:pt idx="81">
                  <c:v>810</c:v>
                </c:pt>
                <c:pt idx="82">
                  <c:v>820</c:v>
                </c:pt>
                <c:pt idx="83">
                  <c:v>830</c:v>
                </c:pt>
                <c:pt idx="84">
                  <c:v>840</c:v>
                </c:pt>
                <c:pt idx="85">
                  <c:v>850</c:v>
                </c:pt>
                <c:pt idx="86">
                  <c:v>860</c:v>
                </c:pt>
                <c:pt idx="87">
                  <c:v>870</c:v>
                </c:pt>
                <c:pt idx="88">
                  <c:v>880</c:v>
                </c:pt>
                <c:pt idx="89">
                  <c:v>890</c:v>
                </c:pt>
                <c:pt idx="90">
                  <c:v>900</c:v>
                </c:pt>
                <c:pt idx="91">
                  <c:v>910</c:v>
                </c:pt>
                <c:pt idx="92">
                  <c:v>920</c:v>
                </c:pt>
                <c:pt idx="93">
                  <c:v>930</c:v>
                </c:pt>
                <c:pt idx="94">
                  <c:v>940</c:v>
                </c:pt>
                <c:pt idx="95">
                  <c:v>950</c:v>
                </c:pt>
                <c:pt idx="96">
                  <c:v>960</c:v>
                </c:pt>
                <c:pt idx="97">
                  <c:v>970</c:v>
                </c:pt>
                <c:pt idx="98">
                  <c:v>980</c:v>
                </c:pt>
                <c:pt idx="99">
                  <c:v>990</c:v>
                </c:pt>
                <c:pt idx="100">
                  <c:v>1000</c:v>
                </c:pt>
              </c:numCache>
            </c:numRef>
          </c:cat>
          <c:val>
            <c:numRef>
              <c:f>'Calculations - Single'!$AJ$5:$AJ$105</c:f>
              <c:numCache>
                <c:formatCode>0.000</c:formatCode>
                <c:ptCount val="101"/>
                <c:pt idx="0">
                  <c:v>0.82</c:v>
                </c:pt>
                <c:pt idx="1">
                  <c:v>0.82</c:v>
                </c:pt>
                <c:pt idx="2">
                  <c:v>0.82</c:v>
                </c:pt>
                <c:pt idx="3">
                  <c:v>0.82</c:v>
                </c:pt>
                <c:pt idx="4">
                  <c:v>0.82</c:v>
                </c:pt>
                <c:pt idx="5">
                  <c:v>0.82652066668639379</c:v>
                </c:pt>
                <c:pt idx="6">
                  <c:v>0.90540802677669319</c:v>
                </c:pt>
                <c:pt idx="7">
                  <c:v>0.97795244129947823</c:v>
                </c:pt>
                <c:pt idx="8">
                  <c:v>1.0454751359719434</c:v>
                </c:pt>
                <c:pt idx="9">
                  <c:v>1.1088938373115336</c:v>
                </c:pt>
                <c:pt idx="10">
                  <c:v>1.1688767364095505</c:v>
                </c:pt>
                <c:pt idx="11">
                  <c:v>1.2259282635665865</c:v>
                </c:pt>
                <c:pt idx="12">
                  <c:v>1.2804403109490619</c:v>
                </c:pt>
                <c:pt idx="13">
                  <c:v>1.3327245298242523</c:v>
                </c:pt>
                <c:pt idx="14">
                  <c:v>1.3830336058416002</c:v>
                </c:pt>
                <c:pt idx="15">
                  <c:v>1.4315757882065352</c:v>
                </c:pt>
                <c:pt idx="16">
                  <c:v>1.4785251164153781</c:v>
                </c:pt>
                <c:pt idx="17">
                  <c:v>1.5240288062773129</c:v>
                </c:pt>
                <c:pt idx="18">
                  <c:v>1.568212703957915</c:v>
                </c:pt>
                <c:pt idx="19">
                  <c:v>1.6111853919853356</c:v>
                </c:pt>
                <c:pt idx="20">
                  <c:v>1.6530413333727876</c:v>
                </c:pt>
                <c:pt idx="21">
                  <c:v>1.6938633157167162</c:v>
                </c:pt>
                <c:pt idx="22">
                  <c:v>1.7337243768323649</c:v>
                </c:pt>
                <c:pt idx="23">
                  <c:v>1.7726893403286197</c:v>
                </c:pt>
                <c:pt idx="24">
                  <c:v>1.8108160535533864</c:v>
                </c:pt>
                <c:pt idx="25">
                  <c:v>1.8481563955192224</c:v>
                </c:pt>
                <c:pt idx="26">
                  <c:v>1.884757104984764</c:v>
                </c:pt>
                <c:pt idx="27">
                  <c:v>1.9206604664235929</c:v>
                </c:pt>
                <c:pt idx="28">
                  <c:v>1.9559048825989565</c:v>
                </c:pt>
                <c:pt idx="29">
                  <c:v>1.9905253558461347</c:v>
                </c:pt>
                <c:pt idx="30">
                  <c:v>2.0245538952466355</c:v>
                </c:pt>
                <c:pt idx="31">
                  <c:v>2.0580198631816629</c:v>
                </c:pt>
                <c:pt idx="32">
                  <c:v>2.0909502719438868</c:v>
                </c:pt>
                <c:pt idx="33">
                  <c:v>2.1233700389320176</c:v>
                </c:pt>
                <c:pt idx="34">
                  <c:v>2.1553022072846542</c:v>
                </c:pt>
                <c:pt idx="35">
                  <c:v>2.1867681375075056</c:v>
                </c:pt>
                <c:pt idx="36">
                  <c:v>2.2177876746230671</c:v>
                </c:pt>
                <c:pt idx="37">
                  <c:v>2.2483792945590686</c:v>
                </c:pt>
                <c:pt idx="38">
                  <c:v>2.278560232843073</c:v>
                </c:pt>
                <c:pt idx="39">
                  <c:v>2.3083465981489488</c:v>
                </c:pt>
                <c:pt idx="40">
                  <c:v>2.337753472819101</c:v>
                </c:pt>
                <c:pt idx="41">
                  <c:v>2.3667950021431325</c:v>
                </c:pt>
                <c:pt idx="42">
                  <c:v>2.3954844738928398</c:v>
                </c:pt>
                <c:pt idx="43">
                  <c:v>2.4238343893825749</c:v>
                </c:pt>
                <c:pt idx="44">
                  <c:v>2.4518565271331729</c:v>
                </c:pt>
                <c:pt idx="45">
                  <c:v>2.4795620000591816</c:v>
                </c:pt>
                <c:pt idx="46">
                  <c:v>2.5069613069669492</c:v>
                </c:pt>
                <c:pt idx="47">
                  <c:v>2.5340643790403936</c:v>
                </c:pt>
                <c:pt idx="48">
                  <c:v>2.5608806218981237</c:v>
                </c:pt>
                <c:pt idx="49">
                  <c:v>2.5874189537269117</c:v>
                </c:pt>
                <c:pt idx="50">
                  <c:v>2.6136878399298582</c:v>
                </c:pt>
                <c:pt idx="51">
                  <c:v>2.6396953246708517</c:v>
                </c:pt>
                <c:pt idx="52">
                  <c:v>2.6654490596485045</c:v>
                </c:pt>
                <c:pt idx="53">
                  <c:v>2.6909563303913058</c:v>
                </c:pt>
                <c:pt idx="54">
                  <c:v>2.7162240803300794</c:v>
                </c:pt>
                <c:pt idx="55">
                  <c:v>2.7412589328731665</c:v>
                </c:pt>
                <c:pt idx="56">
                  <c:v>2.7660672116832004</c:v>
                </c:pt>
                <c:pt idx="57">
                  <c:v>2.7906549593313783</c:v>
                </c:pt>
                <c:pt idx="58">
                  <c:v>2.8150279544851347</c:v>
                </c:pt>
                <c:pt idx="59">
                  <c:v>2.8391917277677301</c:v>
                </c:pt>
                <c:pt idx="60">
                  <c:v>2.8631515764130704</c:v>
                </c:pt>
                <c:pt idx="61">
                  <c:v>2.8869125778257634</c:v>
                </c:pt>
                <c:pt idx="62">
                  <c:v>2.9104796021447288</c:v>
                </c:pt>
                <c:pt idx="63">
                  <c:v>2.9338573238984345</c:v>
                </c:pt>
                <c:pt idx="64">
                  <c:v>2.9570502328307562</c:v>
                </c:pt>
                <c:pt idx="65">
                  <c:v>2.9800626439684739</c:v>
                </c:pt>
                <c:pt idx="66">
                  <c:v>3.0028987069943462</c:v>
                </c:pt>
                <c:pt idx="67">
                  <c:v>3.0255624149834128</c:v>
                </c:pt>
                <c:pt idx="68">
                  <c:v>3.0480576125546257</c:v>
                </c:pt>
                <c:pt idx="69">
                  <c:v>3.0703880034849256</c:v>
                </c:pt>
                <c:pt idx="70">
                  <c:v>3.0925571578284679</c:v>
                </c:pt>
                <c:pt idx="71">
                  <c:v>3.1145685185797465</c:v>
                </c:pt>
                <c:pt idx="72">
                  <c:v>3.13642540791583</c:v>
                </c:pt>
                <c:pt idx="73">
                  <c:v>3.1581310330497567</c:v>
                </c:pt>
                <c:pt idx="74">
                  <c:v>3.1796884917242867</c:v>
                </c:pt>
                <c:pt idx="75">
                  <c:v>3.2011007773726545</c:v>
                </c:pt>
                <c:pt idx="76">
                  <c:v>3.2223707839706712</c:v>
                </c:pt>
                <c:pt idx="77">
                  <c:v>3.2435013106024333</c:v>
                </c:pt>
                <c:pt idx="78">
                  <c:v>3.2644950657600398</c:v>
                </c:pt>
                <c:pt idx="79">
                  <c:v>3.2853546713960111</c:v>
                </c:pt>
                <c:pt idx="80">
                  <c:v>3.3060826667455752</c:v>
                </c:pt>
                <c:pt idx="81">
                  <c:v>3.3266815119346007</c:v>
                </c:pt>
                <c:pt idx="82">
                  <c:v>3.3471535913876767</c:v>
                </c:pt>
                <c:pt idx="83">
                  <c:v>3.3675012170497229</c:v>
                </c:pt>
                <c:pt idx="84">
                  <c:v>3.3877266314334324</c:v>
                </c:pt>
                <c:pt idx="85">
                  <c:v>3.4078320105039297</c:v>
                </c:pt>
                <c:pt idx="86">
                  <c:v>3.427819466411147</c:v>
                </c:pt>
                <c:pt idx="87">
                  <c:v>3.4476910500796243</c:v>
                </c:pt>
                <c:pt idx="88">
                  <c:v>3.4674487536647298</c:v>
                </c:pt>
                <c:pt idx="89">
                  <c:v>3.4870945128836173</c:v>
                </c:pt>
                <c:pt idx="90">
                  <c:v>3.5066302092286517</c:v>
                </c:pt>
                <c:pt idx="91">
                  <c:v>3.5260576720704555</c:v>
                </c:pt>
                <c:pt idx="92">
                  <c:v>3.5453786806572394</c:v>
                </c:pt>
                <c:pt idx="93">
                  <c:v>3.5645949660165894</c:v>
                </c:pt>
                <c:pt idx="94">
                  <c:v>3.58370821276548</c:v>
                </c:pt>
                <c:pt idx="95">
                  <c:v>3.602720060833855</c:v>
                </c:pt>
                <c:pt idx="96">
                  <c:v>3.6216321071067727</c:v>
                </c:pt>
                <c:pt idx="97">
                  <c:v>3.6404459069897723</c:v>
                </c:pt>
                <c:pt idx="98">
                  <c:v>3.6591629759018018</c:v>
                </c:pt>
                <c:pt idx="99">
                  <c:v>3.6777847906997598</c:v>
                </c:pt>
                <c:pt idx="100">
                  <c:v>3.6963127910384448</c:v>
                </c:pt>
              </c:numCache>
            </c:numRef>
          </c:val>
          <c:smooth val="0"/>
          <c:extLst>
            <c:ext xmlns:c16="http://schemas.microsoft.com/office/drawing/2014/chart" uri="{C3380CC4-5D6E-409C-BE32-E72D297353CC}">
              <c16:uniqueId val="{00000001-E0E1-4CD5-B8B0-FEF4BCC1AE12}"/>
            </c:ext>
          </c:extLst>
        </c:ser>
        <c:ser>
          <c:idx val="2"/>
          <c:order val="2"/>
          <c:tx>
            <c:v>VIN-max</c:v>
          </c:tx>
          <c:spPr>
            <a:ln>
              <a:solidFill>
                <a:srgbClr val="FF0000"/>
              </a:solidFill>
              <a:prstDash val="solid"/>
            </a:ln>
          </c:spPr>
          <c:marker>
            <c:symbol val="none"/>
          </c:marker>
          <c:val>
            <c:numRef>
              <c:f>'Calculations - Single'!$AJ$217:$AJ$317</c:f>
              <c:numCache>
                <c:formatCode>0.000</c:formatCode>
                <c:ptCount val="101"/>
                <c:pt idx="0">
                  <c:v>0.82</c:v>
                </c:pt>
                <c:pt idx="1">
                  <c:v>0.82</c:v>
                </c:pt>
                <c:pt idx="2">
                  <c:v>0.82</c:v>
                </c:pt>
                <c:pt idx="3">
                  <c:v>0.82</c:v>
                </c:pt>
                <c:pt idx="4">
                  <c:v>0.82</c:v>
                </c:pt>
                <c:pt idx="5">
                  <c:v>0.82</c:v>
                </c:pt>
                <c:pt idx="6">
                  <c:v>0.88248258351317155</c:v>
                </c:pt>
                <c:pt idx="7">
                  <c:v>0.9531901324349874</c:v>
                </c:pt>
                <c:pt idx="8">
                  <c:v>1.0190031142929721</c:v>
                </c:pt>
                <c:pt idx="9">
                  <c:v>1.0808160182501565</c:v>
                </c:pt>
                <c:pt idx="10">
                  <c:v>1.1392801164215365</c:v>
                </c:pt>
                <c:pt idx="11">
                  <c:v>1.1948870666472278</c:v>
                </c:pt>
                <c:pt idx="12">
                  <c:v>1.2480188381623747</c:v>
                </c:pt>
                <c:pt idx="13">
                  <c:v>1.2989791910479207</c:v>
                </c:pt>
                <c:pt idx="14">
                  <c:v>1.3480144128097657</c:v>
                </c:pt>
                <c:pt idx="15">
                  <c:v>1.3953274796656892</c:v>
                </c:pt>
                <c:pt idx="16">
                  <c:v>1.441088024333542</c:v>
                </c:pt>
                <c:pt idx="17">
                  <c:v>1.485439535034967</c:v>
                </c:pt>
                <c:pt idx="18">
                  <c:v>1.5285046714394579</c:v>
                </c:pt>
                <c:pt idx="19">
                  <c:v>1.5703892667041484</c:v>
                </c:pt>
                <c:pt idx="20">
                  <c:v>1.6111853919853356</c:v>
                </c:pt>
                <c:pt idx="21">
                  <c:v>1.6509737386507051</c:v>
                </c:pt>
                <c:pt idx="22">
                  <c:v>1.6898254951567138</c:v>
                </c:pt>
                <c:pt idx="23">
                  <c:v>1.7278038437418122</c:v>
                </c:pt>
                <c:pt idx="24">
                  <c:v>1.7649651670263431</c:v>
                </c:pt>
                <c:pt idx="25">
                  <c:v>1.8013600304169275</c:v>
                </c:pt>
                <c:pt idx="26">
                  <c:v>1.8370339892204013</c:v>
                </c:pt>
                <c:pt idx="27">
                  <c:v>1.8720282572435623</c:v>
                </c:pt>
                <c:pt idx="28">
                  <c:v>1.9063802648699748</c:v>
                </c:pt>
                <c:pt idx="29">
                  <c:v>1.9401241281559956</c:v>
                </c:pt>
                <c:pt idx="30">
                  <c:v>1.9732910456950867</c:v>
                </c:pt>
                <c:pt idx="31">
                  <c:v>2.0059096363963547</c:v>
                </c:pt>
                <c:pt idx="32">
                  <c:v>2.0380062285859442</c:v>
                </c:pt>
                <c:pt idx="33">
                  <c:v>2.0696051087399381</c:v>
                </c:pt>
                <c:pt idx="34">
                  <c:v>2.1007287365316345</c:v>
                </c:pt>
                <c:pt idx="35">
                  <c:v>2.1313979316066587</c:v>
                </c:pt>
                <c:pt idx="36">
                  <c:v>2.161632036500313</c:v>
                </c:pt>
                <c:pt idx="37">
                  <c:v>2.1914490593193898</c:v>
                </c:pt>
                <c:pt idx="38">
                  <c:v>2.2208657991781462</c:v>
                </c:pt>
                <c:pt idx="39">
                  <c:v>2.2498979568697184</c:v>
                </c:pt>
                <c:pt idx="40">
                  <c:v>2.278560232843073</c:v>
                </c:pt>
                <c:pt idx="41">
                  <c:v>2.3068664142210804</c:v>
                </c:pt>
                <c:pt idx="42">
                  <c:v>2.3348294523216406</c:v>
                </c:pt>
                <c:pt idx="43">
                  <c:v>2.3624615319187567</c:v>
                </c:pt>
                <c:pt idx="44">
                  <c:v>2.3897741332944555</c:v>
                </c:pt>
                <c:pt idx="45">
                  <c:v>2.4167780879780034</c:v>
                </c:pt>
                <c:pt idx="46">
                  <c:v>2.4434836289400348</c:v>
                </c:pt>
                <c:pt idx="47">
                  <c:v>2.4699004359012746</c:v>
                </c:pt>
                <c:pt idx="48">
                  <c:v>2.4960376763247494</c:v>
                </c:pt>
                <c:pt idx="49">
                  <c:v>2.5219040425836985</c:v>
                </c:pt>
                <c:pt idx="50">
                  <c:v>2.5475077857324302</c:v>
                </c:pt>
                <c:pt idx="51">
                  <c:v>2.572856746252052</c:v>
                </c:pt>
                <c:pt idx="52">
                  <c:v>2.5979583820958414</c:v>
                </c:pt>
                <c:pt idx="53">
                  <c:v>2.6228197943185858</c:v>
                </c:pt>
                <c:pt idx="54">
                  <c:v>2.6474477505395146</c:v>
                </c:pt>
                <c:pt idx="55">
                  <c:v>2.6718487064585235</c:v>
                </c:pt>
                <c:pt idx="56">
                  <c:v>2.6960288256195315</c:v>
                </c:pt>
                <c:pt idx="57">
                  <c:v>2.7199939975924168</c:v>
                </c:pt>
                <c:pt idx="58">
                  <c:v>2.7437498547254857</c:v>
                </c:pt>
                <c:pt idx="59">
                  <c:v>2.7673017876034898</c:v>
                </c:pt>
                <c:pt idx="60">
                  <c:v>2.7906549593313783</c:v>
                </c:pt>
                <c:pt idx="61">
                  <c:v>2.8138143187510019</c:v>
                </c:pt>
                <c:pt idx="62">
                  <c:v>2.8367846126866088</c:v>
                </c:pt>
                <c:pt idx="63">
                  <c:v>2.8595703973049624</c:v>
                </c:pt>
                <c:pt idx="64">
                  <c:v>2.882176048667084</c:v>
                </c:pt>
                <c:pt idx="65">
                  <c:v>2.9046057725408372</c:v>
                </c:pt>
                <c:pt idx="66">
                  <c:v>2.9268636135366641</c:v>
                </c:pt>
                <c:pt idx="67">
                  <c:v>2.9489534636226877</c:v>
                </c:pt>
                <c:pt idx="68">
                  <c:v>2.9708790700699339</c:v>
                </c:pt>
                <c:pt idx="69">
                  <c:v>2.9926440428736161</c:v>
                </c:pt>
                <c:pt idx="70">
                  <c:v>3.0142518616920992</c:v>
                </c:pt>
                <c:pt idx="71">
                  <c:v>3.0357058823413103</c:v>
                </c:pt>
                <c:pt idx="72">
                  <c:v>3.0570093428789158</c:v>
                </c:pt>
                <c:pt idx="73">
                  <c:v>3.0781653693095059</c:v>
                </c:pt>
                <c:pt idx="74">
                  <c:v>3.0991769809392422</c:v>
                </c:pt>
                <c:pt idx="75">
                  <c:v>3.1200470954059365</c:v>
                </c:pt>
                <c:pt idx="76">
                  <c:v>3.1407785334082967</c:v>
                </c:pt>
                <c:pt idx="77">
                  <c:v>3.1613740231560259</c:v>
                </c:pt>
                <c:pt idx="78">
                  <c:v>3.1818362045606725</c:v>
                </c:pt>
                <c:pt idx="79">
                  <c:v>3.202167633185435</c:v>
                </c:pt>
                <c:pt idx="80">
                  <c:v>3.2223707839706712</c:v>
                </c:pt>
                <c:pt idx="81">
                  <c:v>3.2424480547504699</c:v>
                </c:pt>
                <c:pt idx="82">
                  <c:v>3.2624017695744421</c:v>
                </c:pt>
                <c:pt idx="83">
                  <c:v>3.2822341818477545</c:v>
                </c:pt>
                <c:pt idx="84">
                  <c:v>3.3019474773014101</c:v>
                </c:pt>
                <c:pt idx="85">
                  <c:v>3.3215437768038663</c:v>
                </c:pt>
                <c:pt idx="86">
                  <c:v>3.3410251390242243</c:v>
                </c:pt>
                <c:pt idx="87">
                  <c:v>3.3603935629564563</c:v>
                </c:pt>
                <c:pt idx="88">
                  <c:v>3.3796509903134275</c:v>
                </c:pt>
                <c:pt idx="89">
                  <c:v>3.398799307798841</c:v>
                </c:pt>
                <c:pt idx="90">
                  <c:v>3.4178403492646092</c:v>
                </c:pt>
                <c:pt idx="91">
                  <c:v>3.4367758977606577</c:v>
                </c:pt>
                <c:pt idx="92">
                  <c:v>3.4556076874836243</c:v>
                </c:pt>
                <c:pt idx="93">
                  <c:v>3.4743374056304992</c:v>
                </c:pt>
                <c:pt idx="94">
                  <c:v>3.4929666941628019</c:v>
                </c:pt>
                <c:pt idx="95">
                  <c:v>3.5114971514865227</c:v>
                </c:pt>
                <c:pt idx="96">
                  <c:v>3.5299303340526862</c:v>
                </c:pt>
                <c:pt idx="97">
                  <c:v>3.5482677578830852</c:v>
                </c:pt>
                <c:pt idx="98">
                  <c:v>3.5665109000254018</c:v>
                </c:pt>
                <c:pt idx="99">
                  <c:v>3.5846611999416838</c:v>
                </c:pt>
                <c:pt idx="100">
                  <c:v>3.602720060833855</c:v>
                </c:pt>
              </c:numCache>
            </c:numRef>
          </c:val>
          <c:smooth val="0"/>
          <c:extLst>
            <c:ext xmlns:c16="http://schemas.microsoft.com/office/drawing/2014/chart" uri="{C3380CC4-5D6E-409C-BE32-E72D297353CC}">
              <c16:uniqueId val="{00000002-E0E1-4CD5-B8B0-FEF4BCC1AE12}"/>
            </c:ext>
          </c:extLst>
        </c:ser>
        <c:dLbls>
          <c:showLegendKey val="0"/>
          <c:showVal val="0"/>
          <c:showCatName val="0"/>
          <c:showSerName val="0"/>
          <c:showPercent val="0"/>
          <c:showBubbleSize val="0"/>
        </c:dLbls>
        <c:smooth val="0"/>
        <c:axId val="139987968"/>
        <c:axId val="139990144"/>
      </c:lineChart>
      <c:catAx>
        <c:axId val="139987968"/>
        <c:scaling>
          <c:orientation val="minMax"/>
        </c:scaling>
        <c:delete val="0"/>
        <c:axPos val="b"/>
        <c:majorGridlines>
          <c:spPr>
            <a:ln w="15875">
              <a:solidFill>
                <a:srgbClr val="969696"/>
              </a:solidFill>
              <a:prstDash val="sysDash"/>
            </a:ln>
          </c:spPr>
        </c:majorGridlines>
        <c:title>
          <c:tx>
            <c:rich>
              <a:bodyPr/>
              <a:lstStyle/>
              <a:p>
                <a:pPr>
                  <a:defRPr sz="1200" b="1" i="0" u="none" strike="noStrike" baseline="0">
                    <a:solidFill>
                      <a:schemeClr val="tx1"/>
                    </a:solidFill>
                    <a:latin typeface="Arial" pitchFamily="34" charset="0"/>
                    <a:ea typeface="Calibri"/>
                    <a:cs typeface="Arial" pitchFamily="34" charset="0"/>
                  </a:defRPr>
                </a:pPr>
                <a:r>
                  <a:rPr lang="en-US" sz="1200">
                    <a:solidFill>
                      <a:schemeClr val="tx1"/>
                    </a:solidFill>
                    <a:latin typeface="Arial" pitchFamily="34" charset="0"/>
                    <a:cs typeface="Arial" pitchFamily="34" charset="0"/>
                  </a:rPr>
                  <a:t>Load Current (mA)</a:t>
                </a:r>
              </a:p>
            </c:rich>
          </c:tx>
          <c:layout>
            <c:manualLayout>
              <c:xMode val="edge"/>
              <c:yMode val="edge"/>
              <c:x val="0.45424135936496307"/>
              <c:y val="0.9410669161053864"/>
            </c:manualLayout>
          </c:layout>
          <c:overlay val="0"/>
          <c:spPr>
            <a:noFill/>
            <a:ln w="25400">
              <a:noFill/>
            </a:ln>
          </c:spPr>
        </c:title>
        <c:numFmt formatCode="0" sourceLinked="1"/>
        <c:majorTickMark val="in"/>
        <c:minorTickMark val="in"/>
        <c:tickLblPos val="nextTo"/>
        <c:spPr>
          <a:ln w="3175">
            <a:solidFill>
              <a:schemeClr val="tx1"/>
            </a:solidFill>
            <a:prstDash val="solid"/>
          </a:ln>
        </c:spPr>
        <c:txPr>
          <a:bodyPr rot="0" vert="horz"/>
          <a:lstStyle/>
          <a:p>
            <a:pPr>
              <a:defRPr sz="1100" b="1" i="0" u="none" strike="noStrike" baseline="0">
                <a:solidFill>
                  <a:schemeClr val="tx1"/>
                </a:solidFill>
                <a:latin typeface="Arial" pitchFamily="34" charset="0"/>
                <a:ea typeface="Calibri"/>
                <a:cs typeface="Arial" pitchFamily="34" charset="0"/>
              </a:defRPr>
            </a:pPr>
            <a:endParaRPr lang="en-US"/>
          </a:p>
        </c:txPr>
        <c:crossAx val="139990144"/>
        <c:crosses val="autoZero"/>
        <c:auto val="1"/>
        <c:lblAlgn val="ctr"/>
        <c:lblOffset val="100"/>
        <c:tickLblSkip val="20"/>
        <c:tickMarkSkip val="10"/>
        <c:noMultiLvlLbl val="0"/>
      </c:catAx>
      <c:valAx>
        <c:axId val="139990144"/>
        <c:scaling>
          <c:orientation val="minMax"/>
          <c:max val="1.4"/>
          <c:min val="0"/>
        </c:scaling>
        <c:delete val="0"/>
        <c:axPos val="l"/>
        <c:majorGridlines>
          <c:spPr>
            <a:ln w="15875">
              <a:solidFill>
                <a:srgbClr val="808080"/>
              </a:solidFill>
              <a:prstDash val="solid"/>
            </a:ln>
          </c:spPr>
        </c:majorGridlines>
        <c:title>
          <c:tx>
            <c:rich>
              <a:bodyPr/>
              <a:lstStyle/>
              <a:p>
                <a:pPr>
                  <a:defRPr sz="1400" b="1" i="0" u="none" strike="noStrike" baseline="0">
                    <a:solidFill>
                      <a:schemeClr val="tx1"/>
                    </a:solidFill>
                    <a:latin typeface="Arial" pitchFamily="34" charset="0"/>
                    <a:ea typeface="Calibri"/>
                    <a:cs typeface="Arial" pitchFamily="34" charset="0"/>
                  </a:defRPr>
                </a:pPr>
                <a:r>
                  <a:rPr lang="en-US" sz="1200" b="1">
                    <a:solidFill>
                      <a:schemeClr val="tx1"/>
                    </a:solidFill>
                    <a:latin typeface="Arial" pitchFamily="34" charset="0"/>
                    <a:cs typeface="Arial" pitchFamily="34" charset="0"/>
                  </a:rPr>
                  <a:t>Peak</a:t>
                </a:r>
                <a:r>
                  <a:rPr lang="en-US" sz="1200" b="1" baseline="0">
                    <a:solidFill>
                      <a:schemeClr val="tx1"/>
                    </a:solidFill>
                    <a:latin typeface="Arial" pitchFamily="34" charset="0"/>
                    <a:cs typeface="Arial" pitchFamily="34" charset="0"/>
                  </a:rPr>
                  <a:t> Primary Current (A)</a:t>
                </a:r>
                <a:endParaRPr lang="en-US" sz="1200" b="1">
                  <a:solidFill>
                    <a:schemeClr val="tx1"/>
                  </a:solidFill>
                  <a:latin typeface="Arial" pitchFamily="34" charset="0"/>
                  <a:cs typeface="Arial" pitchFamily="34" charset="0"/>
                </a:endParaRPr>
              </a:p>
            </c:rich>
          </c:tx>
          <c:layout>
            <c:manualLayout>
              <c:xMode val="edge"/>
              <c:yMode val="edge"/>
              <c:x val="1.8892754684734177E-2"/>
              <c:y val="0.30303578260037478"/>
            </c:manualLayout>
          </c:layout>
          <c:overlay val="0"/>
          <c:spPr>
            <a:noFill/>
            <a:ln w="25400">
              <a:noFill/>
            </a:ln>
          </c:spPr>
        </c:title>
        <c:numFmt formatCode="#,##0.0" sourceLinked="0"/>
        <c:majorTickMark val="out"/>
        <c:minorTickMark val="in"/>
        <c:tickLblPos val="nextTo"/>
        <c:spPr>
          <a:ln w="3175">
            <a:solidFill>
              <a:srgbClr val="000000"/>
            </a:solidFill>
            <a:prstDash val="solid"/>
          </a:ln>
        </c:spPr>
        <c:txPr>
          <a:bodyPr rot="0" vert="horz"/>
          <a:lstStyle/>
          <a:p>
            <a:pPr>
              <a:defRPr sz="1100" b="1" i="0" u="none" strike="noStrike" baseline="0">
                <a:solidFill>
                  <a:schemeClr val="tx1"/>
                </a:solidFill>
                <a:latin typeface="Arial" pitchFamily="34" charset="0"/>
                <a:ea typeface="Calibri"/>
                <a:cs typeface="Arial" pitchFamily="34" charset="0"/>
              </a:defRPr>
            </a:pPr>
            <a:endParaRPr lang="en-US"/>
          </a:p>
        </c:txPr>
        <c:crossAx val="139987968"/>
        <c:crossesAt val="0"/>
        <c:crossBetween val="between"/>
      </c:valAx>
      <c:spPr>
        <a:solidFill>
          <a:srgbClr val="FFFFFF"/>
        </a:solidFill>
        <a:ln w="25400">
          <a:noFill/>
        </a:ln>
      </c:spPr>
    </c:plotArea>
    <c:legend>
      <c:legendPos val="t"/>
      <c:layout>
        <c:manualLayout>
          <c:xMode val="edge"/>
          <c:yMode val="edge"/>
          <c:x val="0.50279342989103104"/>
          <c:y val="1.6951025877806759E-2"/>
          <c:w val="0.44417947756530435"/>
          <c:h val="8.9795049320617604E-2"/>
        </c:manualLayout>
      </c:layout>
      <c:overlay val="0"/>
      <c:spPr>
        <a:solidFill>
          <a:srgbClr val="FFFFFF"/>
        </a:solidFill>
        <a:ln w="25400">
          <a:noFill/>
        </a:ln>
      </c:spPr>
      <c:txPr>
        <a:bodyPr/>
        <a:lstStyle/>
        <a:p>
          <a:pPr>
            <a:defRPr sz="1400" b="0" i="0" u="none" strike="noStrike" baseline="0">
              <a:solidFill>
                <a:srgbClr val="000000"/>
              </a:solidFill>
              <a:latin typeface="Arial" pitchFamily="34" charset="0"/>
              <a:ea typeface="Calibri"/>
              <a:cs typeface="Arial" pitchFamily="34" charset="0"/>
            </a:defRPr>
          </a:pPr>
          <a:endParaRPr lang="en-US"/>
        </a:p>
      </c:txPr>
    </c:legend>
    <c:plotVisOnly val="1"/>
    <c:dispBlanksAs val="gap"/>
    <c:showDLblsOverMax val="0"/>
  </c:chart>
  <c:spPr>
    <a:solidFill>
      <a:srgbClr val="FFFFFF"/>
    </a:solidFill>
    <a:ln w="9525">
      <a:solidFill>
        <a:srgbClr val="808080"/>
      </a:solidFill>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0000000000006" r="0.750000000000006" t="1" header="0.5" footer="0.5"/>
    <c:pageSetup paperSize="5"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280746883383756E-2"/>
          <c:y val="0.12133523343001466"/>
          <c:w val="0.86047278973849184"/>
          <c:h val="0.7558980268938309"/>
        </c:manualLayout>
      </c:layout>
      <c:lineChart>
        <c:grouping val="standard"/>
        <c:varyColors val="0"/>
        <c:ser>
          <c:idx val="1"/>
          <c:order val="0"/>
          <c:tx>
            <c:v>VIN-min</c:v>
          </c:tx>
          <c:spPr>
            <a:ln>
              <a:solidFill>
                <a:srgbClr val="00B050"/>
              </a:solidFill>
              <a:prstDash val="sysDash"/>
            </a:ln>
          </c:spPr>
          <c:marker>
            <c:symbol val="none"/>
          </c:marker>
          <c:cat>
            <c:numRef>
              <c:f>'Calculations - Single'!$F$5:$F$105</c:f>
              <c:numCache>
                <c:formatCode>0.000</c:formatCode>
                <c:ptCount val="101"/>
                <c:pt idx="0">
                  <c:v>1.0000000000000001E-9</c:v>
                </c:pt>
                <c:pt idx="1">
                  <c:v>0.01</c:v>
                </c:pt>
                <c:pt idx="2">
                  <c:v>0.02</c:v>
                </c:pt>
                <c:pt idx="3">
                  <c:v>0.03</c:v>
                </c:pt>
                <c:pt idx="4">
                  <c:v>0.04</c:v>
                </c:pt>
                <c:pt idx="5">
                  <c:v>0.05</c:v>
                </c:pt>
                <c:pt idx="6">
                  <c:v>0.06</c:v>
                </c:pt>
                <c:pt idx="7">
                  <c:v>7.0000000000000007E-2</c:v>
                </c:pt>
                <c:pt idx="8">
                  <c:v>0.08</c:v>
                </c:pt>
                <c:pt idx="9">
                  <c:v>0.09</c:v>
                </c:pt>
                <c:pt idx="10">
                  <c:v>0.1</c:v>
                </c:pt>
                <c:pt idx="11">
                  <c:v>0.11</c:v>
                </c:pt>
                <c:pt idx="12">
                  <c:v>0.12</c:v>
                </c:pt>
                <c:pt idx="13">
                  <c:v>0.13</c:v>
                </c:pt>
                <c:pt idx="14">
                  <c:v>0.14000000000000001</c:v>
                </c:pt>
                <c:pt idx="15">
                  <c:v>0.15</c:v>
                </c:pt>
                <c:pt idx="16">
                  <c:v>0.16</c:v>
                </c:pt>
                <c:pt idx="17">
                  <c:v>0.17</c:v>
                </c:pt>
                <c:pt idx="18">
                  <c:v>0.18</c:v>
                </c:pt>
                <c:pt idx="19">
                  <c:v>0.19</c:v>
                </c:pt>
                <c:pt idx="20">
                  <c:v>0.2</c:v>
                </c:pt>
                <c:pt idx="21">
                  <c:v>0.21</c:v>
                </c:pt>
                <c:pt idx="22">
                  <c:v>0.22</c:v>
                </c:pt>
                <c:pt idx="23">
                  <c:v>0.23</c:v>
                </c:pt>
                <c:pt idx="24">
                  <c:v>0.24</c:v>
                </c:pt>
                <c:pt idx="25">
                  <c:v>0.25</c:v>
                </c:pt>
                <c:pt idx="26">
                  <c:v>0.26</c:v>
                </c:pt>
                <c:pt idx="27">
                  <c:v>0.27</c:v>
                </c:pt>
                <c:pt idx="28">
                  <c:v>0.28000000000000003</c:v>
                </c:pt>
                <c:pt idx="29">
                  <c:v>0.28999999999999998</c:v>
                </c:pt>
                <c:pt idx="30">
                  <c:v>0.3</c:v>
                </c:pt>
                <c:pt idx="31">
                  <c:v>0.31</c:v>
                </c:pt>
                <c:pt idx="32">
                  <c:v>0.32</c:v>
                </c:pt>
                <c:pt idx="33">
                  <c:v>0.33</c:v>
                </c:pt>
                <c:pt idx="34">
                  <c:v>0.34</c:v>
                </c:pt>
                <c:pt idx="35">
                  <c:v>0.35</c:v>
                </c:pt>
                <c:pt idx="36">
                  <c:v>0.36</c:v>
                </c:pt>
                <c:pt idx="37">
                  <c:v>0.37</c:v>
                </c:pt>
                <c:pt idx="38">
                  <c:v>0.38</c:v>
                </c:pt>
                <c:pt idx="39">
                  <c:v>0.39</c:v>
                </c:pt>
                <c:pt idx="40">
                  <c:v>0.4</c:v>
                </c:pt>
                <c:pt idx="41">
                  <c:v>0.41</c:v>
                </c:pt>
                <c:pt idx="42">
                  <c:v>0.42</c:v>
                </c:pt>
                <c:pt idx="43">
                  <c:v>0.43</c:v>
                </c:pt>
                <c:pt idx="44">
                  <c:v>0.44</c:v>
                </c:pt>
                <c:pt idx="45">
                  <c:v>0.45</c:v>
                </c:pt>
                <c:pt idx="46">
                  <c:v>0.46</c:v>
                </c:pt>
                <c:pt idx="47">
                  <c:v>0.47</c:v>
                </c:pt>
                <c:pt idx="48">
                  <c:v>0.48</c:v>
                </c:pt>
                <c:pt idx="49">
                  <c:v>0.49</c:v>
                </c:pt>
                <c:pt idx="50">
                  <c:v>0.5</c:v>
                </c:pt>
                <c:pt idx="51">
                  <c:v>0.51</c:v>
                </c:pt>
                <c:pt idx="52">
                  <c:v>0.52</c:v>
                </c:pt>
                <c:pt idx="53">
                  <c:v>0.53</c:v>
                </c:pt>
                <c:pt idx="54">
                  <c:v>0.54</c:v>
                </c:pt>
                <c:pt idx="55">
                  <c:v>0.55000000000000004</c:v>
                </c:pt>
                <c:pt idx="56">
                  <c:v>0.56000000000000005</c:v>
                </c:pt>
                <c:pt idx="57">
                  <c:v>0.56999999999999995</c:v>
                </c:pt>
                <c:pt idx="58">
                  <c:v>0.57999999999999996</c:v>
                </c:pt>
                <c:pt idx="59">
                  <c:v>0.59</c:v>
                </c:pt>
                <c:pt idx="60">
                  <c:v>0.6</c:v>
                </c:pt>
                <c:pt idx="61">
                  <c:v>0.61</c:v>
                </c:pt>
                <c:pt idx="62">
                  <c:v>0.62</c:v>
                </c:pt>
                <c:pt idx="63">
                  <c:v>0.63</c:v>
                </c:pt>
                <c:pt idx="64">
                  <c:v>0.64</c:v>
                </c:pt>
                <c:pt idx="65">
                  <c:v>0.65</c:v>
                </c:pt>
                <c:pt idx="66">
                  <c:v>0.66</c:v>
                </c:pt>
                <c:pt idx="67">
                  <c:v>0.67</c:v>
                </c:pt>
                <c:pt idx="68">
                  <c:v>0.68</c:v>
                </c:pt>
                <c:pt idx="69">
                  <c:v>0.69</c:v>
                </c:pt>
                <c:pt idx="70">
                  <c:v>0.7</c:v>
                </c:pt>
                <c:pt idx="71">
                  <c:v>0.71</c:v>
                </c:pt>
                <c:pt idx="72">
                  <c:v>0.72</c:v>
                </c:pt>
                <c:pt idx="73">
                  <c:v>0.73</c:v>
                </c:pt>
                <c:pt idx="74">
                  <c:v>0.74</c:v>
                </c:pt>
                <c:pt idx="75">
                  <c:v>0.75</c:v>
                </c:pt>
                <c:pt idx="76">
                  <c:v>0.76</c:v>
                </c:pt>
                <c:pt idx="77">
                  <c:v>0.77</c:v>
                </c:pt>
                <c:pt idx="78">
                  <c:v>0.78</c:v>
                </c:pt>
                <c:pt idx="79">
                  <c:v>0.79</c:v>
                </c:pt>
                <c:pt idx="80">
                  <c:v>0.8</c:v>
                </c:pt>
                <c:pt idx="81">
                  <c:v>0.81</c:v>
                </c:pt>
                <c:pt idx="82">
                  <c:v>0.82</c:v>
                </c:pt>
                <c:pt idx="83">
                  <c:v>0.83</c:v>
                </c:pt>
                <c:pt idx="84">
                  <c:v>0.84</c:v>
                </c:pt>
                <c:pt idx="85">
                  <c:v>0.85</c:v>
                </c:pt>
                <c:pt idx="86">
                  <c:v>0.86</c:v>
                </c:pt>
                <c:pt idx="87">
                  <c:v>0.87</c:v>
                </c:pt>
                <c:pt idx="88">
                  <c:v>0.88</c:v>
                </c:pt>
                <c:pt idx="89">
                  <c:v>0.89</c:v>
                </c:pt>
                <c:pt idx="90">
                  <c:v>0.9</c:v>
                </c:pt>
                <c:pt idx="91">
                  <c:v>0.91</c:v>
                </c:pt>
                <c:pt idx="92">
                  <c:v>0.92</c:v>
                </c:pt>
                <c:pt idx="93">
                  <c:v>0.93</c:v>
                </c:pt>
                <c:pt idx="94">
                  <c:v>0.94</c:v>
                </c:pt>
                <c:pt idx="95">
                  <c:v>0.95</c:v>
                </c:pt>
                <c:pt idx="96">
                  <c:v>0.96</c:v>
                </c:pt>
                <c:pt idx="97">
                  <c:v>0.97</c:v>
                </c:pt>
                <c:pt idx="98">
                  <c:v>0.98</c:v>
                </c:pt>
                <c:pt idx="99">
                  <c:v>0.99</c:v>
                </c:pt>
                <c:pt idx="100">
                  <c:v>1</c:v>
                </c:pt>
              </c:numCache>
            </c:numRef>
          </c:cat>
          <c:val>
            <c:numRef>
              <c:f>'Calculations - Single'!$AN$110:$AN$210</c:f>
              <c:numCache>
                <c:formatCode>0.0</c:formatCode>
                <c:ptCount val="101"/>
                <c:pt idx="0">
                  <c:v>12</c:v>
                </c:pt>
                <c:pt idx="1">
                  <c:v>67.561825444038433</c:v>
                </c:pt>
                <c:pt idx="2">
                  <c:v>135.12365088807687</c:v>
                </c:pt>
                <c:pt idx="3">
                  <c:v>202.68547633211526</c:v>
                </c:pt>
                <c:pt idx="4">
                  <c:v>270.24730177615373</c:v>
                </c:pt>
                <c:pt idx="5">
                  <c:v>337.80912722019218</c:v>
                </c:pt>
                <c:pt idx="6">
                  <c:v>350</c:v>
                </c:pt>
                <c:pt idx="7">
                  <c:v>350</c:v>
                </c:pt>
                <c:pt idx="8">
                  <c:v>350</c:v>
                </c:pt>
                <c:pt idx="9">
                  <c:v>350</c:v>
                </c:pt>
                <c:pt idx="10">
                  <c:v>350</c:v>
                </c:pt>
                <c:pt idx="11">
                  <c:v>350</c:v>
                </c:pt>
                <c:pt idx="12">
                  <c:v>350</c:v>
                </c:pt>
                <c:pt idx="13">
                  <c:v>350</c:v>
                </c:pt>
                <c:pt idx="14">
                  <c:v>350</c:v>
                </c:pt>
                <c:pt idx="15">
                  <c:v>350</c:v>
                </c:pt>
                <c:pt idx="16">
                  <c:v>350</c:v>
                </c:pt>
                <c:pt idx="17">
                  <c:v>350</c:v>
                </c:pt>
                <c:pt idx="18">
                  <c:v>350</c:v>
                </c:pt>
                <c:pt idx="19">
                  <c:v>350</c:v>
                </c:pt>
                <c:pt idx="20">
                  <c:v>350</c:v>
                </c:pt>
                <c:pt idx="21">
                  <c:v>350</c:v>
                </c:pt>
                <c:pt idx="22">
                  <c:v>350</c:v>
                </c:pt>
                <c:pt idx="23">
                  <c:v>350</c:v>
                </c:pt>
                <c:pt idx="24">
                  <c:v>350</c:v>
                </c:pt>
                <c:pt idx="25">
                  <c:v>350</c:v>
                </c:pt>
                <c:pt idx="26">
                  <c:v>350</c:v>
                </c:pt>
                <c:pt idx="27">
                  <c:v>350</c:v>
                </c:pt>
                <c:pt idx="28">
                  <c:v>350</c:v>
                </c:pt>
                <c:pt idx="29">
                  <c:v>350</c:v>
                </c:pt>
                <c:pt idx="30">
                  <c:v>350</c:v>
                </c:pt>
                <c:pt idx="31">
                  <c:v>350</c:v>
                </c:pt>
                <c:pt idx="32">
                  <c:v>350</c:v>
                </c:pt>
                <c:pt idx="33">
                  <c:v>350</c:v>
                </c:pt>
                <c:pt idx="34">
                  <c:v>350</c:v>
                </c:pt>
                <c:pt idx="35">
                  <c:v>350</c:v>
                </c:pt>
                <c:pt idx="36">
                  <c:v>350</c:v>
                </c:pt>
                <c:pt idx="37">
                  <c:v>350</c:v>
                </c:pt>
                <c:pt idx="38">
                  <c:v>350</c:v>
                </c:pt>
                <c:pt idx="39">
                  <c:v>350</c:v>
                </c:pt>
                <c:pt idx="40">
                  <c:v>350</c:v>
                </c:pt>
                <c:pt idx="41">
                  <c:v>350</c:v>
                </c:pt>
                <c:pt idx="42">
                  <c:v>350</c:v>
                </c:pt>
                <c:pt idx="43">
                  <c:v>350</c:v>
                </c:pt>
                <c:pt idx="44">
                  <c:v>350</c:v>
                </c:pt>
                <c:pt idx="45">
                  <c:v>350</c:v>
                </c:pt>
                <c:pt idx="46">
                  <c:v>350</c:v>
                </c:pt>
                <c:pt idx="47">
                  <c:v>350</c:v>
                </c:pt>
                <c:pt idx="48">
                  <c:v>350</c:v>
                </c:pt>
                <c:pt idx="49">
                  <c:v>350</c:v>
                </c:pt>
                <c:pt idx="50">
                  <c:v>350</c:v>
                </c:pt>
                <c:pt idx="51">
                  <c:v>350</c:v>
                </c:pt>
                <c:pt idx="52">
                  <c:v>350</c:v>
                </c:pt>
                <c:pt idx="53">
                  <c:v>350</c:v>
                </c:pt>
                <c:pt idx="54">
                  <c:v>350</c:v>
                </c:pt>
                <c:pt idx="55">
                  <c:v>350</c:v>
                </c:pt>
                <c:pt idx="56">
                  <c:v>350</c:v>
                </c:pt>
                <c:pt idx="57">
                  <c:v>350</c:v>
                </c:pt>
                <c:pt idx="58">
                  <c:v>350</c:v>
                </c:pt>
                <c:pt idx="59">
                  <c:v>350</c:v>
                </c:pt>
                <c:pt idx="60">
                  <c:v>350</c:v>
                </c:pt>
                <c:pt idx="61">
                  <c:v>350</c:v>
                </c:pt>
                <c:pt idx="62">
                  <c:v>350</c:v>
                </c:pt>
                <c:pt idx="63">
                  <c:v>350</c:v>
                </c:pt>
                <c:pt idx="64">
                  <c:v>350</c:v>
                </c:pt>
                <c:pt idx="65">
                  <c:v>350</c:v>
                </c:pt>
                <c:pt idx="66">
                  <c:v>350</c:v>
                </c:pt>
                <c:pt idx="67">
                  <c:v>350</c:v>
                </c:pt>
                <c:pt idx="68">
                  <c:v>350</c:v>
                </c:pt>
                <c:pt idx="69">
                  <c:v>350</c:v>
                </c:pt>
                <c:pt idx="70">
                  <c:v>350</c:v>
                </c:pt>
                <c:pt idx="71">
                  <c:v>350</c:v>
                </c:pt>
                <c:pt idx="72">
                  <c:v>350</c:v>
                </c:pt>
                <c:pt idx="73">
                  <c:v>350</c:v>
                </c:pt>
                <c:pt idx="74">
                  <c:v>350</c:v>
                </c:pt>
                <c:pt idx="75">
                  <c:v>350</c:v>
                </c:pt>
                <c:pt idx="76">
                  <c:v>350</c:v>
                </c:pt>
                <c:pt idx="77">
                  <c:v>350</c:v>
                </c:pt>
                <c:pt idx="78">
                  <c:v>350</c:v>
                </c:pt>
                <c:pt idx="79">
                  <c:v>350</c:v>
                </c:pt>
                <c:pt idx="80">
                  <c:v>350</c:v>
                </c:pt>
                <c:pt idx="81">
                  <c:v>350</c:v>
                </c:pt>
                <c:pt idx="82">
                  <c:v>350</c:v>
                </c:pt>
                <c:pt idx="83">
                  <c:v>347.36587949710048</c:v>
                </c:pt>
                <c:pt idx="84">
                  <c:v>343.2305714078492</c:v>
                </c:pt>
                <c:pt idx="85">
                  <c:v>339.19256468540385</c:v>
                </c:pt>
                <c:pt idx="86">
                  <c:v>335.24846509603867</c:v>
                </c:pt>
                <c:pt idx="87">
                  <c:v>331.39503446275091</c:v>
                </c:pt>
                <c:pt idx="88">
                  <c:v>327.62918179840148</c:v>
                </c:pt>
                <c:pt idx="89">
                  <c:v>323.94795503662169</c:v>
                </c:pt>
                <c:pt idx="90">
                  <c:v>320.34853331399262</c:v>
                </c:pt>
                <c:pt idx="91">
                  <c:v>316.82821976109153</c:v>
                </c:pt>
                <c:pt idx="92">
                  <c:v>313.38443476368838</c:v>
                </c:pt>
                <c:pt idx="93">
                  <c:v>310.01470965870249</c:v>
                </c:pt>
                <c:pt idx="94">
                  <c:v>306.7166808325461</c:v>
                </c:pt>
                <c:pt idx="95">
                  <c:v>303.48808419220353</c:v>
                </c:pt>
                <c:pt idx="96">
                  <c:v>300.32674998186809</c:v>
                </c:pt>
                <c:pt idx="97">
                  <c:v>297.23059792019933</c:v>
                </c:pt>
                <c:pt idx="98">
                  <c:v>294.19763263529933</c:v>
                </c:pt>
                <c:pt idx="99">
                  <c:v>291.22593937635691</c:v>
                </c:pt>
                <c:pt idx="100">
                  <c:v>288.31367998259327</c:v>
                </c:pt>
              </c:numCache>
            </c:numRef>
          </c:val>
          <c:smooth val="0"/>
          <c:extLst>
            <c:ext xmlns:c16="http://schemas.microsoft.com/office/drawing/2014/chart" uri="{C3380CC4-5D6E-409C-BE32-E72D297353CC}">
              <c16:uniqueId val="{00000000-E64D-41E7-94BC-21EDCF5E0F0A}"/>
            </c:ext>
          </c:extLst>
        </c:ser>
        <c:ser>
          <c:idx val="0"/>
          <c:order val="1"/>
          <c:tx>
            <c:v>VIN-nom</c:v>
          </c:tx>
          <c:spPr>
            <a:ln w="28575">
              <a:solidFill>
                <a:srgbClr val="FF0000"/>
              </a:solidFill>
              <a:prstDash val="lgDash"/>
            </a:ln>
          </c:spPr>
          <c:marker>
            <c:symbol val="none"/>
          </c:marker>
          <c:cat>
            <c:numRef>
              <c:f>'Calculations - Single'!$F$5:$F$105</c:f>
              <c:numCache>
                <c:formatCode>0.000</c:formatCode>
                <c:ptCount val="101"/>
                <c:pt idx="0">
                  <c:v>1.0000000000000001E-9</c:v>
                </c:pt>
                <c:pt idx="1">
                  <c:v>0.01</c:v>
                </c:pt>
                <c:pt idx="2">
                  <c:v>0.02</c:v>
                </c:pt>
                <c:pt idx="3">
                  <c:v>0.03</c:v>
                </c:pt>
                <c:pt idx="4">
                  <c:v>0.04</c:v>
                </c:pt>
                <c:pt idx="5">
                  <c:v>0.05</c:v>
                </c:pt>
                <c:pt idx="6">
                  <c:v>0.06</c:v>
                </c:pt>
                <c:pt idx="7">
                  <c:v>7.0000000000000007E-2</c:v>
                </c:pt>
                <c:pt idx="8">
                  <c:v>0.08</c:v>
                </c:pt>
                <c:pt idx="9">
                  <c:v>0.09</c:v>
                </c:pt>
                <c:pt idx="10">
                  <c:v>0.1</c:v>
                </c:pt>
                <c:pt idx="11">
                  <c:v>0.11</c:v>
                </c:pt>
                <c:pt idx="12">
                  <c:v>0.12</c:v>
                </c:pt>
                <c:pt idx="13">
                  <c:v>0.13</c:v>
                </c:pt>
                <c:pt idx="14">
                  <c:v>0.14000000000000001</c:v>
                </c:pt>
                <c:pt idx="15">
                  <c:v>0.15</c:v>
                </c:pt>
                <c:pt idx="16">
                  <c:v>0.16</c:v>
                </c:pt>
                <c:pt idx="17">
                  <c:v>0.17</c:v>
                </c:pt>
                <c:pt idx="18">
                  <c:v>0.18</c:v>
                </c:pt>
                <c:pt idx="19">
                  <c:v>0.19</c:v>
                </c:pt>
                <c:pt idx="20">
                  <c:v>0.2</c:v>
                </c:pt>
                <c:pt idx="21">
                  <c:v>0.21</c:v>
                </c:pt>
                <c:pt idx="22">
                  <c:v>0.22</c:v>
                </c:pt>
                <c:pt idx="23">
                  <c:v>0.23</c:v>
                </c:pt>
                <c:pt idx="24">
                  <c:v>0.24</c:v>
                </c:pt>
                <c:pt idx="25">
                  <c:v>0.25</c:v>
                </c:pt>
                <c:pt idx="26">
                  <c:v>0.26</c:v>
                </c:pt>
                <c:pt idx="27">
                  <c:v>0.27</c:v>
                </c:pt>
                <c:pt idx="28">
                  <c:v>0.28000000000000003</c:v>
                </c:pt>
                <c:pt idx="29">
                  <c:v>0.28999999999999998</c:v>
                </c:pt>
                <c:pt idx="30">
                  <c:v>0.3</c:v>
                </c:pt>
                <c:pt idx="31">
                  <c:v>0.31</c:v>
                </c:pt>
                <c:pt idx="32">
                  <c:v>0.32</c:v>
                </c:pt>
                <c:pt idx="33">
                  <c:v>0.33</c:v>
                </c:pt>
                <c:pt idx="34">
                  <c:v>0.34</c:v>
                </c:pt>
                <c:pt idx="35">
                  <c:v>0.35</c:v>
                </c:pt>
                <c:pt idx="36">
                  <c:v>0.36</c:v>
                </c:pt>
                <c:pt idx="37">
                  <c:v>0.37</c:v>
                </c:pt>
                <c:pt idx="38">
                  <c:v>0.38</c:v>
                </c:pt>
                <c:pt idx="39">
                  <c:v>0.39</c:v>
                </c:pt>
                <c:pt idx="40">
                  <c:v>0.4</c:v>
                </c:pt>
                <c:pt idx="41">
                  <c:v>0.41</c:v>
                </c:pt>
                <c:pt idx="42">
                  <c:v>0.42</c:v>
                </c:pt>
                <c:pt idx="43">
                  <c:v>0.43</c:v>
                </c:pt>
                <c:pt idx="44">
                  <c:v>0.44</c:v>
                </c:pt>
                <c:pt idx="45">
                  <c:v>0.45</c:v>
                </c:pt>
                <c:pt idx="46">
                  <c:v>0.46</c:v>
                </c:pt>
                <c:pt idx="47">
                  <c:v>0.47</c:v>
                </c:pt>
                <c:pt idx="48">
                  <c:v>0.48</c:v>
                </c:pt>
                <c:pt idx="49">
                  <c:v>0.49</c:v>
                </c:pt>
                <c:pt idx="50">
                  <c:v>0.5</c:v>
                </c:pt>
                <c:pt idx="51">
                  <c:v>0.51</c:v>
                </c:pt>
                <c:pt idx="52">
                  <c:v>0.52</c:v>
                </c:pt>
                <c:pt idx="53">
                  <c:v>0.53</c:v>
                </c:pt>
                <c:pt idx="54">
                  <c:v>0.54</c:v>
                </c:pt>
                <c:pt idx="55">
                  <c:v>0.55000000000000004</c:v>
                </c:pt>
                <c:pt idx="56">
                  <c:v>0.56000000000000005</c:v>
                </c:pt>
                <c:pt idx="57">
                  <c:v>0.56999999999999995</c:v>
                </c:pt>
                <c:pt idx="58">
                  <c:v>0.57999999999999996</c:v>
                </c:pt>
                <c:pt idx="59">
                  <c:v>0.59</c:v>
                </c:pt>
                <c:pt idx="60">
                  <c:v>0.6</c:v>
                </c:pt>
                <c:pt idx="61">
                  <c:v>0.61</c:v>
                </c:pt>
                <c:pt idx="62">
                  <c:v>0.62</c:v>
                </c:pt>
                <c:pt idx="63">
                  <c:v>0.63</c:v>
                </c:pt>
                <c:pt idx="64">
                  <c:v>0.64</c:v>
                </c:pt>
                <c:pt idx="65">
                  <c:v>0.65</c:v>
                </c:pt>
                <c:pt idx="66">
                  <c:v>0.66</c:v>
                </c:pt>
                <c:pt idx="67">
                  <c:v>0.67</c:v>
                </c:pt>
                <c:pt idx="68">
                  <c:v>0.68</c:v>
                </c:pt>
                <c:pt idx="69">
                  <c:v>0.69</c:v>
                </c:pt>
                <c:pt idx="70">
                  <c:v>0.7</c:v>
                </c:pt>
                <c:pt idx="71">
                  <c:v>0.71</c:v>
                </c:pt>
                <c:pt idx="72">
                  <c:v>0.72</c:v>
                </c:pt>
                <c:pt idx="73">
                  <c:v>0.73</c:v>
                </c:pt>
                <c:pt idx="74">
                  <c:v>0.74</c:v>
                </c:pt>
                <c:pt idx="75">
                  <c:v>0.75</c:v>
                </c:pt>
                <c:pt idx="76">
                  <c:v>0.76</c:v>
                </c:pt>
                <c:pt idx="77">
                  <c:v>0.77</c:v>
                </c:pt>
                <c:pt idx="78">
                  <c:v>0.78</c:v>
                </c:pt>
                <c:pt idx="79">
                  <c:v>0.79</c:v>
                </c:pt>
                <c:pt idx="80">
                  <c:v>0.8</c:v>
                </c:pt>
                <c:pt idx="81">
                  <c:v>0.81</c:v>
                </c:pt>
                <c:pt idx="82">
                  <c:v>0.82</c:v>
                </c:pt>
                <c:pt idx="83">
                  <c:v>0.83</c:v>
                </c:pt>
                <c:pt idx="84">
                  <c:v>0.84</c:v>
                </c:pt>
                <c:pt idx="85">
                  <c:v>0.85</c:v>
                </c:pt>
                <c:pt idx="86">
                  <c:v>0.86</c:v>
                </c:pt>
                <c:pt idx="87">
                  <c:v>0.87</c:v>
                </c:pt>
                <c:pt idx="88">
                  <c:v>0.88</c:v>
                </c:pt>
                <c:pt idx="89">
                  <c:v>0.89</c:v>
                </c:pt>
                <c:pt idx="90">
                  <c:v>0.9</c:v>
                </c:pt>
                <c:pt idx="91">
                  <c:v>0.91</c:v>
                </c:pt>
                <c:pt idx="92">
                  <c:v>0.92</c:v>
                </c:pt>
                <c:pt idx="93">
                  <c:v>0.93</c:v>
                </c:pt>
                <c:pt idx="94">
                  <c:v>0.94</c:v>
                </c:pt>
                <c:pt idx="95">
                  <c:v>0.95</c:v>
                </c:pt>
                <c:pt idx="96">
                  <c:v>0.96</c:v>
                </c:pt>
                <c:pt idx="97">
                  <c:v>0.97</c:v>
                </c:pt>
                <c:pt idx="98">
                  <c:v>0.98</c:v>
                </c:pt>
                <c:pt idx="99">
                  <c:v>0.99</c:v>
                </c:pt>
                <c:pt idx="100">
                  <c:v>1</c:v>
                </c:pt>
              </c:numCache>
            </c:numRef>
          </c:cat>
          <c:val>
            <c:numRef>
              <c:f>'Calculations - Single'!$AN$5:$AN$105</c:f>
              <c:numCache>
                <c:formatCode>0.0</c:formatCode>
                <c:ptCount val="101"/>
                <c:pt idx="0">
                  <c:v>12</c:v>
                </c:pt>
                <c:pt idx="1">
                  <c:v>67.561825444038433</c:v>
                </c:pt>
                <c:pt idx="2">
                  <c:v>135.12365088807687</c:v>
                </c:pt>
                <c:pt idx="3">
                  <c:v>202.68547633211526</c:v>
                </c:pt>
                <c:pt idx="4">
                  <c:v>270.24730177615373</c:v>
                </c:pt>
                <c:pt idx="5">
                  <c:v>337.80912722019218</c:v>
                </c:pt>
                <c:pt idx="6">
                  <c:v>350</c:v>
                </c:pt>
                <c:pt idx="7">
                  <c:v>350</c:v>
                </c:pt>
                <c:pt idx="8">
                  <c:v>350</c:v>
                </c:pt>
                <c:pt idx="9">
                  <c:v>350</c:v>
                </c:pt>
                <c:pt idx="10">
                  <c:v>350</c:v>
                </c:pt>
                <c:pt idx="11">
                  <c:v>350</c:v>
                </c:pt>
                <c:pt idx="12">
                  <c:v>350</c:v>
                </c:pt>
                <c:pt idx="13">
                  <c:v>350</c:v>
                </c:pt>
                <c:pt idx="14">
                  <c:v>350</c:v>
                </c:pt>
                <c:pt idx="15">
                  <c:v>350</c:v>
                </c:pt>
                <c:pt idx="16">
                  <c:v>350</c:v>
                </c:pt>
                <c:pt idx="17">
                  <c:v>350</c:v>
                </c:pt>
                <c:pt idx="18">
                  <c:v>350</c:v>
                </c:pt>
                <c:pt idx="19">
                  <c:v>350</c:v>
                </c:pt>
                <c:pt idx="20">
                  <c:v>350</c:v>
                </c:pt>
                <c:pt idx="21">
                  <c:v>350</c:v>
                </c:pt>
                <c:pt idx="22">
                  <c:v>350</c:v>
                </c:pt>
                <c:pt idx="23">
                  <c:v>350</c:v>
                </c:pt>
                <c:pt idx="24">
                  <c:v>350</c:v>
                </c:pt>
                <c:pt idx="25">
                  <c:v>350</c:v>
                </c:pt>
                <c:pt idx="26">
                  <c:v>350</c:v>
                </c:pt>
                <c:pt idx="27">
                  <c:v>350</c:v>
                </c:pt>
                <c:pt idx="28">
                  <c:v>350</c:v>
                </c:pt>
                <c:pt idx="29">
                  <c:v>350</c:v>
                </c:pt>
                <c:pt idx="30">
                  <c:v>350</c:v>
                </c:pt>
                <c:pt idx="31">
                  <c:v>350</c:v>
                </c:pt>
                <c:pt idx="32">
                  <c:v>350</c:v>
                </c:pt>
                <c:pt idx="33">
                  <c:v>350</c:v>
                </c:pt>
                <c:pt idx="34">
                  <c:v>350</c:v>
                </c:pt>
                <c:pt idx="35">
                  <c:v>350</c:v>
                </c:pt>
                <c:pt idx="36">
                  <c:v>350</c:v>
                </c:pt>
                <c:pt idx="37">
                  <c:v>350</c:v>
                </c:pt>
                <c:pt idx="38">
                  <c:v>350</c:v>
                </c:pt>
                <c:pt idx="39">
                  <c:v>350</c:v>
                </c:pt>
                <c:pt idx="40">
                  <c:v>350</c:v>
                </c:pt>
                <c:pt idx="41">
                  <c:v>350</c:v>
                </c:pt>
                <c:pt idx="42">
                  <c:v>350</c:v>
                </c:pt>
                <c:pt idx="43">
                  <c:v>350</c:v>
                </c:pt>
                <c:pt idx="44">
                  <c:v>350</c:v>
                </c:pt>
                <c:pt idx="45">
                  <c:v>350</c:v>
                </c:pt>
                <c:pt idx="46">
                  <c:v>350</c:v>
                </c:pt>
                <c:pt idx="47">
                  <c:v>350</c:v>
                </c:pt>
                <c:pt idx="48">
                  <c:v>350</c:v>
                </c:pt>
                <c:pt idx="49">
                  <c:v>350</c:v>
                </c:pt>
                <c:pt idx="50">
                  <c:v>350</c:v>
                </c:pt>
                <c:pt idx="51">
                  <c:v>350</c:v>
                </c:pt>
                <c:pt idx="52">
                  <c:v>350</c:v>
                </c:pt>
                <c:pt idx="53">
                  <c:v>350</c:v>
                </c:pt>
                <c:pt idx="54">
                  <c:v>350</c:v>
                </c:pt>
                <c:pt idx="55">
                  <c:v>350</c:v>
                </c:pt>
                <c:pt idx="56">
                  <c:v>350</c:v>
                </c:pt>
                <c:pt idx="57">
                  <c:v>350</c:v>
                </c:pt>
                <c:pt idx="58">
                  <c:v>350</c:v>
                </c:pt>
                <c:pt idx="59">
                  <c:v>350</c:v>
                </c:pt>
                <c:pt idx="60">
                  <c:v>350</c:v>
                </c:pt>
                <c:pt idx="61">
                  <c:v>350</c:v>
                </c:pt>
                <c:pt idx="62">
                  <c:v>350</c:v>
                </c:pt>
                <c:pt idx="63">
                  <c:v>350</c:v>
                </c:pt>
                <c:pt idx="64">
                  <c:v>350</c:v>
                </c:pt>
                <c:pt idx="65">
                  <c:v>350</c:v>
                </c:pt>
                <c:pt idx="66">
                  <c:v>350</c:v>
                </c:pt>
                <c:pt idx="67">
                  <c:v>350</c:v>
                </c:pt>
                <c:pt idx="68">
                  <c:v>350</c:v>
                </c:pt>
                <c:pt idx="69">
                  <c:v>350</c:v>
                </c:pt>
                <c:pt idx="70">
                  <c:v>350</c:v>
                </c:pt>
                <c:pt idx="71">
                  <c:v>350</c:v>
                </c:pt>
                <c:pt idx="72">
                  <c:v>350</c:v>
                </c:pt>
                <c:pt idx="73">
                  <c:v>350</c:v>
                </c:pt>
                <c:pt idx="74">
                  <c:v>350</c:v>
                </c:pt>
                <c:pt idx="75">
                  <c:v>350</c:v>
                </c:pt>
                <c:pt idx="76">
                  <c:v>350</c:v>
                </c:pt>
                <c:pt idx="77">
                  <c:v>350</c:v>
                </c:pt>
                <c:pt idx="78">
                  <c:v>350</c:v>
                </c:pt>
                <c:pt idx="79">
                  <c:v>350</c:v>
                </c:pt>
                <c:pt idx="80">
                  <c:v>350</c:v>
                </c:pt>
                <c:pt idx="81">
                  <c:v>350</c:v>
                </c:pt>
                <c:pt idx="82">
                  <c:v>350</c:v>
                </c:pt>
                <c:pt idx="83">
                  <c:v>350</c:v>
                </c:pt>
                <c:pt idx="84">
                  <c:v>350</c:v>
                </c:pt>
                <c:pt idx="85">
                  <c:v>350</c:v>
                </c:pt>
                <c:pt idx="86">
                  <c:v>350</c:v>
                </c:pt>
                <c:pt idx="87">
                  <c:v>350</c:v>
                </c:pt>
                <c:pt idx="88">
                  <c:v>350</c:v>
                </c:pt>
                <c:pt idx="89">
                  <c:v>350</c:v>
                </c:pt>
                <c:pt idx="90">
                  <c:v>350</c:v>
                </c:pt>
                <c:pt idx="91">
                  <c:v>350</c:v>
                </c:pt>
                <c:pt idx="92">
                  <c:v>350</c:v>
                </c:pt>
                <c:pt idx="93">
                  <c:v>350</c:v>
                </c:pt>
                <c:pt idx="94">
                  <c:v>350</c:v>
                </c:pt>
                <c:pt idx="95">
                  <c:v>350</c:v>
                </c:pt>
                <c:pt idx="96">
                  <c:v>350</c:v>
                </c:pt>
                <c:pt idx="97">
                  <c:v>350</c:v>
                </c:pt>
                <c:pt idx="98">
                  <c:v>350</c:v>
                </c:pt>
                <c:pt idx="99">
                  <c:v>350</c:v>
                </c:pt>
                <c:pt idx="100">
                  <c:v>350</c:v>
                </c:pt>
              </c:numCache>
            </c:numRef>
          </c:val>
          <c:smooth val="0"/>
          <c:extLst>
            <c:ext xmlns:c16="http://schemas.microsoft.com/office/drawing/2014/chart" uri="{C3380CC4-5D6E-409C-BE32-E72D297353CC}">
              <c16:uniqueId val="{00000001-E64D-41E7-94BC-21EDCF5E0F0A}"/>
            </c:ext>
          </c:extLst>
        </c:ser>
        <c:ser>
          <c:idx val="2"/>
          <c:order val="2"/>
          <c:tx>
            <c:v>VIN-max</c:v>
          </c:tx>
          <c:spPr>
            <a:ln>
              <a:solidFill>
                <a:srgbClr val="0000FF"/>
              </a:solidFill>
              <a:prstDash val="solid"/>
            </a:ln>
          </c:spPr>
          <c:marker>
            <c:symbol val="none"/>
          </c:marker>
          <c:cat>
            <c:numRef>
              <c:f>'Calculations - Single'!$F$5:$F$105</c:f>
              <c:numCache>
                <c:formatCode>0.000</c:formatCode>
                <c:ptCount val="101"/>
                <c:pt idx="0">
                  <c:v>1.0000000000000001E-9</c:v>
                </c:pt>
                <c:pt idx="1">
                  <c:v>0.01</c:v>
                </c:pt>
                <c:pt idx="2">
                  <c:v>0.02</c:v>
                </c:pt>
                <c:pt idx="3">
                  <c:v>0.03</c:v>
                </c:pt>
                <c:pt idx="4">
                  <c:v>0.04</c:v>
                </c:pt>
                <c:pt idx="5">
                  <c:v>0.05</c:v>
                </c:pt>
                <c:pt idx="6">
                  <c:v>0.06</c:v>
                </c:pt>
                <c:pt idx="7">
                  <c:v>7.0000000000000007E-2</c:v>
                </c:pt>
                <c:pt idx="8">
                  <c:v>0.08</c:v>
                </c:pt>
                <c:pt idx="9">
                  <c:v>0.09</c:v>
                </c:pt>
                <c:pt idx="10">
                  <c:v>0.1</c:v>
                </c:pt>
                <c:pt idx="11">
                  <c:v>0.11</c:v>
                </c:pt>
                <c:pt idx="12">
                  <c:v>0.12</c:v>
                </c:pt>
                <c:pt idx="13">
                  <c:v>0.13</c:v>
                </c:pt>
                <c:pt idx="14">
                  <c:v>0.14000000000000001</c:v>
                </c:pt>
                <c:pt idx="15">
                  <c:v>0.15</c:v>
                </c:pt>
                <c:pt idx="16">
                  <c:v>0.16</c:v>
                </c:pt>
                <c:pt idx="17">
                  <c:v>0.17</c:v>
                </c:pt>
                <c:pt idx="18">
                  <c:v>0.18</c:v>
                </c:pt>
                <c:pt idx="19">
                  <c:v>0.19</c:v>
                </c:pt>
                <c:pt idx="20">
                  <c:v>0.2</c:v>
                </c:pt>
                <c:pt idx="21">
                  <c:v>0.21</c:v>
                </c:pt>
                <c:pt idx="22">
                  <c:v>0.22</c:v>
                </c:pt>
                <c:pt idx="23">
                  <c:v>0.23</c:v>
                </c:pt>
                <c:pt idx="24">
                  <c:v>0.24</c:v>
                </c:pt>
                <c:pt idx="25">
                  <c:v>0.25</c:v>
                </c:pt>
                <c:pt idx="26">
                  <c:v>0.26</c:v>
                </c:pt>
                <c:pt idx="27">
                  <c:v>0.27</c:v>
                </c:pt>
                <c:pt idx="28">
                  <c:v>0.28000000000000003</c:v>
                </c:pt>
                <c:pt idx="29">
                  <c:v>0.28999999999999998</c:v>
                </c:pt>
                <c:pt idx="30">
                  <c:v>0.3</c:v>
                </c:pt>
                <c:pt idx="31">
                  <c:v>0.31</c:v>
                </c:pt>
                <c:pt idx="32">
                  <c:v>0.32</c:v>
                </c:pt>
                <c:pt idx="33">
                  <c:v>0.33</c:v>
                </c:pt>
                <c:pt idx="34">
                  <c:v>0.34</c:v>
                </c:pt>
                <c:pt idx="35">
                  <c:v>0.35</c:v>
                </c:pt>
                <c:pt idx="36">
                  <c:v>0.36</c:v>
                </c:pt>
                <c:pt idx="37">
                  <c:v>0.37</c:v>
                </c:pt>
                <c:pt idx="38">
                  <c:v>0.38</c:v>
                </c:pt>
                <c:pt idx="39">
                  <c:v>0.39</c:v>
                </c:pt>
                <c:pt idx="40">
                  <c:v>0.4</c:v>
                </c:pt>
                <c:pt idx="41">
                  <c:v>0.41</c:v>
                </c:pt>
                <c:pt idx="42">
                  <c:v>0.42</c:v>
                </c:pt>
                <c:pt idx="43">
                  <c:v>0.43</c:v>
                </c:pt>
                <c:pt idx="44">
                  <c:v>0.44</c:v>
                </c:pt>
                <c:pt idx="45">
                  <c:v>0.45</c:v>
                </c:pt>
                <c:pt idx="46">
                  <c:v>0.46</c:v>
                </c:pt>
                <c:pt idx="47">
                  <c:v>0.47</c:v>
                </c:pt>
                <c:pt idx="48">
                  <c:v>0.48</c:v>
                </c:pt>
                <c:pt idx="49">
                  <c:v>0.49</c:v>
                </c:pt>
                <c:pt idx="50">
                  <c:v>0.5</c:v>
                </c:pt>
                <c:pt idx="51">
                  <c:v>0.51</c:v>
                </c:pt>
                <c:pt idx="52">
                  <c:v>0.52</c:v>
                </c:pt>
                <c:pt idx="53">
                  <c:v>0.53</c:v>
                </c:pt>
                <c:pt idx="54">
                  <c:v>0.54</c:v>
                </c:pt>
                <c:pt idx="55">
                  <c:v>0.55000000000000004</c:v>
                </c:pt>
                <c:pt idx="56">
                  <c:v>0.56000000000000005</c:v>
                </c:pt>
                <c:pt idx="57">
                  <c:v>0.56999999999999995</c:v>
                </c:pt>
                <c:pt idx="58">
                  <c:v>0.57999999999999996</c:v>
                </c:pt>
                <c:pt idx="59">
                  <c:v>0.59</c:v>
                </c:pt>
                <c:pt idx="60">
                  <c:v>0.6</c:v>
                </c:pt>
                <c:pt idx="61">
                  <c:v>0.61</c:v>
                </c:pt>
                <c:pt idx="62">
                  <c:v>0.62</c:v>
                </c:pt>
                <c:pt idx="63">
                  <c:v>0.63</c:v>
                </c:pt>
                <c:pt idx="64">
                  <c:v>0.64</c:v>
                </c:pt>
                <c:pt idx="65">
                  <c:v>0.65</c:v>
                </c:pt>
                <c:pt idx="66">
                  <c:v>0.66</c:v>
                </c:pt>
                <c:pt idx="67">
                  <c:v>0.67</c:v>
                </c:pt>
                <c:pt idx="68">
                  <c:v>0.68</c:v>
                </c:pt>
                <c:pt idx="69">
                  <c:v>0.69</c:v>
                </c:pt>
                <c:pt idx="70">
                  <c:v>0.7</c:v>
                </c:pt>
                <c:pt idx="71">
                  <c:v>0.71</c:v>
                </c:pt>
                <c:pt idx="72">
                  <c:v>0.72</c:v>
                </c:pt>
                <c:pt idx="73">
                  <c:v>0.73</c:v>
                </c:pt>
                <c:pt idx="74">
                  <c:v>0.74</c:v>
                </c:pt>
                <c:pt idx="75">
                  <c:v>0.75</c:v>
                </c:pt>
                <c:pt idx="76">
                  <c:v>0.76</c:v>
                </c:pt>
                <c:pt idx="77">
                  <c:v>0.77</c:v>
                </c:pt>
                <c:pt idx="78">
                  <c:v>0.78</c:v>
                </c:pt>
                <c:pt idx="79">
                  <c:v>0.79</c:v>
                </c:pt>
                <c:pt idx="80">
                  <c:v>0.8</c:v>
                </c:pt>
                <c:pt idx="81">
                  <c:v>0.81</c:v>
                </c:pt>
                <c:pt idx="82">
                  <c:v>0.82</c:v>
                </c:pt>
                <c:pt idx="83">
                  <c:v>0.83</c:v>
                </c:pt>
                <c:pt idx="84">
                  <c:v>0.84</c:v>
                </c:pt>
                <c:pt idx="85">
                  <c:v>0.85</c:v>
                </c:pt>
                <c:pt idx="86">
                  <c:v>0.86</c:v>
                </c:pt>
                <c:pt idx="87">
                  <c:v>0.87</c:v>
                </c:pt>
                <c:pt idx="88">
                  <c:v>0.88</c:v>
                </c:pt>
                <c:pt idx="89">
                  <c:v>0.89</c:v>
                </c:pt>
                <c:pt idx="90">
                  <c:v>0.9</c:v>
                </c:pt>
                <c:pt idx="91">
                  <c:v>0.91</c:v>
                </c:pt>
                <c:pt idx="92">
                  <c:v>0.92</c:v>
                </c:pt>
                <c:pt idx="93">
                  <c:v>0.93</c:v>
                </c:pt>
                <c:pt idx="94">
                  <c:v>0.94</c:v>
                </c:pt>
                <c:pt idx="95">
                  <c:v>0.95</c:v>
                </c:pt>
                <c:pt idx="96">
                  <c:v>0.96</c:v>
                </c:pt>
                <c:pt idx="97">
                  <c:v>0.97</c:v>
                </c:pt>
                <c:pt idx="98">
                  <c:v>0.98</c:v>
                </c:pt>
                <c:pt idx="99">
                  <c:v>0.99</c:v>
                </c:pt>
                <c:pt idx="100">
                  <c:v>1</c:v>
                </c:pt>
              </c:numCache>
            </c:numRef>
          </c:cat>
          <c:val>
            <c:numRef>
              <c:f>'Calculations - Single'!$AN$217:$AN$317</c:f>
              <c:numCache>
                <c:formatCode>0.0</c:formatCode>
                <c:ptCount val="101"/>
                <c:pt idx="0">
                  <c:v>12</c:v>
                </c:pt>
                <c:pt idx="1">
                  <c:v>67.561825444038433</c:v>
                </c:pt>
                <c:pt idx="2">
                  <c:v>135.12365088807687</c:v>
                </c:pt>
                <c:pt idx="3">
                  <c:v>202.68547633211526</c:v>
                </c:pt>
                <c:pt idx="4">
                  <c:v>270.24730177615373</c:v>
                </c:pt>
                <c:pt idx="5">
                  <c:v>337.80912722019218</c:v>
                </c:pt>
                <c:pt idx="6">
                  <c:v>350</c:v>
                </c:pt>
                <c:pt idx="7">
                  <c:v>350</c:v>
                </c:pt>
                <c:pt idx="8">
                  <c:v>350</c:v>
                </c:pt>
                <c:pt idx="9">
                  <c:v>350</c:v>
                </c:pt>
                <c:pt idx="10">
                  <c:v>350</c:v>
                </c:pt>
                <c:pt idx="11">
                  <c:v>350</c:v>
                </c:pt>
                <c:pt idx="12">
                  <c:v>350</c:v>
                </c:pt>
                <c:pt idx="13">
                  <c:v>350</c:v>
                </c:pt>
                <c:pt idx="14">
                  <c:v>350</c:v>
                </c:pt>
                <c:pt idx="15">
                  <c:v>350</c:v>
                </c:pt>
                <c:pt idx="16">
                  <c:v>350</c:v>
                </c:pt>
                <c:pt idx="17">
                  <c:v>350</c:v>
                </c:pt>
                <c:pt idx="18">
                  <c:v>350</c:v>
                </c:pt>
                <c:pt idx="19">
                  <c:v>350</c:v>
                </c:pt>
                <c:pt idx="20">
                  <c:v>350</c:v>
                </c:pt>
                <c:pt idx="21">
                  <c:v>350</c:v>
                </c:pt>
                <c:pt idx="22">
                  <c:v>350</c:v>
                </c:pt>
                <c:pt idx="23">
                  <c:v>350</c:v>
                </c:pt>
                <c:pt idx="24">
                  <c:v>350</c:v>
                </c:pt>
                <c:pt idx="25">
                  <c:v>350</c:v>
                </c:pt>
                <c:pt idx="26">
                  <c:v>350</c:v>
                </c:pt>
                <c:pt idx="27">
                  <c:v>350</c:v>
                </c:pt>
                <c:pt idx="28">
                  <c:v>350</c:v>
                </c:pt>
                <c:pt idx="29">
                  <c:v>350</c:v>
                </c:pt>
                <c:pt idx="30">
                  <c:v>350</c:v>
                </c:pt>
                <c:pt idx="31">
                  <c:v>350</c:v>
                </c:pt>
                <c:pt idx="32">
                  <c:v>350</c:v>
                </c:pt>
                <c:pt idx="33">
                  <c:v>350</c:v>
                </c:pt>
                <c:pt idx="34">
                  <c:v>350</c:v>
                </c:pt>
                <c:pt idx="35">
                  <c:v>350</c:v>
                </c:pt>
                <c:pt idx="36">
                  <c:v>350</c:v>
                </c:pt>
                <c:pt idx="37">
                  <c:v>350</c:v>
                </c:pt>
                <c:pt idx="38">
                  <c:v>350</c:v>
                </c:pt>
                <c:pt idx="39">
                  <c:v>350</c:v>
                </c:pt>
                <c:pt idx="40">
                  <c:v>350</c:v>
                </c:pt>
                <c:pt idx="41">
                  <c:v>350</c:v>
                </c:pt>
                <c:pt idx="42">
                  <c:v>350</c:v>
                </c:pt>
                <c:pt idx="43">
                  <c:v>350</c:v>
                </c:pt>
                <c:pt idx="44">
                  <c:v>350</c:v>
                </c:pt>
                <c:pt idx="45">
                  <c:v>350</c:v>
                </c:pt>
                <c:pt idx="46">
                  <c:v>350</c:v>
                </c:pt>
                <c:pt idx="47">
                  <c:v>350</c:v>
                </c:pt>
                <c:pt idx="48">
                  <c:v>350</c:v>
                </c:pt>
                <c:pt idx="49">
                  <c:v>350</c:v>
                </c:pt>
                <c:pt idx="50">
                  <c:v>350</c:v>
                </c:pt>
                <c:pt idx="51">
                  <c:v>350</c:v>
                </c:pt>
                <c:pt idx="52">
                  <c:v>350</c:v>
                </c:pt>
                <c:pt idx="53">
                  <c:v>350</c:v>
                </c:pt>
                <c:pt idx="54">
                  <c:v>350</c:v>
                </c:pt>
                <c:pt idx="55">
                  <c:v>350</c:v>
                </c:pt>
                <c:pt idx="56">
                  <c:v>350</c:v>
                </c:pt>
                <c:pt idx="57">
                  <c:v>350</c:v>
                </c:pt>
                <c:pt idx="58">
                  <c:v>350</c:v>
                </c:pt>
                <c:pt idx="59">
                  <c:v>350</c:v>
                </c:pt>
                <c:pt idx="60">
                  <c:v>350</c:v>
                </c:pt>
                <c:pt idx="61">
                  <c:v>350</c:v>
                </c:pt>
                <c:pt idx="62">
                  <c:v>350</c:v>
                </c:pt>
                <c:pt idx="63">
                  <c:v>350</c:v>
                </c:pt>
                <c:pt idx="64">
                  <c:v>350</c:v>
                </c:pt>
                <c:pt idx="65">
                  <c:v>350</c:v>
                </c:pt>
                <c:pt idx="66">
                  <c:v>350</c:v>
                </c:pt>
                <c:pt idx="67">
                  <c:v>350</c:v>
                </c:pt>
                <c:pt idx="68">
                  <c:v>350</c:v>
                </c:pt>
                <c:pt idx="69">
                  <c:v>350</c:v>
                </c:pt>
                <c:pt idx="70">
                  <c:v>350</c:v>
                </c:pt>
                <c:pt idx="71">
                  <c:v>350</c:v>
                </c:pt>
                <c:pt idx="72">
                  <c:v>350</c:v>
                </c:pt>
                <c:pt idx="73">
                  <c:v>350</c:v>
                </c:pt>
                <c:pt idx="74">
                  <c:v>350</c:v>
                </c:pt>
                <c:pt idx="75">
                  <c:v>350</c:v>
                </c:pt>
                <c:pt idx="76">
                  <c:v>350</c:v>
                </c:pt>
                <c:pt idx="77">
                  <c:v>350</c:v>
                </c:pt>
                <c:pt idx="78">
                  <c:v>350</c:v>
                </c:pt>
                <c:pt idx="79">
                  <c:v>350</c:v>
                </c:pt>
                <c:pt idx="80">
                  <c:v>350</c:v>
                </c:pt>
                <c:pt idx="81">
                  <c:v>350</c:v>
                </c:pt>
                <c:pt idx="82">
                  <c:v>350</c:v>
                </c:pt>
                <c:pt idx="83">
                  <c:v>350</c:v>
                </c:pt>
                <c:pt idx="84">
                  <c:v>350</c:v>
                </c:pt>
                <c:pt idx="85">
                  <c:v>350</c:v>
                </c:pt>
                <c:pt idx="86">
                  <c:v>350</c:v>
                </c:pt>
                <c:pt idx="87">
                  <c:v>350</c:v>
                </c:pt>
                <c:pt idx="88">
                  <c:v>350</c:v>
                </c:pt>
                <c:pt idx="89">
                  <c:v>350</c:v>
                </c:pt>
                <c:pt idx="90">
                  <c:v>350</c:v>
                </c:pt>
                <c:pt idx="91">
                  <c:v>350</c:v>
                </c:pt>
                <c:pt idx="92">
                  <c:v>350</c:v>
                </c:pt>
                <c:pt idx="93">
                  <c:v>350</c:v>
                </c:pt>
                <c:pt idx="94">
                  <c:v>350</c:v>
                </c:pt>
                <c:pt idx="95">
                  <c:v>350</c:v>
                </c:pt>
                <c:pt idx="96">
                  <c:v>350</c:v>
                </c:pt>
                <c:pt idx="97">
                  <c:v>350</c:v>
                </c:pt>
                <c:pt idx="98">
                  <c:v>350</c:v>
                </c:pt>
                <c:pt idx="99">
                  <c:v>350</c:v>
                </c:pt>
                <c:pt idx="100">
                  <c:v>350</c:v>
                </c:pt>
              </c:numCache>
            </c:numRef>
          </c:val>
          <c:smooth val="0"/>
          <c:extLst>
            <c:ext xmlns:c16="http://schemas.microsoft.com/office/drawing/2014/chart" uri="{C3380CC4-5D6E-409C-BE32-E72D297353CC}">
              <c16:uniqueId val="{00000002-E64D-41E7-94BC-21EDCF5E0F0A}"/>
            </c:ext>
          </c:extLst>
        </c:ser>
        <c:ser>
          <c:idx val="3"/>
          <c:order val="3"/>
          <c:spPr>
            <a:ln>
              <a:noFill/>
            </a:ln>
          </c:spPr>
          <c:marker>
            <c:symbol val="x"/>
            <c:size val="10"/>
            <c:spPr>
              <a:pattFill prst="pct5">
                <a:fgClr>
                  <a:schemeClr val="tx1"/>
                </a:fgClr>
                <a:bgClr>
                  <a:schemeClr val="bg1"/>
                </a:bgClr>
              </a:pattFill>
              <a:ln>
                <a:solidFill>
                  <a:srgbClr val="33CC33"/>
                </a:solidFill>
              </a:ln>
            </c:spPr>
          </c:marker>
          <c:cat>
            <c:numRef>
              <c:f>'Calculations - Single'!$F$5:$F$105</c:f>
              <c:numCache>
                <c:formatCode>0.000</c:formatCode>
                <c:ptCount val="101"/>
                <c:pt idx="0">
                  <c:v>1.0000000000000001E-9</c:v>
                </c:pt>
                <c:pt idx="1">
                  <c:v>0.01</c:v>
                </c:pt>
                <c:pt idx="2">
                  <c:v>0.02</c:v>
                </c:pt>
                <c:pt idx="3">
                  <c:v>0.03</c:v>
                </c:pt>
                <c:pt idx="4">
                  <c:v>0.04</c:v>
                </c:pt>
                <c:pt idx="5">
                  <c:v>0.05</c:v>
                </c:pt>
                <c:pt idx="6">
                  <c:v>0.06</c:v>
                </c:pt>
                <c:pt idx="7">
                  <c:v>7.0000000000000007E-2</c:v>
                </c:pt>
                <c:pt idx="8">
                  <c:v>0.08</c:v>
                </c:pt>
                <c:pt idx="9">
                  <c:v>0.09</c:v>
                </c:pt>
                <c:pt idx="10">
                  <c:v>0.1</c:v>
                </c:pt>
                <c:pt idx="11">
                  <c:v>0.11</c:v>
                </c:pt>
                <c:pt idx="12">
                  <c:v>0.12</c:v>
                </c:pt>
                <c:pt idx="13">
                  <c:v>0.13</c:v>
                </c:pt>
                <c:pt idx="14">
                  <c:v>0.14000000000000001</c:v>
                </c:pt>
                <c:pt idx="15">
                  <c:v>0.15</c:v>
                </c:pt>
                <c:pt idx="16">
                  <c:v>0.16</c:v>
                </c:pt>
                <c:pt idx="17">
                  <c:v>0.17</c:v>
                </c:pt>
                <c:pt idx="18">
                  <c:v>0.18</c:v>
                </c:pt>
                <c:pt idx="19">
                  <c:v>0.19</c:v>
                </c:pt>
                <c:pt idx="20">
                  <c:v>0.2</c:v>
                </c:pt>
                <c:pt idx="21">
                  <c:v>0.21</c:v>
                </c:pt>
                <c:pt idx="22">
                  <c:v>0.22</c:v>
                </c:pt>
                <c:pt idx="23">
                  <c:v>0.23</c:v>
                </c:pt>
                <c:pt idx="24">
                  <c:v>0.24</c:v>
                </c:pt>
                <c:pt idx="25">
                  <c:v>0.25</c:v>
                </c:pt>
                <c:pt idx="26">
                  <c:v>0.26</c:v>
                </c:pt>
                <c:pt idx="27">
                  <c:v>0.27</c:v>
                </c:pt>
                <c:pt idx="28">
                  <c:v>0.28000000000000003</c:v>
                </c:pt>
                <c:pt idx="29">
                  <c:v>0.28999999999999998</c:v>
                </c:pt>
                <c:pt idx="30">
                  <c:v>0.3</c:v>
                </c:pt>
                <c:pt idx="31">
                  <c:v>0.31</c:v>
                </c:pt>
                <c:pt idx="32">
                  <c:v>0.32</c:v>
                </c:pt>
                <c:pt idx="33">
                  <c:v>0.33</c:v>
                </c:pt>
                <c:pt idx="34">
                  <c:v>0.34</c:v>
                </c:pt>
                <c:pt idx="35">
                  <c:v>0.35</c:v>
                </c:pt>
                <c:pt idx="36">
                  <c:v>0.36</c:v>
                </c:pt>
                <c:pt idx="37">
                  <c:v>0.37</c:v>
                </c:pt>
                <c:pt idx="38">
                  <c:v>0.38</c:v>
                </c:pt>
                <c:pt idx="39">
                  <c:v>0.39</c:v>
                </c:pt>
                <c:pt idx="40">
                  <c:v>0.4</c:v>
                </c:pt>
                <c:pt idx="41">
                  <c:v>0.41</c:v>
                </c:pt>
                <c:pt idx="42">
                  <c:v>0.42</c:v>
                </c:pt>
                <c:pt idx="43">
                  <c:v>0.43</c:v>
                </c:pt>
                <c:pt idx="44">
                  <c:v>0.44</c:v>
                </c:pt>
                <c:pt idx="45">
                  <c:v>0.45</c:v>
                </c:pt>
                <c:pt idx="46">
                  <c:v>0.46</c:v>
                </c:pt>
                <c:pt idx="47">
                  <c:v>0.47</c:v>
                </c:pt>
                <c:pt idx="48">
                  <c:v>0.48</c:v>
                </c:pt>
                <c:pt idx="49">
                  <c:v>0.49</c:v>
                </c:pt>
                <c:pt idx="50">
                  <c:v>0.5</c:v>
                </c:pt>
                <c:pt idx="51">
                  <c:v>0.51</c:v>
                </c:pt>
                <c:pt idx="52">
                  <c:v>0.52</c:v>
                </c:pt>
                <c:pt idx="53">
                  <c:v>0.53</c:v>
                </c:pt>
                <c:pt idx="54">
                  <c:v>0.54</c:v>
                </c:pt>
                <c:pt idx="55">
                  <c:v>0.55000000000000004</c:v>
                </c:pt>
                <c:pt idx="56">
                  <c:v>0.56000000000000005</c:v>
                </c:pt>
                <c:pt idx="57">
                  <c:v>0.56999999999999995</c:v>
                </c:pt>
                <c:pt idx="58">
                  <c:v>0.57999999999999996</c:v>
                </c:pt>
                <c:pt idx="59">
                  <c:v>0.59</c:v>
                </c:pt>
                <c:pt idx="60">
                  <c:v>0.6</c:v>
                </c:pt>
                <c:pt idx="61">
                  <c:v>0.61</c:v>
                </c:pt>
                <c:pt idx="62">
                  <c:v>0.62</c:v>
                </c:pt>
                <c:pt idx="63">
                  <c:v>0.63</c:v>
                </c:pt>
                <c:pt idx="64">
                  <c:v>0.64</c:v>
                </c:pt>
                <c:pt idx="65">
                  <c:v>0.65</c:v>
                </c:pt>
                <c:pt idx="66">
                  <c:v>0.66</c:v>
                </c:pt>
                <c:pt idx="67">
                  <c:v>0.67</c:v>
                </c:pt>
                <c:pt idx="68">
                  <c:v>0.68</c:v>
                </c:pt>
                <c:pt idx="69">
                  <c:v>0.69</c:v>
                </c:pt>
                <c:pt idx="70">
                  <c:v>0.7</c:v>
                </c:pt>
                <c:pt idx="71">
                  <c:v>0.71</c:v>
                </c:pt>
                <c:pt idx="72">
                  <c:v>0.72</c:v>
                </c:pt>
                <c:pt idx="73">
                  <c:v>0.73</c:v>
                </c:pt>
                <c:pt idx="74">
                  <c:v>0.74</c:v>
                </c:pt>
                <c:pt idx="75">
                  <c:v>0.75</c:v>
                </c:pt>
                <c:pt idx="76">
                  <c:v>0.76</c:v>
                </c:pt>
                <c:pt idx="77">
                  <c:v>0.77</c:v>
                </c:pt>
                <c:pt idx="78">
                  <c:v>0.78</c:v>
                </c:pt>
                <c:pt idx="79">
                  <c:v>0.79</c:v>
                </c:pt>
                <c:pt idx="80">
                  <c:v>0.8</c:v>
                </c:pt>
                <c:pt idx="81">
                  <c:v>0.81</c:v>
                </c:pt>
                <c:pt idx="82">
                  <c:v>0.82</c:v>
                </c:pt>
                <c:pt idx="83">
                  <c:v>0.83</c:v>
                </c:pt>
                <c:pt idx="84">
                  <c:v>0.84</c:v>
                </c:pt>
                <c:pt idx="85">
                  <c:v>0.85</c:v>
                </c:pt>
                <c:pt idx="86">
                  <c:v>0.86</c:v>
                </c:pt>
                <c:pt idx="87">
                  <c:v>0.87</c:v>
                </c:pt>
                <c:pt idx="88">
                  <c:v>0.88</c:v>
                </c:pt>
                <c:pt idx="89">
                  <c:v>0.89</c:v>
                </c:pt>
                <c:pt idx="90">
                  <c:v>0.9</c:v>
                </c:pt>
                <c:pt idx="91">
                  <c:v>0.91</c:v>
                </c:pt>
                <c:pt idx="92">
                  <c:v>0.92</c:v>
                </c:pt>
                <c:pt idx="93">
                  <c:v>0.93</c:v>
                </c:pt>
                <c:pt idx="94">
                  <c:v>0.94</c:v>
                </c:pt>
                <c:pt idx="95">
                  <c:v>0.95</c:v>
                </c:pt>
                <c:pt idx="96">
                  <c:v>0.96</c:v>
                </c:pt>
                <c:pt idx="97">
                  <c:v>0.97</c:v>
                </c:pt>
                <c:pt idx="98">
                  <c:v>0.98</c:v>
                </c:pt>
                <c:pt idx="99">
                  <c:v>0.99</c:v>
                </c:pt>
                <c:pt idx="100">
                  <c:v>1</c:v>
                </c:pt>
              </c:numCache>
            </c:numRef>
          </c:cat>
          <c:val>
            <c:numRef>
              <c:f>'Calculations - Single'!$CD$110:$CD$210</c:f>
              <c:numCache>
                <c:formatCode>General</c:formatCode>
                <c:ptCount val="10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numCache>
            </c:numRef>
          </c:val>
          <c:smooth val="0"/>
          <c:extLst>
            <c:ext xmlns:c16="http://schemas.microsoft.com/office/drawing/2014/chart" uri="{C3380CC4-5D6E-409C-BE32-E72D297353CC}">
              <c16:uniqueId val="{00000003-E64D-41E7-94BC-21EDCF5E0F0A}"/>
            </c:ext>
          </c:extLst>
        </c:ser>
        <c:ser>
          <c:idx val="4"/>
          <c:order val="4"/>
          <c:spPr>
            <a:ln>
              <a:noFill/>
            </a:ln>
          </c:spPr>
          <c:marker>
            <c:symbol val="x"/>
            <c:size val="10"/>
            <c:spPr>
              <a:pattFill prst="pct5">
                <a:fgClr>
                  <a:schemeClr val="tx1"/>
                </a:fgClr>
                <a:bgClr>
                  <a:schemeClr val="bg1"/>
                </a:bgClr>
              </a:pattFill>
              <a:ln>
                <a:solidFill>
                  <a:srgbClr val="FF0000"/>
                </a:solidFill>
              </a:ln>
            </c:spPr>
          </c:marker>
          <c:cat>
            <c:numRef>
              <c:f>'Calculations - Single'!$F$5:$F$105</c:f>
              <c:numCache>
                <c:formatCode>0.000</c:formatCode>
                <c:ptCount val="101"/>
                <c:pt idx="0">
                  <c:v>1.0000000000000001E-9</c:v>
                </c:pt>
                <c:pt idx="1">
                  <c:v>0.01</c:v>
                </c:pt>
                <c:pt idx="2">
                  <c:v>0.02</c:v>
                </c:pt>
                <c:pt idx="3">
                  <c:v>0.03</c:v>
                </c:pt>
                <c:pt idx="4">
                  <c:v>0.04</c:v>
                </c:pt>
                <c:pt idx="5">
                  <c:v>0.05</c:v>
                </c:pt>
                <c:pt idx="6">
                  <c:v>0.06</c:v>
                </c:pt>
                <c:pt idx="7">
                  <c:v>7.0000000000000007E-2</c:v>
                </c:pt>
                <c:pt idx="8">
                  <c:v>0.08</c:v>
                </c:pt>
                <c:pt idx="9">
                  <c:v>0.09</c:v>
                </c:pt>
                <c:pt idx="10">
                  <c:v>0.1</c:v>
                </c:pt>
                <c:pt idx="11">
                  <c:v>0.11</c:v>
                </c:pt>
                <c:pt idx="12">
                  <c:v>0.12</c:v>
                </c:pt>
                <c:pt idx="13">
                  <c:v>0.13</c:v>
                </c:pt>
                <c:pt idx="14">
                  <c:v>0.14000000000000001</c:v>
                </c:pt>
                <c:pt idx="15">
                  <c:v>0.15</c:v>
                </c:pt>
                <c:pt idx="16">
                  <c:v>0.16</c:v>
                </c:pt>
                <c:pt idx="17">
                  <c:v>0.17</c:v>
                </c:pt>
                <c:pt idx="18">
                  <c:v>0.18</c:v>
                </c:pt>
                <c:pt idx="19">
                  <c:v>0.19</c:v>
                </c:pt>
                <c:pt idx="20">
                  <c:v>0.2</c:v>
                </c:pt>
                <c:pt idx="21">
                  <c:v>0.21</c:v>
                </c:pt>
                <c:pt idx="22">
                  <c:v>0.22</c:v>
                </c:pt>
                <c:pt idx="23">
                  <c:v>0.23</c:v>
                </c:pt>
                <c:pt idx="24">
                  <c:v>0.24</c:v>
                </c:pt>
                <c:pt idx="25">
                  <c:v>0.25</c:v>
                </c:pt>
                <c:pt idx="26">
                  <c:v>0.26</c:v>
                </c:pt>
                <c:pt idx="27">
                  <c:v>0.27</c:v>
                </c:pt>
                <c:pt idx="28">
                  <c:v>0.28000000000000003</c:v>
                </c:pt>
                <c:pt idx="29">
                  <c:v>0.28999999999999998</c:v>
                </c:pt>
                <c:pt idx="30">
                  <c:v>0.3</c:v>
                </c:pt>
                <c:pt idx="31">
                  <c:v>0.31</c:v>
                </c:pt>
                <c:pt idx="32">
                  <c:v>0.32</c:v>
                </c:pt>
                <c:pt idx="33">
                  <c:v>0.33</c:v>
                </c:pt>
                <c:pt idx="34">
                  <c:v>0.34</c:v>
                </c:pt>
                <c:pt idx="35">
                  <c:v>0.35</c:v>
                </c:pt>
                <c:pt idx="36">
                  <c:v>0.36</c:v>
                </c:pt>
                <c:pt idx="37">
                  <c:v>0.37</c:v>
                </c:pt>
                <c:pt idx="38">
                  <c:v>0.38</c:v>
                </c:pt>
                <c:pt idx="39">
                  <c:v>0.39</c:v>
                </c:pt>
                <c:pt idx="40">
                  <c:v>0.4</c:v>
                </c:pt>
                <c:pt idx="41">
                  <c:v>0.41</c:v>
                </c:pt>
                <c:pt idx="42">
                  <c:v>0.42</c:v>
                </c:pt>
                <c:pt idx="43">
                  <c:v>0.43</c:v>
                </c:pt>
                <c:pt idx="44">
                  <c:v>0.44</c:v>
                </c:pt>
                <c:pt idx="45">
                  <c:v>0.45</c:v>
                </c:pt>
                <c:pt idx="46">
                  <c:v>0.46</c:v>
                </c:pt>
                <c:pt idx="47">
                  <c:v>0.47</c:v>
                </c:pt>
                <c:pt idx="48">
                  <c:v>0.48</c:v>
                </c:pt>
                <c:pt idx="49">
                  <c:v>0.49</c:v>
                </c:pt>
                <c:pt idx="50">
                  <c:v>0.5</c:v>
                </c:pt>
                <c:pt idx="51">
                  <c:v>0.51</c:v>
                </c:pt>
                <c:pt idx="52">
                  <c:v>0.52</c:v>
                </c:pt>
                <c:pt idx="53">
                  <c:v>0.53</c:v>
                </c:pt>
                <c:pt idx="54">
                  <c:v>0.54</c:v>
                </c:pt>
                <c:pt idx="55">
                  <c:v>0.55000000000000004</c:v>
                </c:pt>
                <c:pt idx="56">
                  <c:v>0.56000000000000005</c:v>
                </c:pt>
                <c:pt idx="57">
                  <c:v>0.56999999999999995</c:v>
                </c:pt>
                <c:pt idx="58">
                  <c:v>0.57999999999999996</c:v>
                </c:pt>
                <c:pt idx="59">
                  <c:v>0.59</c:v>
                </c:pt>
                <c:pt idx="60">
                  <c:v>0.6</c:v>
                </c:pt>
                <c:pt idx="61">
                  <c:v>0.61</c:v>
                </c:pt>
                <c:pt idx="62">
                  <c:v>0.62</c:v>
                </c:pt>
                <c:pt idx="63">
                  <c:v>0.63</c:v>
                </c:pt>
                <c:pt idx="64">
                  <c:v>0.64</c:v>
                </c:pt>
                <c:pt idx="65">
                  <c:v>0.65</c:v>
                </c:pt>
                <c:pt idx="66">
                  <c:v>0.66</c:v>
                </c:pt>
                <c:pt idx="67">
                  <c:v>0.67</c:v>
                </c:pt>
                <c:pt idx="68">
                  <c:v>0.68</c:v>
                </c:pt>
                <c:pt idx="69">
                  <c:v>0.69</c:v>
                </c:pt>
                <c:pt idx="70">
                  <c:v>0.7</c:v>
                </c:pt>
                <c:pt idx="71">
                  <c:v>0.71</c:v>
                </c:pt>
                <c:pt idx="72">
                  <c:v>0.72</c:v>
                </c:pt>
                <c:pt idx="73">
                  <c:v>0.73</c:v>
                </c:pt>
                <c:pt idx="74">
                  <c:v>0.74</c:v>
                </c:pt>
                <c:pt idx="75">
                  <c:v>0.75</c:v>
                </c:pt>
                <c:pt idx="76">
                  <c:v>0.76</c:v>
                </c:pt>
                <c:pt idx="77">
                  <c:v>0.77</c:v>
                </c:pt>
                <c:pt idx="78">
                  <c:v>0.78</c:v>
                </c:pt>
                <c:pt idx="79">
                  <c:v>0.79</c:v>
                </c:pt>
                <c:pt idx="80">
                  <c:v>0.8</c:v>
                </c:pt>
                <c:pt idx="81">
                  <c:v>0.81</c:v>
                </c:pt>
                <c:pt idx="82">
                  <c:v>0.82</c:v>
                </c:pt>
                <c:pt idx="83">
                  <c:v>0.83</c:v>
                </c:pt>
                <c:pt idx="84">
                  <c:v>0.84</c:v>
                </c:pt>
                <c:pt idx="85">
                  <c:v>0.85</c:v>
                </c:pt>
                <c:pt idx="86">
                  <c:v>0.86</c:v>
                </c:pt>
                <c:pt idx="87">
                  <c:v>0.87</c:v>
                </c:pt>
                <c:pt idx="88">
                  <c:v>0.88</c:v>
                </c:pt>
                <c:pt idx="89">
                  <c:v>0.89</c:v>
                </c:pt>
                <c:pt idx="90">
                  <c:v>0.9</c:v>
                </c:pt>
                <c:pt idx="91">
                  <c:v>0.91</c:v>
                </c:pt>
                <c:pt idx="92">
                  <c:v>0.92</c:v>
                </c:pt>
                <c:pt idx="93">
                  <c:v>0.93</c:v>
                </c:pt>
                <c:pt idx="94">
                  <c:v>0.94</c:v>
                </c:pt>
                <c:pt idx="95">
                  <c:v>0.95</c:v>
                </c:pt>
                <c:pt idx="96">
                  <c:v>0.96</c:v>
                </c:pt>
                <c:pt idx="97">
                  <c:v>0.97</c:v>
                </c:pt>
                <c:pt idx="98">
                  <c:v>0.98</c:v>
                </c:pt>
                <c:pt idx="99">
                  <c:v>0.99</c:v>
                </c:pt>
                <c:pt idx="100">
                  <c:v>1</c:v>
                </c:pt>
              </c:numCache>
            </c:numRef>
          </c:cat>
          <c:val>
            <c:numRef>
              <c:f>'Calculations - Single'!$CD$5:$CD$105</c:f>
              <c:numCache>
                <c:formatCode>General</c:formatCode>
                <c:ptCount val="10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numCache>
            </c:numRef>
          </c:val>
          <c:smooth val="0"/>
          <c:extLst>
            <c:ext xmlns:c16="http://schemas.microsoft.com/office/drawing/2014/chart" uri="{C3380CC4-5D6E-409C-BE32-E72D297353CC}">
              <c16:uniqueId val="{00000004-E64D-41E7-94BC-21EDCF5E0F0A}"/>
            </c:ext>
          </c:extLst>
        </c:ser>
        <c:ser>
          <c:idx val="5"/>
          <c:order val="5"/>
          <c:spPr>
            <a:ln>
              <a:noFill/>
            </a:ln>
          </c:spPr>
          <c:marker>
            <c:symbol val="x"/>
            <c:size val="10"/>
            <c:spPr>
              <a:pattFill prst="pct5">
                <a:fgClr>
                  <a:schemeClr val="tx1"/>
                </a:fgClr>
                <a:bgClr>
                  <a:schemeClr val="bg1"/>
                </a:bgClr>
              </a:pattFill>
              <a:ln>
                <a:solidFill>
                  <a:srgbClr val="0000FF"/>
                </a:solidFill>
              </a:ln>
            </c:spPr>
          </c:marker>
          <c:cat>
            <c:numRef>
              <c:f>'Calculations - Single'!$F$5:$F$105</c:f>
              <c:numCache>
                <c:formatCode>0.000</c:formatCode>
                <c:ptCount val="101"/>
                <c:pt idx="0">
                  <c:v>1.0000000000000001E-9</c:v>
                </c:pt>
                <c:pt idx="1">
                  <c:v>0.01</c:v>
                </c:pt>
                <c:pt idx="2">
                  <c:v>0.02</c:v>
                </c:pt>
                <c:pt idx="3">
                  <c:v>0.03</c:v>
                </c:pt>
                <c:pt idx="4">
                  <c:v>0.04</c:v>
                </c:pt>
                <c:pt idx="5">
                  <c:v>0.05</c:v>
                </c:pt>
                <c:pt idx="6">
                  <c:v>0.06</c:v>
                </c:pt>
                <c:pt idx="7">
                  <c:v>7.0000000000000007E-2</c:v>
                </c:pt>
                <c:pt idx="8">
                  <c:v>0.08</c:v>
                </c:pt>
                <c:pt idx="9">
                  <c:v>0.09</c:v>
                </c:pt>
                <c:pt idx="10">
                  <c:v>0.1</c:v>
                </c:pt>
                <c:pt idx="11">
                  <c:v>0.11</c:v>
                </c:pt>
                <c:pt idx="12">
                  <c:v>0.12</c:v>
                </c:pt>
                <c:pt idx="13">
                  <c:v>0.13</c:v>
                </c:pt>
                <c:pt idx="14">
                  <c:v>0.14000000000000001</c:v>
                </c:pt>
                <c:pt idx="15">
                  <c:v>0.15</c:v>
                </c:pt>
                <c:pt idx="16">
                  <c:v>0.16</c:v>
                </c:pt>
                <c:pt idx="17">
                  <c:v>0.17</c:v>
                </c:pt>
                <c:pt idx="18">
                  <c:v>0.18</c:v>
                </c:pt>
                <c:pt idx="19">
                  <c:v>0.19</c:v>
                </c:pt>
                <c:pt idx="20">
                  <c:v>0.2</c:v>
                </c:pt>
                <c:pt idx="21">
                  <c:v>0.21</c:v>
                </c:pt>
                <c:pt idx="22">
                  <c:v>0.22</c:v>
                </c:pt>
                <c:pt idx="23">
                  <c:v>0.23</c:v>
                </c:pt>
                <c:pt idx="24">
                  <c:v>0.24</c:v>
                </c:pt>
                <c:pt idx="25">
                  <c:v>0.25</c:v>
                </c:pt>
                <c:pt idx="26">
                  <c:v>0.26</c:v>
                </c:pt>
                <c:pt idx="27">
                  <c:v>0.27</c:v>
                </c:pt>
                <c:pt idx="28">
                  <c:v>0.28000000000000003</c:v>
                </c:pt>
                <c:pt idx="29">
                  <c:v>0.28999999999999998</c:v>
                </c:pt>
                <c:pt idx="30">
                  <c:v>0.3</c:v>
                </c:pt>
                <c:pt idx="31">
                  <c:v>0.31</c:v>
                </c:pt>
                <c:pt idx="32">
                  <c:v>0.32</c:v>
                </c:pt>
                <c:pt idx="33">
                  <c:v>0.33</c:v>
                </c:pt>
                <c:pt idx="34">
                  <c:v>0.34</c:v>
                </c:pt>
                <c:pt idx="35">
                  <c:v>0.35</c:v>
                </c:pt>
                <c:pt idx="36">
                  <c:v>0.36</c:v>
                </c:pt>
                <c:pt idx="37">
                  <c:v>0.37</c:v>
                </c:pt>
                <c:pt idx="38">
                  <c:v>0.38</c:v>
                </c:pt>
                <c:pt idx="39">
                  <c:v>0.39</c:v>
                </c:pt>
                <c:pt idx="40">
                  <c:v>0.4</c:v>
                </c:pt>
                <c:pt idx="41">
                  <c:v>0.41</c:v>
                </c:pt>
                <c:pt idx="42">
                  <c:v>0.42</c:v>
                </c:pt>
                <c:pt idx="43">
                  <c:v>0.43</c:v>
                </c:pt>
                <c:pt idx="44">
                  <c:v>0.44</c:v>
                </c:pt>
                <c:pt idx="45">
                  <c:v>0.45</c:v>
                </c:pt>
                <c:pt idx="46">
                  <c:v>0.46</c:v>
                </c:pt>
                <c:pt idx="47">
                  <c:v>0.47</c:v>
                </c:pt>
                <c:pt idx="48">
                  <c:v>0.48</c:v>
                </c:pt>
                <c:pt idx="49">
                  <c:v>0.49</c:v>
                </c:pt>
                <c:pt idx="50">
                  <c:v>0.5</c:v>
                </c:pt>
                <c:pt idx="51">
                  <c:v>0.51</c:v>
                </c:pt>
                <c:pt idx="52">
                  <c:v>0.52</c:v>
                </c:pt>
                <c:pt idx="53">
                  <c:v>0.53</c:v>
                </c:pt>
                <c:pt idx="54">
                  <c:v>0.54</c:v>
                </c:pt>
                <c:pt idx="55">
                  <c:v>0.55000000000000004</c:v>
                </c:pt>
                <c:pt idx="56">
                  <c:v>0.56000000000000005</c:v>
                </c:pt>
                <c:pt idx="57">
                  <c:v>0.56999999999999995</c:v>
                </c:pt>
                <c:pt idx="58">
                  <c:v>0.57999999999999996</c:v>
                </c:pt>
                <c:pt idx="59">
                  <c:v>0.59</c:v>
                </c:pt>
                <c:pt idx="60">
                  <c:v>0.6</c:v>
                </c:pt>
                <c:pt idx="61">
                  <c:v>0.61</c:v>
                </c:pt>
                <c:pt idx="62">
                  <c:v>0.62</c:v>
                </c:pt>
                <c:pt idx="63">
                  <c:v>0.63</c:v>
                </c:pt>
                <c:pt idx="64">
                  <c:v>0.64</c:v>
                </c:pt>
                <c:pt idx="65">
                  <c:v>0.65</c:v>
                </c:pt>
                <c:pt idx="66">
                  <c:v>0.66</c:v>
                </c:pt>
                <c:pt idx="67">
                  <c:v>0.67</c:v>
                </c:pt>
                <c:pt idx="68">
                  <c:v>0.68</c:v>
                </c:pt>
                <c:pt idx="69">
                  <c:v>0.69</c:v>
                </c:pt>
                <c:pt idx="70">
                  <c:v>0.7</c:v>
                </c:pt>
                <c:pt idx="71">
                  <c:v>0.71</c:v>
                </c:pt>
                <c:pt idx="72">
                  <c:v>0.72</c:v>
                </c:pt>
                <c:pt idx="73">
                  <c:v>0.73</c:v>
                </c:pt>
                <c:pt idx="74">
                  <c:v>0.74</c:v>
                </c:pt>
                <c:pt idx="75">
                  <c:v>0.75</c:v>
                </c:pt>
                <c:pt idx="76">
                  <c:v>0.76</c:v>
                </c:pt>
                <c:pt idx="77">
                  <c:v>0.77</c:v>
                </c:pt>
                <c:pt idx="78">
                  <c:v>0.78</c:v>
                </c:pt>
                <c:pt idx="79">
                  <c:v>0.79</c:v>
                </c:pt>
                <c:pt idx="80">
                  <c:v>0.8</c:v>
                </c:pt>
                <c:pt idx="81">
                  <c:v>0.81</c:v>
                </c:pt>
                <c:pt idx="82">
                  <c:v>0.82</c:v>
                </c:pt>
                <c:pt idx="83">
                  <c:v>0.83</c:v>
                </c:pt>
                <c:pt idx="84">
                  <c:v>0.84</c:v>
                </c:pt>
                <c:pt idx="85">
                  <c:v>0.85</c:v>
                </c:pt>
                <c:pt idx="86">
                  <c:v>0.86</c:v>
                </c:pt>
                <c:pt idx="87">
                  <c:v>0.87</c:v>
                </c:pt>
                <c:pt idx="88">
                  <c:v>0.88</c:v>
                </c:pt>
                <c:pt idx="89">
                  <c:v>0.89</c:v>
                </c:pt>
                <c:pt idx="90">
                  <c:v>0.9</c:v>
                </c:pt>
                <c:pt idx="91">
                  <c:v>0.91</c:v>
                </c:pt>
                <c:pt idx="92">
                  <c:v>0.92</c:v>
                </c:pt>
                <c:pt idx="93">
                  <c:v>0.93</c:v>
                </c:pt>
                <c:pt idx="94">
                  <c:v>0.94</c:v>
                </c:pt>
                <c:pt idx="95">
                  <c:v>0.95</c:v>
                </c:pt>
                <c:pt idx="96">
                  <c:v>0.96</c:v>
                </c:pt>
                <c:pt idx="97">
                  <c:v>0.97</c:v>
                </c:pt>
                <c:pt idx="98">
                  <c:v>0.98</c:v>
                </c:pt>
                <c:pt idx="99">
                  <c:v>0.99</c:v>
                </c:pt>
                <c:pt idx="100">
                  <c:v>1</c:v>
                </c:pt>
              </c:numCache>
            </c:numRef>
          </c:cat>
          <c:val>
            <c:numRef>
              <c:f>'Calculations - Single'!$CD$217:$CD$317</c:f>
              <c:numCache>
                <c:formatCode>General</c:formatCode>
                <c:ptCount val="10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numCache>
            </c:numRef>
          </c:val>
          <c:smooth val="0"/>
          <c:extLst>
            <c:ext xmlns:c16="http://schemas.microsoft.com/office/drawing/2014/chart" uri="{C3380CC4-5D6E-409C-BE32-E72D297353CC}">
              <c16:uniqueId val="{00000005-E64D-41E7-94BC-21EDCF5E0F0A}"/>
            </c:ext>
          </c:extLst>
        </c:ser>
        <c:dLbls>
          <c:showLegendKey val="0"/>
          <c:showVal val="0"/>
          <c:showCatName val="0"/>
          <c:showSerName val="0"/>
          <c:showPercent val="0"/>
          <c:showBubbleSize val="0"/>
        </c:dLbls>
        <c:smooth val="0"/>
        <c:axId val="161026432"/>
        <c:axId val="161028736"/>
      </c:lineChart>
      <c:catAx>
        <c:axId val="161026432"/>
        <c:scaling>
          <c:orientation val="minMax"/>
        </c:scaling>
        <c:delete val="0"/>
        <c:axPos val="b"/>
        <c:majorGridlines>
          <c:spPr>
            <a:ln w="15875">
              <a:solidFill>
                <a:srgbClr val="969696"/>
              </a:solidFill>
              <a:prstDash val="sysDash"/>
            </a:ln>
          </c:spPr>
        </c:majorGridlines>
        <c:title>
          <c:tx>
            <c:rich>
              <a:bodyPr/>
              <a:lstStyle/>
              <a:p>
                <a:pPr>
                  <a:defRPr sz="1200" b="1" i="0" u="none" strike="noStrike" baseline="0">
                    <a:solidFill>
                      <a:schemeClr val="tx1"/>
                    </a:solidFill>
                    <a:latin typeface="Arial" pitchFamily="34" charset="0"/>
                    <a:ea typeface="Calibri"/>
                    <a:cs typeface="Arial" pitchFamily="34" charset="0"/>
                  </a:defRPr>
                </a:pPr>
                <a:r>
                  <a:rPr lang="en-US" sz="1200">
                    <a:solidFill>
                      <a:schemeClr val="tx1"/>
                    </a:solidFill>
                    <a:latin typeface="Arial" pitchFamily="34" charset="0"/>
                    <a:cs typeface="Arial" pitchFamily="34" charset="0"/>
                  </a:rPr>
                  <a:t>Load Current (A)</a:t>
                </a:r>
              </a:p>
            </c:rich>
          </c:tx>
          <c:layout>
            <c:manualLayout>
              <c:xMode val="edge"/>
              <c:yMode val="edge"/>
              <c:x val="0.4481026715583204"/>
              <c:y val="0.94106696890161456"/>
            </c:manualLayout>
          </c:layout>
          <c:overlay val="0"/>
          <c:spPr>
            <a:noFill/>
            <a:ln w="25400">
              <a:noFill/>
            </a:ln>
          </c:spPr>
        </c:title>
        <c:numFmt formatCode="#,##0.0" sourceLinked="0"/>
        <c:majorTickMark val="in"/>
        <c:minorTickMark val="in"/>
        <c:tickLblPos val="nextTo"/>
        <c:spPr>
          <a:ln w="3175">
            <a:solidFill>
              <a:schemeClr val="tx1"/>
            </a:solidFill>
            <a:prstDash val="solid"/>
          </a:ln>
        </c:spPr>
        <c:txPr>
          <a:bodyPr rot="0" vert="horz"/>
          <a:lstStyle/>
          <a:p>
            <a:pPr>
              <a:defRPr sz="1100" b="1" i="0" u="none" strike="noStrike" baseline="0">
                <a:solidFill>
                  <a:schemeClr val="tx1"/>
                </a:solidFill>
                <a:latin typeface="Arial" pitchFamily="34" charset="0"/>
                <a:ea typeface="Calibri"/>
                <a:cs typeface="Arial" pitchFamily="34" charset="0"/>
              </a:defRPr>
            </a:pPr>
            <a:endParaRPr lang="en-US"/>
          </a:p>
        </c:txPr>
        <c:crossAx val="161028736"/>
        <c:crosses val="autoZero"/>
        <c:auto val="1"/>
        <c:lblAlgn val="ctr"/>
        <c:lblOffset val="100"/>
        <c:tickLblSkip val="20"/>
        <c:tickMarkSkip val="10"/>
        <c:noMultiLvlLbl val="0"/>
      </c:catAx>
      <c:valAx>
        <c:axId val="161028736"/>
        <c:scaling>
          <c:orientation val="minMax"/>
          <c:max val="400"/>
          <c:min val="0"/>
        </c:scaling>
        <c:delete val="0"/>
        <c:axPos val="l"/>
        <c:majorGridlines>
          <c:spPr>
            <a:ln w="15875">
              <a:solidFill>
                <a:srgbClr val="808080"/>
              </a:solidFill>
              <a:prstDash val="solid"/>
            </a:ln>
          </c:spPr>
        </c:majorGridlines>
        <c:title>
          <c:tx>
            <c:rich>
              <a:bodyPr/>
              <a:lstStyle/>
              <a:p>
                <a:pPr>
                  <a:defRPr sz="1400" b="1" i="0" u="none" strike="noStrike" baseline="0">
                    <a:solidFill>
                      <a:schemeClr val="tx1"/>
                    </a:solidFill>
                    <a:latin typeface="Arial" pitchFamily="34" charset="0"/>
                    <a:ea typeface="Calibri"/>
                    <a:cs typeface="Arial" pitchFamily="34" charset="0"/>
                  </a:defRPr>
                </a:pPr>
                <a:r>
                  <a:rPr lang="en-US" sz="1200" b="1">
                    <a:solidFill>
                      <a:schemeClr val="tx1"/>
                    </a:solidFill>
                    <a:latin typeface="Arial" pitchFamily="34" charset="0"/>
                    <a:cs typeface="Arial" pitchFamily="34" charset="0"/>
                  </a:rPr>
                  <a:t>Switching</a:t>
                </a:r>
                <a:r>
                  <a:rPr lang="en-US" sz="1200" b="1" baseline="0">
                    <a:solidFill>
                      <a:schemeClr val="tx1"/>
                    </a:solidFill>
                    <a:latin typeface="Arial" pitchFamily="34" charset="0"/>
                    <a:cs typeface="Arial" pitchFamily="34" charset="0"/>
                  </a:rPr>
                  <a:t> Frquency (kHz)</a:t>
                </a:r>
                <a:endParaRPr lang="en-US" sz="1200" b="1">
                  <a:solidFill>
                    <a:schemeClr val="tx1"/>
                  </a:solidFill>
                  <a:latin typeface="Arial" pitchFamily="34" charset="0"/>
                  <a:cs typeface="Arial" pitchFamily="34" charset="0"/>
                </a:endParaRPr>
              </a:p>
            </c:rich>
          </c:tx>
          <c:layout>
            <c:manualLayout>
              <c:xMode val="edge"/>
              <c:yMode val="edge"/>
              <c:x val="8.5568268367748525E-3"/>
              <c:y val="0.30050661099568304"/>
            </c:manualLayout>
          </c:layout>
          <c:overlay val="0"/>
          <c:spPr>
            <a:noFill/>
            <a:ln w="25400">
              <a:noFill/>
            </a:ln>
          </c:spPr>
        </c:title>
        <c:numFmt formatCode="#,##0" sourceLinked="0"/>
        <c:majorTickMark val="out"/>
        <c:minorTickMark val="in"/>
        <c:tickLblPos val="nextTo"/>
        <c:spPr>
          <a:ln w="3175">
            <a:solidFill>
              <a:srgbClr val="000000"/>
            </a:solidFill>
            <a:prstDash val="solid"/>
          </a:ln>
        </c:spPr>
        <c:txPr>
          <a:bodyPr rot="0" vert="horz"/>
          <a:lstStyle/>
          <a:p>
            <a:pPr>
              <a:defRPr sz="1100" b="1" i="0" u="none" strike="noStrike" baseline="0">
                <a:solidFill>
                  <a:schemeClr val="tx1"/>
                </a:solidFill>
                <a:latin typeface="Arial" pitchFamily="34" charset="0"/>
                <a:ea typeface="Calibri"/>
                <a:cs typeface="Arial" pitchFamily="34" charset="0"/>
              </a:defRPr>
            </a:pPr>
            <a:endParaRPr lang="en-US"/>
          </a:p>
        </c:txPr>
        <c:crossAx val="161026432"/>
        <c:crossesAt val="0"/>
        <c:crossBetween val="between"/>
        <c:majorUnit val="50"/>
        <c:minorUnit val="25"/>
      </c:valAx>
      <c:spPr>
        <a:solidFill>
          <a:srgbClr val="FFFFFF"/>
        </a:solidFill>
        <a:ln w="25400">
          <a:noFill/>
        </a:ln>
      </c:spPr>
    </c:plotArea>
    <c:legend>
      <c:legendPos val="t"/>
      <c:legendEntry>
        <c:idx val="3"/>
        <c:delete val="1"/>
      </c:legendEntry>
      <c:legendEntry>
        <c:idx val="4"/>
        <c:delete val="1"/>
      </c:legendEntry>
      <c:legendEntry>
        <c:idx val="5"/>
        <c:delete val="1"/>
      </c:legendEntry>
      <c:layout>
        <c:manualLayout>
          <c:xMode val="edge"/>
          <c:yMode val="edge"/>
          <c:x val="0.30119952469789996"/>
          <c:y val="2.20093690871901E-2"/>
          <c:w val="0.4533572736110989"/>
          <c:h val="5.4335766847817754E-2"/>
        </c:manualLayout>
      </c:layout>
      <c:overlay val="0"/>
      <c:spPr>
        <a:solidFill>
          <a:srgbClr val="FFFFFF"/>
        </a:solidFill>
        <a:ln w="25400">
          <a:noFill/>
        </a:ln>
      </c:spPr>
      <c:txPr>
        <a:bodyPr/>
        <a:lstStyle/>
        <a:p>
          <a:pPr>
            <a:defRPr sz="1400" b="0" i="0" u="none" strike="noStrike" baseline="0">
              <a:solidFill>
                <a:srgbClr val="000000"/>
              </a:solidFill>
              <a:latin typeface="Arial" pitchFamily="34" charset="0"/>
              <a:ea typeface="Calibri"/>
              <a:cs typeface="Arial" pitchFamily="34" charset="0"/>
            </a:defRPr>
          </a:pPr>
          <a:endParaRPr lang="en-US"/>
        </a:p>
      </c:txPr>
    </c:legend>
    <c:plotVisOnly val="1"/>
    <c:dispBlanksAs val="gap"/>
    <c:showDLblsOverMax val="0"/>
  </c:chart>
  <c:spPr>
    <a:solidFill>
      <a:srgbClr val="FFFFFF"/>
    </a:solidFill>
    <a:ln w="9525">
      <a:solidFill>
        <a:srgbClr val="808080"/>
      </a:solidFill>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0000000000006" r="0.750000000000006" t="1" header="0.5" footer="0.5"/>
    <c:pageSetup paperSize="5"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280746883383756E-2"/>
          <c:y val="0.12133523343001466"/>
          <c:w val="0.86047278973849184"/>
          <c:h val="0.7558980268938309"/>
        </c:manualLayout>
      </c:layout>
      <c:lineChart>
        <c:grouping val="standard"/>
        <c:varyColors val="0"/>
        <c:ser>
          <c:idx val="1"/>
          <c:order val="0"/>
          <c:tx>
            <c:v>VIN-min</c:v>
          </c:tx>
          <c:spPr>
            <a:ln>
              <a:solidFill>
                <a:srgbClr val="00B050"/>
              </a:solidFill>
              <a:prstDash val="sysDash"/>
            </a:ln>
          </c:spPr>
          <c:marker>
            <c:symbol val="none"/>
          </c:marker>
          <c:cat>
            <c:numRef>
              <c:f>'Calculations - Dual'!$CC$5:$CC$105</c:f>
              <c:numCache>
                <c:formatCode>General</c:formatCode>
                <c:ptCount val="101"/>
                <c:pt idx="0">
                  <c:v>0</c:v>
                </c:pt>
                <c:pt idx="1">
                  <c:v>1</c:v>
                </c:pt>
                <c:pt idx="2">
                  <c:v>2</c:v>
                </c:pt>
                <c:pt idx="3">
                  <c:v>3</c:v>
                </c:pt>
                <c:pt idx="4">
                  <c:v>4</c:v>
                </c:pt>
                <c:pt idx="5">
                  <c:v>5</c:v>
                </c:pt>
                <c:pt idx="6">
                  <c:v>6</c:v>
                </c:pt>
                <c:pt idx="7">
                  <c:v>7.0000000000000009</c:v>
                </c:pt>
                <c:pt idx="8">
                  <c:v>8</c:v>
                </c:pt>
                <c:pt idx="9">
                  <c:v>9</c:v>
                </c:pt>
                <c:pt idx="10">
                  <c:v>10</c:v>
                </c:pt>
                <c:pt idx="11">
                  <c:v>11</c:v>
                </c:pt>
                <c:pt idx="12">
                  <c:v>12</c:v>
                </c:pt>
                <c:pt idx="13">
                  <c:v>13</c:v>
                </c:pt>
                <c:pt idx="14">
                  <c:v>14.000000000000002</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Dual'!$AM$110:$AM$210</c:f>
              <c:numCache>
                <c:formatCode>0.0</c:formatCode>
                <c:ptCount val="101"/>
                <c:pt idx="0">
                  <c:v>10</c:v>
                </c:pt>
                <c:pt idx="1">
                  <c:v>75.444038412509585</c:v>
                </c:pt>
                <c:pt idx="2">
                  <c:v>150.88807682501917</c:v>
                </c:pt>
                <c:pt idx="3">
                  <c:v>226.33211523752871</c:v>
                </c:pt>
                <c:pt idx="4">
                  <c:v>301.77615365003834</c:v>
                </c:pt>
                <c:pt idx="5">
                  <c:v>350</c:v>
                </c:pt>
                <c:pt idx="6">
                  <c:v>350</c:v>
                </c:pt>
                <c:pt idx="7">
                  <c:v>350</c:v>
                </c:pt>
                <c:pt idx="8">
                  <c:v>350</c:v>
                </c:pt>
                <c:pt idx="9">
                  <c:v>350</c:v>
                </c:pt>
                <c:pt idx="10">
                  <c:v>350</c:v>
                </c:pt>
                <c:pt idx="11">
                  <c:v>350</c:v>
                </c:pt>
                <c:pt idx="12">
                  <c:v>350</c:v>
                </c:pt>
                <c:pt idx="13">
                  <c:v>350</c:v>
                </c:pt>
                <c:pt idx="14">
                  <c:v>350</c:v>
                </c:pt>
                <c:pt idx="15">
                  <c:v>350</c:v>
                </c:pt>
                <c:pt idx="16">
                  <c:v>350</c:v>
                </c:pt>
                <c:pt idx="17">
                  <c:v>350</c:v>
                </c:pt>
                <c:pt idx="18">
                  <c:v>350</c:v>
                </c:pt>
                <c:pt idx="19">
                  <c:v>350</c:v>
                </c:pt>
                <c:pt idx="20">
                  <c:v>350</c:v>
                </c:pt>
                <c:pt idx="21">
                  <c:v>350</c:v>
                </c:pt>
                <c:pt idx="22">
                  <c:v>350</c:v>
                </c:pt>
                <c:pt idx="23">
                  <c:v>350</c:v>
                </c:pt>
                <c:pt idx="24">
                  <c:v>350</c:v>
                </c:pt>
                <c:pt idx="25">
                  <c:v>350</c:v>
                </c:pt>
                <c:pt idx="26">
                  <c:v>350</c:v>
                </c:pt>
                <c:pt idx="27">
                  <c:v>350</c:v>
                </c:pt>
                <c:pt idx="28">
                  <c:v>350</c:v>
                </c:pt>
                <c:pt idx="29">
                  <c:v>350</c:v>
                </c:pt>
                <c:pt idx="30">
                  <c:v>350</c:v>
                </c:pt>
                <c:pt idx="31">
                  <c:v>350</c:v>
                </c:pt>
                <c:pt idx="32">
                  <c:v>350</c:v>
                </c:pt>
                <c:pt idx="33">
                  <c:v>350</c:v>
                </c:pt>
                <c:pt idx="34">
                  <c:v>350</c:v>
                </c:pt>
                <c:pt idx="35">
                  <c:v>350</c:v>
                </c:pt>
                <c:pt idx="36">
                  <c:v>350</c:v>
                </c:pt>
                <c:pt idx="37">
                  <c:v>350</c:v>
                </c:pt>
                <c:pt idx="38">
                  <c:v>350</c:v>
                </c:pt>
                <c:pt idx="39">
                  <c:v>350</c:v>
                </c:pt>
                <c:pt idx="40">
                  <c:v>350</c:v>
                </c:pt>
                <c:pt idx="41">
                  <c:v>350</c:v>
                </c:pt>
                <c:pt idx="42">
                  <c:v>350</c:v>
                </c:pt>
                <c:pt idx="43">
                  <c:v>350</c:v>
                </c:pt>
                <c:pt idx="44">
                  <c:v>350</c:v>
                </c:pt>
                <c:pt idx="45">
                  <c:v>350</c:v>
                </c:pt>
                <c:pt idx="46">
                  <c:v>350</c:v>
                </c:pt>
                <c:pt idx="47">
                  <c:v>350</c:v>
                </c:pt>
                <c:pt idx="48">
                  <c:v>350</c:v>
                </c:pt>
                <c:pt idx="49">
                  <c:v>350</c:v>
                </c:pt>
                <c:pt idx="50">
                  <c:v>350</c:v>
                </c:pt>
                <c:pt idx="51">
                  <c:v>350</c:v>
                </c:pt>
                <c:pt idx="52">
                  <c:v>350</c:v>
                </c:pt>
                <c:pt idx="53">
                  <c:v>350</c:v>
                </c:pt>
                <c:pt idx="54">
                  <c:v>350</c:v>
                </c:pt>
                <c:pt idx="55">
                  <c:v>350</c:v>
                </c:pt>
                <c:pt idx="56">
                  <c:v>350</c:v>
                </c:pt>
                <c:pt idx="57">
                  <c:v>350</c:v>
                </c:pt>
                <c:pt idx="58">
                  <c:v>350</c:v>
                </c:pt>
                <c:pt idx="59">
                  <c:v>350</c:v>
                </c:pt>
                <c:pt idx="60">
                  <c:v>350</c:v>
                </c:pt>
                <c:pt idx="61">
                  <c:v>350</c:v>
                </c:pt>
                <c:pt idx="62">
                  <c:v>350</c:v>
                </c:pt>
                <c:pt idx="63">
                  <c:v>350</c:v>
                </c:pt>
                <c:pt idx="64">
                  <c:v>350</c:v>
                </c:pt>
                <c:pt idx="65">
                  <c:v>350</c:v>
                </c:pt>
                <c:pt idx="66">
                  <c:v>350</c:v>
                </c:pt>
                <c:pt idx="67">
                  <c:v>350</c:v>
                </c:pt>
                <c:pt idx="68">
                  <c:v>350</c:v>
                </c:pt>
                <c:pt idx="69">
                  <c:v>350</c:v>
                </c:pt>
                <c:pt idx="70">
                  <c:v>350</c:v>
                </c:pt>
                <c:pt idx="71">
                  <c:v>350</c:v>
                </c:pt>
                <c:pt idx="72">
                  <c:v>350</c:v>
                </c:pt>
                <c:pt idx="73">
                  <c:v>350</c:v>
                </c:pt>
                <c:pt idx="74">
                  <c:v>348.90723676796284</c:v>
                </c:pt>
                <c:pt idx="75">
                  <c:v>344.2551402777234</c:v>
                </c:pt>
                <c:pt idx="76">
                  <c:v>339.72546737933231</c:v>
                </c:pt>
                <c:pt idx="77">
                  <c:v>335.31344832245782</c:v>
                </c:pt>
                <c:pt idx="78">
                  <c:v>331.01455795934936</c:v>
                </c:pt>
                <c:pt idx="79">
                  <c:v>326.82450026366138</c:v>
                </c:pt>
                <c:pt idx="80">
                  <c:v>322.73919401036568</c:v>
                </c:pt>
                <c:pt idx="81">
                  <c:v>318.7547595164105</c:v>
                </c:pt>
                <c:pt idx="82">
                  <c:v>314.86750635157625</c:v>
                </c:pt>
                <c:pt idx="83">
                  <c:v>311.07392193770181</c:v>
                </c:pt>
                <c:pt idx="84">
                  <c:v>307.37066096225306</c:v>
                </c:pt>
                <c:pt idx="85">
                  <c:v>303.75453553916765</c:v>
                </c:pt>
                <c:pt idx="86">
                  <c:v>300.22250605615415</c:v>
                </c:pt>
                <c:pt idx="87">
                  <c:v>296.77167265320981</c:v>
                </c:pt>
                <c:pt idx="88">
                  <c:v>293.39926728215067</c:v>
                </c:pt>
                <c:pt idx="89">
                  <c:v>290.10264630145235</c:v>
                </c:pt>
                <c:pt idx="90">
                  <c:v>286.87928356476948</c:v>
                </c:pt>
                <c:pt idx="91">
                  <c:v>283.72676396515664</c:v>
                </c:pt>
                <c:pt idx="92">
                  <c:v>280.64277740031798</c:v>
                </c:pt>
                <c:pt idx="93">
                  <c:v>277.99259372905385</c:v>
                </c:pt>
                <c:pt idx="94">
                  <c:v>277.05140177070552</c:v>
                </c:pt>
                <c:pt idx="95">
                  <c:v>276.11769626307222</c:v>
                </c:pt>
                <c:pt idx="96">
                  <c:v>275.19138823664792</c:v>
                </c:pt>
                <c:pt idx="97">
                  <c:v>274.27239012612398</c:v>
                </c:pt>
                <c:pt idx="98">
                  <c:v>273.36061574279483</c:v>
                </c:pt>
                <c:pt idx="99">
                  <c:v>272.45598024761273</c:v>
                </c:pt>
                <c:pt idx="100">
                  <c:v>271.55840012487153</c:v>
                </c:pt>
              </c:numCache>
            </c:numRef>
          </c:val>
          <c:smooth val="0"/>
          <c:extLst>
            <c:ext xmlns:c16="http://schemas.microsoft.com/office/drawing/2014/chart" uri="{C3380CC4-5D6E-409C-BE32-E72D297353CC}">
              <c16:uniqueId val="{00000000-350A-4777-A36B-F3810EFFFD8D}"/>
            </c:ext>
          </c:extLst>
        </c:ser>
        <c:ser>
          <c:idx val="0"/>
          <c:order val="1"/>
          <c:tx>
            <c:v>VIN-nom</c:v>
          </c:tx>
          <c:spPr>
            <a:ln w="28575">
              <a:solidFill>
                <a:srgbClr val="FF0000"/>
              </a:solidFill>
              <a:prstDash val="lgDash"/>
            </a:ln>
          </c:spPr>
          <c:marker>
            <c:symbol val="none"/>
          </c:marker>
          <c:cat>
            <c:numRef>
              <c:f>'Calculations - Dual'!$CC$5:$CC$105</c:f>
              <c:numCache>
                <c:formatCode>General</c:formatCode>
                <c:ptCount val="101"/>
                <c:pt idx="0">
                  <c:v>0</c:v>
                </c:pt>
                <c:pt idx="1">
                  <c:v>1</c:v>
                </c:pt>
                <c:pt idx="2">
                  <c:v>2</c:v>
                </c:pt>
                <c:pt idx="3">
                  <c:v>3</c:v>
                </c:pt>
                <c:pt idx="4">
                  <c:v>4</c:v>
                </c:pt>
                <c:pt idx="5">
                  <c:v>5</c:v>
                </c:pt>
                <c:pt idx="6">
                  <c:v>6</c:v>
                </c:pt>
                <c:pt idx="7">
                  <c:v>7.0000000000000009</c:v>
                </c:pt>
                <c:pt idx="8">
                  <c:v>8</c:v>
                </c:pt>
                <c:pt idx="9">
                  <c:v>9</c:v>
                </c:pt>
                <c:pt idx="10">
                  <c:v>10</c:v>
                </c:pt>
                <c:pt idx="11">
                  <c:v>11</c:v>
                </c:pt>
                <c:pt idx="12">
                  <c:v>12</c:v>
                </c:pt>
                <c:pt idx="13">
                  <c:v>13</c:v>
                </c:pt>
                <c:pt idx="14">
                  <c:v>14.000000000000002</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Dual'!$AM$5:$AM$105</c:f>
              <c:numCache>
                <c:formatCode>0.0</c:formatCode>
                <c:ptCount val="101"/>
                <c:pt idx="0">
                  <c:v>10</c:v>
                </c:pt>
                <c:pt idx="1">
                  <c:v>75.444038412509585</c:v>
                </c:pt>
                <c:pt idx="2">
                  <c:v>150.88807682501917</c:v>
                </c:pt>
                <c:pt idx="3">
                  <c:v>226.33211523752871</c:v>
                </c:pt>
                <c:pt idx="4">
                  <c:v>301.77615365003834</c:v>
                </c:pt>
                <c:pt idx="5">
                  <c:v>350</c:v>
                </c:pt>
                <c:pt idx="6">
                  <c:v>350</c:v>
                </c:pt>
                <c:pt idx="7">
                  <c:v>350</c:v>
                </c:pt>
                <c:pt idx="8">
                  <c:v>350</c:v>
                </c:pt>
                <c:pt idx="9">
                  <c:v>350</c:v>
                </c:pt>
                <c:pt idx="10">
                  <c:v>350</c:v>
                </c:pt>
                <c:pt idx="11">
                  <c:v>350</c:v>
                </c:pt>
                <c:pt idx="12">
                  <c:v>350</c:v>
                </c:pt>
                <c:pt idx="13">
                  <c:v>350</c:v>
                </c:pt>
                <c:pt idx="14">
                  <c:v>350</c:v>
                </c:pt>
                <c:pt idx="15">
                  <c:v>350</c:v>
                </c:pt>
                <c:pt idx="16">
                  <c:v>350</c:v>
                </c:pt>
                <c:pt idx="17">
                  <c:v>350</c:v>
                </c:pt>
                <c:pt idx="18">
                  <c:v>350</c:v>
                </c:pt>
                <c:pt idx="19">
                  <c:v>350</c:v>
                </c:pt>
                <c:pt idx="20">
                  <c:v>350</c:v>
                </c:pt>
                <c:pt idx="21">
                  <c:v>350</c:v>
                </c:pt>
                <c:pt idx="22">
                  <c:v>350</c:v>
                </c:pt>
                <c:pt idx="23">
                  <c:v>350</c:v>
                </c:pt>
                <c:pt idx="24">
                  <c:v>350</c:v>
                </c:pt>
                <c:pt idx="25">
                  <c:v>350</c:v>
                </c:pt>
                <c:pt idx="26">
                  <c:v>350</c:v>
                </c:pt>
                <c:pt idx="27">
                  <c:v>350</c:v>
                </c:pt>
                <c:pt idx="28">
                  <c:v>350</c:v>
                </c:pt>
                <c:pt idx="29">
                  <c:v>350</c:v>
                </c:pt>
                <c:pt idx="30">
                  <c:v>350</c:v>
                </c:pt>
                <c:pt idx="31">
                  <c:v>350</c:v>
                </c:pt>
                <c:pt idx="32">
                  <c:v>350</c:v>
                </c:pt>
                <c:pt idx="33">
                  <c:v>350</c:v>
                </c:pt>
                <c:pt idx="34">
                  <c:v>350</c:v>
                </c:pt>
                <c:pt idx="35">
                  <c:v>350</c:v>
                </c:pt>
                <c:pt idx="36">
                  <c:v>350</c:v>
                </c:pt>
                <c:pt idx="37">
                  <c:v>350</c:v>
                </c:pt>
                <c:pt idx="38">
                  <c:v>350</c:v>
                </c:pt>
                <c:pt idx="39">
                  <c:v>350</c:v>
                </c:pt>
                <c:pt idx="40">
                  <c:v>350</c:v>
                </c:pt>
                <c:pt idx="41">
                  <c:v>350</c:v>
                </c:pt>
                <c:pt idx="42">
                  <c:v>350</c:v>
                </c:pt>
                <c:pt idx="43">
                  <c:v>350</c:v>
                </c:pt>
                <c:pt idx="44">
                  <c:v>350</c:v>
                </c:pt>
                <c:pt idx="45">
                  <c:v>350</c:v>
                </c:pt>
                <c:pt idx="46">
                  <c:v>350</c:v>
                </c:pt>
                <c:pt idx="47">
                  <c:v>350</c:v>
                </c:pt>
                <c:pt idx="48">
                  <c:v>350</c:v>
                </c:pt>
                <c:pt idx="49">
                  <c:v>350</c:v>
                </c:pt>
                <c:pt idx="50">
                  <c:v>350</c:v>
                </c:pt>
                <c:pt idx="51">
                  <c:v>350</c:v>
                </c:pt>
                <c:pt idx="52">
                  <c:v>350</c:v>
                </c:pt>
                <c:pt idx="53">
                  <c:v>350</c:v>
                </c:pt>
                <c:pt idx="54">
                  <c:v>350</c:v>
                </c:pt>
                <c:pt idx="55">
                  <c:v>350</c:v>
                </c:pt>
                <c:pt idx="56">
                  <c:v>350</c:v>
                </c:pt>
                <c:pt idx="57">
                  <c:v>350</c:v>
                </c:pt>
                <c:pt idx="58">
                  <c:v>350</c:v>
                </c:pt>
                <c:pt idx="59">
                  <c:v>350</c:v>
                </c:pt>
                <c:pt idx="60">
                  <c:v>350</c:v>
                </c:pt>
                <c:pt idx="61">
                  <c:v>350</c:v>
                </c:pt>
                <c:pt idx="62">
                  <c:v>350</c:v>
                </c:pt>
                <c:pt idx="63">
                  <c:v>350</c:v>
                </c:pt>
                <c:pt idx="64">
                  <c:v>350</c:v>
                </c:pt>
                <c:pt idx="65">
                  <c:v>350</c:v>
                </c:pt>
                <c:pt idx="66">
                  <c:v>350</c:v>
                </c:pt>
                <c:pt idx="67">
                  <c:v>350</c:v>
                </c:pt>
                <c:pt idx="68">
                  <c:v>350</c:v>
                </c:pt>
                <c:pt idx="69">
                  <c:v>350</c:v>
                </c:pt>
                <c:pt idx="70">
                  <c:v>350</c:v>
                </c:pt>
                <c:pt idx="71">
                  <c:v>350</c:v>
                </c:pt>
                <c:pt idx="72">
                  <c:v>350</c:v>
                </c:pt>
                <c:pt idx="73">
                  <c:v>350</c:v>
                </c:pt>
                <c:pt idx="74">
                  <c:v>350</c:v>
                </c:pt>
                <c:pt idx="75">
                  <c:v>350</c:v>
                </c:pt>
                <c:pt idx="76">
                  <c:v>350</c:v>
                </c:pt>
                <c:pt idx="77">
                  <c:v>350</c:v>
                </c:pt>
                <c:pt idx="78">
                  <c:v>350</c:v>
                </c:pt>
                <c:pt idx="79">
                  <c:v>350</c:v>
                </c:pt>
                <c:pt idx="80">
                  <c:v>350</c:v>
                </c:pt>
                <c:pt idx="81">
                  <c:v>350</c:v>
                </c:pt>
                <c:pt idx="82">
                  <c:v>350</c:v>
                </c:pt>
                <c:pt idx="83">
                  <c:v>350</c:v>
                </c:pt>
                <c:pt idx="84">
                  <c:v>350</c:v>
                </c:pt>
                <c:pt idx="85">
                  <c:v>350</c:v>
                </c:pt>
                <c:pt idx="86">
                  <c:v>350</c:v>
                </c:pt>
                <c:pt idx="87">
                  <c:v>350</c:v>
                </c:pt>
                <c:pt idx="88">
                  <c:v>350</c:v>
                </c:pt>
                <c:pt idx="89">
                  <c:v>350</c:v>
                </c:pt>
                <c:pt idx="90">
                  <c:v>350</c:v>
                </c:pt>
                <c:pt idx="91">
                  <c:v>350</c:v>
                </c:pt>
                <c:pt idx="92">
                  <c:v>350</c:v>
                </c:pt>
                <c:pt idx="93">
                  <c:v>350</c:v>
                </c:pt>
                <c:pt idx="94">
                  <c:v>350</c:v>
                </c:pt>
                <c:pt idx="95">
                  <c:v>350</c:v>
                </c:pt>
                <c:pt idx="96">
                  <c:v>350</c:v>
                </c:pt>
                <c:pt idx="97">
                  <c:v>350</c:v>
                </c:pt>
                <c:pt idx="98">
                  <c:v>350</c:v>
                </c:pt>
                <c:pt idx="99">
                  <c:v>346.9946686846194</c:v>
                </c:pt>
                <c:pt idx="100">
                  <c:v>343.52472199777316</c:v>
                </c:pt>
              </c:numCache>
            </c:numRef>
          </c:val>
          <c:smooth val="0"/>
          <c:extLst>
            <c:ext xmlns:c16="http://schemas.microsoft.com/office/drawing/2014/chart" uri="{C3380CC4-5D6E-409C-BE32-E72D297353CC}">
              <c16:uniqueId val="{00000001-350A-4777-A36B-F3810EFFFD8D}"/>
            </c:ext>
          </c:extLst>
        </c:ser>
        <c:ser>
          <c:idx val="2"/>
          <c:order val="2"/>
          <c:tx>
            <c:v>VIN-max</c:v>
          </c:tx>
          <c:spPr>
            <a:ln>
              <a:solidFill>
                <a:srgbClr val="0000FF"/>
              </a:solidFill>
              <a:prstDash val="solid"/>
            </a:ln>
          </c:spPr>
          <c:marker>
            <c:symbol val="none"/>
          </c:marker>
          <c:cat>
            <c:numRef>
              <c:f>'Calculations - Dual'!$CC$5:$CC$105</c:f>
              <c:numCache>
                <c:formatCode>General</c:formatCode>
                <c:ptCount val="101"/>
                <c:pt idx="0">
                  <c:v>0</c:v>
                </c:pt>
                <c:pt idx="1">
                  <c:v>1</c:v>
                </c:pt>
                <c:pt idx="2">
                  <c:v>2</c:v>
                </c:pt>
                <c:pt idx="3">
                  <c:v>3</c:v>
                </c:pt>
                <c:pt idx="4">
                  <c:v>4</c:v>
                </c:pt>
                <c:pt idx="5">
                  <c:v>5</c:v>
                </c:pt>
                <c:pt idx="6">
                  <c:v>6</c:v>
                </c:pt>
                <c:pt idx="7">
                  <c:v>7.0000000000000009</c:v>
                </c:pt>
                <c:pt idx="8">
                  <c:v>8</c:v>
                </c:pt>
                <c:pt idx="9">
                  <c:v>9</c:v>
                </c:pt>
                <c:pt idx="10">
                  <c:v>10</c:v>
                </c:pt>
                <c:pt idx="11">
                  <c:v>11</c:v>
                </c:pt>
                <c:pt idx="12">
                  <c:v>12</c:v>
                </c:pt>
                <c:pt idx="13">
                  <c:v>13</c:v>
                </c:pt>
                <c:pt idx="14">
                  <c:v>14.000000000000002</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Dual'!$AM$218:$AM$318</c:f>
              <c:numCache>
                <c:formatCode>0.0</c:formatCode>
                <c:ptCount val="101"/>
                <c:pt idx="0">
                  <c:v>10</c:v>
                </c:pt>
                <c:pt idx="1">
                  <c:v>75.444038412509585</c:v>
                </c:pt>
                <c:pt idx="2">
                  <c:v>150.88807682501917</c:v>
                </c:pt>
                <c:pt idx="3">
                  <c:v>226.33211523752871</c:v>
                </c:pt>
                <c:pt idx="4">
                  <c:v>301.77615365003834</c:v>
                </c:pt>
                <c:pt idx="5">
                  <c:v>350</c:v>
                </c:pt>
                <c:pt idx="6">
                  <c:v>350</c:v>
                </c:pt>
                <c:pt idx="7">
                  <c:v>350</c:v>
                </c:pt>
                <c:pt idx="8">
                  <c:v>350</c:v>
                </c:pt>
                <c:pt idx="9">
                  <c:v>350</c:v>
                </c:pt>
                <c:pt idx="10">
                  <c:v>350</c:v>
                </c:pt>
                <c:pt idx="11">
                  <c:v>350</c:v>
                </c:pt>
                <c:pt idx="12">
                  <c:v>350</c:v>
                </c:pt>
                <c:pt idx="13">
                  <c:v>350</c:v>
                </c:pt>
                <c:pt idx="14">
                  <c:v>350</c:v>
                </c:pt>
                <c:pt idx="15">
                  <c:v>350</c:v>
                </c:pt>
                <c:pt idx="16">
                  <c:v>350</c:v>
                </c:pt>
                <c:pt idx="17">
                  <c:v>350</c:v>
                </c:pt>
                <c:pt idx="18">
                  <c:v>350</c:v>
                </c:pt>
                <c:pt idx="19">
                  <c:v>350</c:v>
                </c:pt>
                <c:pt idx="20">
                  <c:v>350</c:v>
                </c:pt>
                <c:pt idx="21">
                  <c:v>350</c:v>
                </c:pt>
                <c:pt idx="22">
                  <c:v>350</c:v>
                </c:pt>
                <c:pt idx="23">
                  <c:v>350</c:v>
                </c:pt>
                <c:pt idx="24">
                  <c:v>350</c:v>
                </c:pt>
                <c:pt idx="25">
                  <c:v>350</c:v>
                </c:pt>
                <c:pt idx="26">
                  <c:v>350</c:v>
                </c:pt>
                <c:pt idx="27">
                  <c:v>350</c:v>
                </c:pt>
                <c:pt idx="28">
                  <c:v>350</c:v>
                </c:pt>
                <c:pt idx="29">
                  <c:v>350</c:v>
                </c:pt>
                <c:pt idx="30">
                  <c:v>350</c:v>
                </c:pt>
                <c:pt idx="31">
                  <c:v>350</c:v>
                </c:pt>
                <c:pt idx="32">
                  <c:v>350</c:v>
                </c:pt>
                <c:pt idx="33">
                  <c:v>350</c:v>
                </c:pt>
                <c:pt idx="34">
                  <c:v>350</c:v>
                </c:pt>
                <c:pt idx="35">
                  <c:v>350</c:v>
                </c:pt>
                <c:pt idx="36">
                  <c:v>350</c:v>
                </c:pt>
                <c:pt idx="37">
                  <c:v>350</c:v>
                </c:pt>
                <c:pt idx="38">
                  <c:v>350</c:v>
                </c:pt>
                <c:pt idx="39">
                  <c:v>350</c:v>
                </c:pt>
                <c:pt idx="40">
                  <c:v>350</c:v>
                </c:pt>
                <c:pt idx="41">
                  <c:v>350</c:v>
                </c:pt>
                <c:pt idx="42">
                  <c:v>350</c:v>
                </c:pt>
                <c:pt idx="43">
                  <c:v>350</c:v>
                </c:pt>
                <c:pt idx="44">
                  <c:v>350</c:v>
                </c:pt>
                <c:pt idx="45">
                  <c:v>350</c:v>
                </c:pt>
                <c:pt idx="46">
                  <c:v>350</c:v>
                </c:pt>
                <c:pt idx="47">
                  <c:v>350</c:v>
                </c:pt>
                <c:pt idx="48">
                  <c:v>350</c:v>
                </c:pt>
                <c:pt idx="49">
                  <c:v>350</c:v>
                </c:pt>
                <c:pt idx="50">
                  <c:v>350</c:v>
                </c:pt>
                <c:pt idx="51">
                  <c:v>350</c:v>
                </c:pt>
                <c:pt idx="52">
                  <c:v>350</c:v>
                </c:pt>
                <c:pt idx="53">
                  <c:v>350</c:v>
                </c:pt>
                <c:pt idx="54">
                  <c:v>350</c:v>
                </c:pt>
                <c:pt idx="55">
                  <c:v>350</c:v>
                </c:pt>
                <c:pt idx="56">
                  <c:v>350</c:v>
                </c:pt>
                <c:pt idx="57">
                  <c:v>350</c:v>
                </c:pt>
                <c:pt idx="58">
                  <c:v>350</c:v>
                </c:pt>
                <c:pt idx="59">
                  <c:v>350</c:v>
                </c:pt>
                <c:pt idx="60">
                  <c:v>350</c:v>
                </c:pt>
                <c:pt idx="61">
                  <c:v>350</c:v>
                </c:pt>
                <c:pt idx="62">
                  <c:v>350</c:v>
                </c:pt>
                <c:pt idx="63">
                  <c:v>350</c:v>
                </c:pt>
                <c:pt idx="64">
                  <c:v>350</c:v>
                </c:pt>
                <c:pt idx="65">
                  <c:v>350</c:v>
                </c:pt>
                <c:pt idx="66">
                  <c:v>350</c:v>
                </c:pt>
                <c:pt idx="67">
                  <c:v>350</c:v>
                </c:pt>
                <c:pt idx="68">
                  <c:v>350</c:v>
                </c:pt>
                <c:pt idx="69">
                  <c:v>350</c:v>
                </c:pt>
                <c:pt idx="70">
                  <c:v>350</c:v>
                </c:pt>
                <c:pt idx="71">
                  <c:v>350</c:v>
                </c:pt>
                <c:pt idx="72">
                  <c:v>350</c:v>
                </c:pt>
                <c:pt idx="73">
                  <c:v>350</c:v>
                </c:pt>
                <c:pt idx="74">
                  <c:v>350</c:v>
                </c:pt>
                <c:pt idx="75">
                  <c:v>350</c:v>
                </c:pt>
                <c:pt idx="76">
                  <c:v>350</c:v>
                </c:pt>
                <c:pt idx="77">
                  <c:v>350</c:v>
                </c:pt>
                <c:pt idx="78">
                  <c:v>350</c:v>
                </c:pt>
                <c:pt idx="79">
                  <c:v>350</c:v>
                </c:pt>
                <c:pt idx="80">
                  <c:v>350</c:v>
                </c:pt>
                <c:pt idx="81">
                  <c:v>350</c:v>
                </c:pt>
                <c:pt idx="82">
                  <c:v>350</c:v>
                </c:pt>
                <c:pt idx="83">
                  <c:v>350</c:v>
                </c:pt>
                <c:pt idx="84">
                  <c:v>350</c:v>
                </c:pt>
                <c:pt idx="85">
                  <c:v>350</c:v>
                </c:pt>
                <c:pt idx="86">
                  <c:v>350</c:v>
                </c:pt>
                <c:pt idx="87">
                  <c:v>350</c:v>
                </c:pt>
                <c:pt idx="88">
                  <c:v>350</c:v>
                </c:pt>
                <c:pt idx="89">
                  <c:v>350</c:v>
                </c:pt>
                <c:pt idx="90">
                  <c:v>350</c:v>
                </c:pt>
                <c:pt idx="91">
                  <c:v>350</c:v>
                </c:pt>
                <c:pt idx="92">
                  <c:v>350</c:v>
                </c:pt>
                <c:pt idx="93">
                  <c:v>350</c:v>
                </c:pt>
                <c:pt idx="94">
                  <c:v>350</c:v>
                </c:pt>
                <c:pt idx="95">
                  <c:v>350</c:v>
                </c:pt>
                <c:pt idx="96">
                  <c:v>350</c:v>
                </c:pt>
                <c:pt idx="97">
                  <c:v>350</c:v>
                </c:pt>
                <c:pt idx="98">
                  <c:v>350</c:v>
                </c:pt>
                <c:pt idx="99">
                  <c:v>350</c:v>
                </c:pt>
                <c:pt idx="100">
                  <c:v>350</c:v>
                </c:pt>
              </c:numCache>
            </c:numRef>
          </c:val>
          <c:smooth val="0"/>
          <c:extLst>
            <c:ext xmlns:c16="http://schemas.microsoft.com/office/drawing/2014/chart" uri="{C3380CC4-5D6E-409C-BE32-E72D297353CC}">
              <c16:uniqueId val="{00000002-350A-4777-A36B-F3810EFFFD8D}"/>
            </c:ext>
          </c:extLst>
        </c:ser>
        <c:ser>
          <c:idx val="3"/>
          <c:order val="3"/>
          <c:spPr>
            <a:ln>
              <a:noFill/>
            </a:ln>
          </c:spPr>
          <c:marker>
            <c:symbol val="x"/>
            <c:size val="10"/>
            <c:spPr>
              <a:pattFill prst="pct5">
                <a:fgClr>
                  <a:schemeClr val="tx1"/>
                </a:fgClr>
                <a:bgClr>
                  <a:schemeClr val="bg1"/>
                </a:bgClr>
              </a:pattFill>
              <a:ln>
                <a:solidFill>
                  <a:srgbClr val="33CC33"/>
                </a:solidFill>
              </a:ln>
            </c:spPr>
          </c:marker>
          <c:cat>
            <c:numRef>
              <c:f>'Calculations - Dual'!$CC$5:$CC$105</c:f>
              <c:numCache>
                <c:formatCode>General</c:formatCode>
                <c:ptCount val="101"/>
                <c:pt idx="0">
                  <c:v>0</c:v>
                </c:pt>
                <c:pt idx="1">
                  <c:v>1</c:v>
                </c:pt>
                <c:pt idx="2">
                  <c:v>2</c:v>
                </c:pt>
                <c:pt idx="3">
                  <c:v>3</c:v>
                </c:pt>
                <c:pt idx="4">
                  <c:v>4</c:v>
                </c:pt>
                <c:pt idx="5">
                  <c:v>5</c:v>
                </c:pt>
                <c:pt idx="6">
                  <c:v>6</c:v>
                </c:pt>
                <c:pt idx="7">
                  <c:v>7.0000000000000009</c:v>
                </c:pt>
                <c:pt idx="8">
                  <c:v>8</c:v>
                </c:pt>
                <c:pt idx="9">
                  <c:v>9</c:v>
                </c:pt>
                <c:pt idx="10">
                  <c:v>10</c:v>
                </c:pt>
                <c:pt idx="11">
                  <c:v>11</c:v>
                </c:pt>
                <c:pt idx="12">
                  <c:v>12</c:v>
                </c:pt>
                <c:pt idx="13">
                  <c:v>13</c:v>
                </c:pt>
                <c:pt idx="14">
                  <c:v>14.000000000000002</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Dual'!$CE$110:$CE$210</c:f>
              <c:numCache>
                <c:formatCode>General</c:formatCode>
                <c:ptCount val="10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277.99259372905385</c:v>
                </c:pt>
                <c:pt idx="94">
                  <c:v>-50</c:v>
                </c:pt>
                <c:pt idx="95">
                  <c:v>-50</c:v>
                </c:pt>
                <c:pt idx="96">
                  <c:v>-50</c:v>
                </c:pt>
                <c:pt idx="97">
                  <c:v>-50</c:v>
                </c:pt>
                <c:pt idx="98">
                  <c:v>-50</c:v>
                </c:pt>
                <c:pt idx="99">
                  <c:v>-50</c:v>
                </c:pt>
                <c:pt idx="100">
                  <c:v>-50</c:v>
                </c:pt>
              </c:numCache>
            </c:numRef>
          </c:val>
          <c:smooth val="0"/>
          <c:extLst>
            <c:ext xmlns:c16="http://schemas.microsoft.com/office/drawing/2014/chart" uri="{C3380CC4-5D6E-409C-BE32-E72D297353CC}">
              <c16:uniqueId val="{00000003-350A-4777-A36B-F3810EFFFD8D}"/>
            </c:ext>
          </c:extLst>
        </c:ser>
        <c:ser>
          <c:idx val="4"/>
          <c:order val="4"/>
          <c:spPr>
            <a:ln>
              <a:noFill/>
            </a:ln>
          </c:spPr>
          <c:marker>
            <c:symbol val="x"/>
            <c:size val="10"/>
            <c:spPr>
              <a:pattFill prst="pct5">
                <a:fgClr>
                  <a:schemeClr val="tx1"/>
                </a:fgClr>
                <a:bgClr>
                  <a:schemeClr val="bg1"/>
                </a:bgClr>
              </a:pattFill>
              <a:ln>
                <a:solidFill>
                  <a:srgbClr val="FF0000"/>
                </a:solidFill>
              </a:ln>
            </c:spPr>
          </c:marker>
          <c:dPt>
            <c:idx val="65"/>
            <c:bubble3D val="0"/>
            <c:extLst>
              <c:ext xmlns:c16="http://schemas.microsoft.com/office/drawing/2014/chart" uri="{C3380CC4-5D6E-409C-BE32-E72D297353CC}">
                <c16:uniqueId val="{00000004-350A-4777-A36B-F3810EFFFD8D}"/>
              </c:ext>
            </c:extLst>
          </c:dPt>
          <c:dPt>
            <c:idx val="92"/>
            <c:bubble3D val="0"/>
            <c:extLst>
              <c:ext xmlns:c16="http://schemas.microsoft.com/office/drawing/2014/chart" uri="{C3380CC4-5D6E-409C-BE32-E72D297353CC}">
                <c16:uniqueId val="{00000005-350A-4777-A36B-F3810EFFFD8D}"/>
              </c:ext>
            </c:extLst>
          </c:dPt>
          <c:cat>
            <c:numRef>
              <c:f>'Calculations - Dual'!$CC$5:$CC$105</c:f>
              <c:numCache>
                <c:formatCode>General</c:formatCode>
                <c:ptCount val="101"/>
                <c:pt idx="0">
                  <c:v>0</c:v>
                </c:pt>
                <c:pt idx="1">
                  <c:v>1</c:v>
                </c:pt>
                <c:pt idx="2">
                  <c:v>2</c:v>
                </c:pt>
                <c:pt idx="3">
                  <c:v>3</c:v>
                </c:pt>
                <c:pt idx="4">
                  <c:v>4</c:v>
                </c:pt>
                <c:pt idx="5">
                  <c:v>5</c:v>
                </c:pt>
                <c:pt idx="6">
                  <c:v>6</c:v>
                </c:pt>
                <c:pt idx="7">
                  <c:v>7.0000000000000009</c:v>
                </c:pt>
                <c:pt idx="8">
                  <c:v>8</c:v>
                </c:pt>
                <c:pt idx="9">
                  <c:v>9</c:v>
                </c:pt>
                <c:pt idx="10">
                  <c:v>10</c:v>
                </c:pt>
                <c:pt idx="11">
                  <c:v>11</c:v>
                </c:pt>
                <c:pt idx="12">
                  <c:v>12</c:v>
                </c:pt>
                <c:pt idx="13">
                  <c:v>13</c:v>
                </c:pt>
                <c:pt idx="14">
                  <c:v>14.000000000000002</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Dual'!$CE$5:$CE$105</c:f>
              <c:numCache>
                <c:formatCode>General</c:formatCode>
                <c:ptCount val="10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numCache>
            </c:numRef>
          </c:val>
          <c:smooth val="0"/>
          <c:extLst>
            <c:ext xmlns:c16="http://schemas.microsoft.com/office/drawing/2014/chart" uri="{C3380CC4-5D6E-409C-BE32-E72D297353CC}">
              <c16:uniqueId val="{00000006-350A-4777-A36B-F3810EFFFD8D}"/>
            </c:ext>
          </c:extLst>
        </c:ser>
        <c:ser>
          <c:idx val="5"/>
          <c:order val="5"/>
          <c:spPr>
            <a:ln>
              <a:noFill/>
            </a:ln>
          </c:spPr>
          <c:marker>
            <c:symbol val="x"/>
            <c:size val="10"/>
            <c:spPr>
              <a:pattFill prst="pct5">
                <a:fgClr>
                  <a:schemeClr val="tx1"/>
                </a:fgClr>
                <a:bgClr>
                  <a:schemeClr val="bg1"/>
                </a:bgClr>
              </a:pattFill>
              <a:ln>
                <a:solidFill>
                  <a:srgbClr val="0000FF"/>
                </a:solidFill>
              </a:ln>
            </c:spPr>
          </c:marker>
          <c:cat>
            <c:numRef>
              <c:f>'Calculations - Dual'!$CC$5:$CC$105</c:f>
              <c:numCache>
                <c:formatCode>General</c:formatCode>
                <c:ptCount val="101"/>
                <c:pt idx="0">
                  <c:v>0</c:v>
                </c:pt>
                <c:pt idx="1">
                  <c:v>1</c:v>
                </c:pt>
                <c:pt idx="2">
                  <c:v>2</c:v>
                </c:pt>
                <c:pt idx="3">
                  <c:v>3</c:v>
                </c:pt>
                <c:pt idx="4">
                  <c:v>4</c:v>
                </c:pt>
                <c:pt idx="5">
                  <c:v>5</c:v>
                </c:pt>
                <c:pt idx="6">
                  <c:v>6</c:v>
                </c:pt>
                <c:pt idx="7">
                  <c:v>7.0000000000000009</c:v>
                </c:pt>
                <c:pt idx="8">
                  <c:v>8</c:v>
                </c:pt>
                <c:pt idx="9">
                  <c:v>9</c:v>
                </c:pt>
                <c:pt idx="10">
                  <c:v>10</c:v>
                </c:pt>
                <c:pt idx="11">
                  <c:v>11</c:v>
                </c:pt>
                <c:pt idx="12">
                  <c:v>12</c:v>
                </c:pt>
                <c:pt idx="13">
                  <c:v>13</c:v>
                </c:pt>
                <c:pt idx="14">
                  <c:v>14.000000000000002</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Dual'!$CE$218:$CE$318</c:f>
              <c:numCache>
                <c:formatCode>General</c:formatCode>
                <c:ptCount val="10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numCache>
            </c:numRef>
          </c:val>
          <c:smooth val="0"/>
          <c:extLst>
            <c:ext xmlns:c16="http://schemas.microsoft.com/office/drawing/2014/chart" uri="{C3380CC4-5D6E-409C-BE32-E72D297353CC}">
              <c16:uniqueId val="{00000007-350A-4777-A36B-F3810EFFFD8D}"/>
            </c:ext>
          </c:extLst>
        </c:ser>
        <c:dLbls>
          <c:showLegendKey val="0"/>
          <c:showVal val="0"/>
          <c:showCatName val="0"/>
          <c:showSerName val="0"/>
          <c:showPercent val="0"/>
          <c:showBubbleSize val="0"/>
        </c:dLbls>
        <c:smooth val="0"/>
        <c:axId val="161082752"/>
        <c:axId val="164235136"/>
      </c:lineChart>
      <c:catAx>
        <c:axId val="161082752"/>
        <c:scaling>
          <c:orientation val="minMax"/>
        </c:scaling>
        <c:delete val="0"/>
        <c:axPos val="b"/>
        <c:majorGridlines>
          <c:spPr>
            <a:ln w="15875">
              <a:solidFill>
                <a:srgbClr val="969696"/>
              </a:solidFill>
              <a:prstDash val="sysDash"/>
            </a:ln>
          </c:spPr>
        </c:majorGridlines>
        <c:title>
          <c:tx>
            <c:rich>
              <a:bodyPr/>
              <a:lstStyle/>
              <a:p>
                <a:pPr>
                  <a:defRPr sz="1000" b="1" i="0" u="none" strike="noStrike" baseline="0">
                    <a:solidFill>
                      <a:schemeClr val="tx1"/>
                    </a:solidFill>
                    <a:latin typeface="Arial" pitchFamily="34" charset="0"/>
                    <a:ea typeface="Calibri"/>
                    <a:cs typeface="Arial" pitchFamily="34" charset="0"/>
                  </a:defRPr>
                </a:pPr>
                <a:r>
                  <a:rPr lang="en-US" sz="1200" b="1" i="0" baseline="0">
                    <a:effectLst/>
                  </a:rPr>
                  <a:t>% Total Rated Output Power</a:t>
                </a:r>
                <a:endParaRPr lang="en-US" sz="1000">
                  <a:effectLst/>
                </a:endParaRPr>
              </a:p>
            </c:rich>
          </c:tx>
          <c:layout>
            <c:manualLayout>
              <c:xMode val="edge"/>
              <c:yMode val="edge"/>
              <c:x val="0.40984320248210387"/>
              <c:y val="0.93853774450069472"/>
            </c:manualLayout>
          </c:layout>
          <c:overlay val="0"/>
          <c:spPr>
            <a:noFill/>
            <a:ln w="25400">
              <a:noFill/>
            </a:ln>
          </c:spPr>
        </c:title>
        <c:numFmt formatCode="General" sourceLinked="1"/>
        <c:majorTickMark val="in"/>
        <c:minorTickMark val="in"/>
        <c:tickLblPos val="nextTo"/>
        <c:spPr>
          <a:ln w="3175">
            <a:solidFill>
              <a:schemeClr val="tx1"/>
            </a:solidFill>
            <a:prstDash val="solid"/>
          </a:ln>
        </c:spPr>
        <c:txPr>
          <a:bodyPr rot="0" vert="horz"/>
          <a:lstStyle/>
          <a:p>
            <a:pPr>
              <a:defRPr sz="1100" b="1" i="0" u="none" strike="noStrike" baseline="0">
                <a:solidFill>
                  <a:schemeClr val="tx1"/>
                </a:solidFill>
                <a:latin typeface="Arial" pitchFamily="34" charset="0"/>
                <a:ea typeface="Calibri"/>
                <a:cs typeface="Arial" pitchFamily="34" charset="0"/>
              </a:defRPr>
            </a:pPr>
            <a:endParaRPr lang="en-US"/>
          </a:p>
        </c:txPr>
        <c:crossAx val="164235136"/>
        <c:crosses val="autoZero"/>
        <c:auto val="1"/>
        <c:lblAlgn val="ctr"/>
        <c:lblOffset val="100"/>
        <c:tickLblSkip val="20"/>
        <c:tickMarkSkip val="10"/>
        <c:noMultiLvlLbl val="0"/>
      </c:catAx>
      <c:valAx>
        <c:axId val="164235136"/>
        <c:scaling>
          <c:orientation val="minMax"/>
          <c:max val="400"/>
          <c:min val="0"/>
        </c:scaling>
        <c:delete val="0"/>
        <c:axPos val="l"/>
        <c:majorGridlines>
          <c:spPr>
            <a:ln w="15875">
              <a:solidFill>
                <a:srgbClr val="808080"/>
              </a:solidFill>
              <a:prstDash val="solid"/>
            </a:ln>
          </c:spPr>
        </c:majorGridlines>
        <c:title>
          <c:tx>
            <c:rich>
              <a:bodyPr/>
              <a:lstStyle/>
              <a:p>
                <a:pPr>
                  <a:defRPr sz="1400" b="1" i="0" u="none" strike="noStrike" baseline="0">
                    <a:solidFill>
                      <a:schemeClr val="tx1"/>
                    </a:solidFill>
                    <a:latin typeface="Arial" pitchFamily="34" charset="0"/>
                    <a:ea typeface="Calibri"/>
                    <a:cs typeface="Arial" pitchFamily="34" charset="0"/>
                  </a:defRPr>
                </a:pPr>
                <a:r>
                  <a:rPr lang="en-US" sz="1200" b="1">
                    <a:solidFill>
                      <a:schemeClr val="tx1"/>
                    </a:solidFill>
                    <a:latin typeface="Arial" pitchFamily="34" charset="0"/>
                    <a:cs typeface="Arial" pitchFamily="34" charset="0"/>
                  </a:rPr>
                  <a:t>Switching</a:t>
                </a:r>
                <a:r>
                  <a:rPr lang="en-US" sz="1200" b="1" baseline="0">
                    <a:solidFill>
                      <a:schemeClr val="tx1"/>
                    </a:solidFill>
                    <a:latin typeface="Arial" pitchFamily="34" charset="0"/>
                    <a:cs typeface="Arial" pitchFamily="34" charset="0"/>
                  </a:rPr>
                  <a:t> Frquency (kHz)</a:t>
                </a:r>
                <a:endParaRPr lang="en-US" sz="1200" b="1">
                  <a:solidFill>
                    <a:schemeClr val="tx1"/>
                  </a:solidFill>
                  <a:latin typeface="Arial" pitchFamily="34" charset="0"/>
                  <a:cs typeface="Arial" pitchFamily="34" charset="0"/>
                </a:endParaRPr>
              </a:p>
            </c:rich>
          </c:tx>
          <c:layout>
            <c:manualLayout>
              <c:xMode val="edge"/>
              <c:yMode val="edge"/>
              <c:x val="8.5568268367748525E-3"/>
              <c:y val="0.30050661099568304"/>
            </c:manualLayout>
          </c:layout>
          <c:overlay val="0"/>
          <c:spPr>
            <a:noFill/>
            <a:ln w="25400">
              <a:noFill/>
            </a:ln>
          </c:spPr>
        </c:title>
        <c:numFmt formatCode="#,##0" sourceLinked="0"/>
        <c:majorTickMark val="out"/>
        <c:minorTickMark val="in"/>
        <c:tickLblPos val="nextTo"/>
        <c:spPr>
          <a:ln w="3175">
            <a:solidFill>
              <a:srgbClr val="000000"/>
            </a:solidFill>
            <a:prstDash val="solid"/>
          </a:ln>
        </c:spPr>
        <c:txPr>
          <a:bodyPr rot="0" vert="horz"/>
          <a:lstStyle/>
          <a:p>
            <a:pPr>
              <a:defRPr sz="1100" b="1" i="0" u="none" strike="noStrike" baseline="0">
                <a:solidFill>
                  <a:schemeClr val="tx1"/>
                </a:solidFill>
                <a:latin typeface="Arial" pitchFamily="34" charset="0"/>
                <a:ea typeface="Calibri"/>
                <a:cs typeface="Arial" pitchFamily="34" charset="0"/>
              </a:defRPr>
            </a:pPr>
            <a:endParaRPr lang="en-US"/>
          </a:p>
        </c:txPr>
        <c:crossAx val="161082752"/>
        <c:crossesAt val="0"/>
        <c:crossBetween val="between"/>
        <c:majorUnit val="50"/>
        <c:minorUnit val="25"/>
      </c:valAx>
      <c:spPr>
        <a:solidFill>
          <a:srgbClr val="FFFFFF"/>
        </a:solidFill>
        <a:ln w="25400">
          <a:noFill/>
        </a:ln>
      </c:spPr>
    </c:plotArea>
    <c:legend>
      <c:legendPos val="t"/>
      <c:legendEntry>
        <c:idx val="3"/>
        <c:delete val="1"/>
      </c:legendEntry>
      <c:legendEntry>
        <c:idx val="4"/>
        <c:delete val="1"/>
      </c:legendEntry>
      <c:legendEntry>
        <c:idx val="5"/>
        <c:delete val="1"/>
      </c:legendEntry>
      <c:layout>
        <c:manualLayout>
          <c:xMode val="edge"/>
          <c:yMode val="edge"/>
          <c:x val="0.31258613484968906"/>
          <c:y val="1.9480197482498431E-2"/>
          <c:w val="0.42410841724909248"/>
          <c:h val="5.4335766847817754E-2"/>
        </c:manualLayout>
      </c:layout>
      <c:overlay val="0"/>
      <c:spPr>
        <a:solidFill>
          <a:srgbClr val="FFFFFF"/>
        </a:solidFill>
        <a:ln w="25400">
          <a:noFill/>
        </a:ln>
      </c:spPr>
      <c:txPr>
        <a:bodyPr/>
        <a:lstStyle/>
        <a:p>
          <a:pPr>
            <a:defRPr sz="1400" b="0" i="0" u="none" strike="noStrike" baseline="0">
              <a:solidFill>
                <a:srgbClr val="000000"/>
              </a:solidFill>
              <a:latin typeface="Arial" pitchFamily="34" charset="0"/>
              <a:ea typeface="Calibri"/>
              <a:cs typeface="Arial" pitchFamily="34" charset="0"/>
            </a:defRPr>
          </a:pPr>
          <a:endParaRPr lang="en-US"/>
        </a:p>
      </c:txPr>
    </c:legend>
    <c:plotVisOnly val="1"/>
    <c:dispBlanksAs val="gap"/>
    <c:showDLblsOverMax val="0"/>
  </c:chart>
  <c:spPr>
    <a:solidFill>
      <a:srgbClr val="FFFFFF"/>
    </a:solidFill>
    <a:ln w="9525">
      <a:solidFill>
        <a:srgbClr val="808080"/>
      </a:solidFill>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0000000000006" r="0.750000000000006" t="1" header="0.5" footer="0.5"/>
    <c:pageSetup paperSize="5"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280746883383756E-2"/>
          <c:y val="0.12133523343001466"/>
          <c:w val="0.86047278973849184"/>
          <c:h val="0.7558980268938309"/>
        </c:manualLayout>
      </c:layout>
      <c:lineChart>
        <c:grouping val="standard"/>
        <c:varyColors val="0"/>
        <c:ser>
          <c:idx val="1"/>
          <c:order val="0"/>
          <c:tx>
            <c:v>VIN-min</c:v>
          </c:tx>
          <c:spPr>
            <a:ln>
              <a:solidFill>
                <a:srgbClr val="00B050"/>
              </a:solidFill>
              <a:prstDash val="sysDash"/>
            </a:ln>
          </c:spPr>
          <c:marker>
            <c:symbol val="none"/>
          </c:marker>
          <c:val>
            <c:numRef>
              <c:f>'Calculations - Single'!$AK$110:$AK$210</c:f>
              <c:numCache>
                <c:formatCode>0.000</c:formatCode>
                <c:ptCount val="101"/>
                <c:pt idx="0">
                  <c:v>1.0068571428571429</c:v>
                </c:pt>
                <c:pt idx="1">
                  <c:v>1.0386067573965934</c:v>
                </c:pt>
                <c:pt idx="2">
                  <c:v>1.0772135147931867</c:v>
                </c:pt>
                <c:pt idx="3">
                  <c:v>1.1158202721897801</c:v>
                </c:pt>
                <c:pt idx="4">
                  <c:v>1.1544270295863737</c:v>
                </c:pt>
                <c:pt idx="5">
                  <c:v>1.193033786982967</c:v>
                </c:pt>
                <c:pt idx="6">
                  <c:v>1.2462833951949419</c:v>
                </c:pt>
                <c:pt idx="7">
                  <c:v>1.29865935735925</c:v>
                </c:pt>
                <c:pt idx="8">
                  <c:v>1.3474097142910904</c:v>
                </c:pt>
                <c:pt idx="9">
                  <c:v>1.3931970505556714</c:v>
                </c:pt>
                <c:pt idx="10">
                  <c:v>1.4365037899418789</c:v>
                </c:pt>
                <c:pt idx="11">
                  <c:v>1.477694123442391</c:v>
                </c:pt>
                <c:pt idx="12">
                  <c:v>1.5170509912313888</c:v>
                </c:pt>
                <c:pt idx="13">
                  <c:v>1.5547994007762376</c:v>
                </c:pt>
                <c:pt idx="14">
                  <c:v>1.5911217872664931</c:v>
                </c:pt>
                <c:pt idx="15">
                  <c:v>1.626168503456066</c:v>
                </c:pt>
                <c:pt idx="16">
                  <c:v>1.6600652032100311</c:v>
                </c:pt>
                <c:pt idx="17">
                  <c:v>1.6929181740999755</c:v>
                </c:pt>
                <c:pt idx="18">
                  <c:v>1.7248182751403391</c:v>
                </c:pt>
                <c:pt idx="19">
                  <c:v>1.7558439012623319</c:v>
                </c:pt>
                <c:pt idx="20">
                  <c:v>1.7860632533224707</c:v>
                </c:pt>
                <c:pt idx="21">
                  <c:v>1.8155361027042261</c:v>
                </c:pt>
                <c:pt idx="22">
                  <c:v>1.8443151815975658</c:v>
                </c:pt>
                <c:pt idx="23">
                  <c:v>1.8724472916606016</c:v>
                </c:pt>
                <c:pt idx="24">
                  <c:v>1.8999741977972913</c:v>
                </c:pt>
                <c:pt idx="25">
                  <c:v>1.9269333558643909</c:v>
                </c:pt>
                <c:pt idx="26">
                  <c:v>1.9533585105336304</c:v>
                </c:pt>
                <c:pt idx="27">
                  <c:v>1.9792801905507869</c:v>
                </c:pt>
                <c:pt idx="28">
                  <c:v>2.0047261221259074</c:v>
                </c:pt>
                <c:pt idx="29">
                  <c:v>2.0297215764118484</c:v>
                </c:pt>
                <c:pt idx="30">
                  <c:v>2.0542896634778418</c:v>
                </c:pt>
                <c:pt idx="31">
                  <c:v>2.0784515825158181</c:v>
                </c:pt>
                <c:pt idx="32">
                  <c:v>2.1022268359895881</c:v>
                </c:pt>
                <c:pt idx="33">
                  <c:v>2.1256334138814355</c:v>
                </c:pt>
                <c:pt idx="34">
                  <c:v>2.1486879529863958</c:v>
                </c:pt>
                <c:pt idx="35">
                  <c:v>2.1714058752641918</c:v>
                </c:pt>
                <c:pt idx="36">
                  <c:v>2.1938015085187503</c:v>
                </c:pt>
                <c:pt idx="37">
                  <c:v>2.2158881920884368</c:v>
                </c:pt>
                <c:pt idx="38">
                  <c:v>2.2376783697615901</c:v>
                </c:pt>
                <c:pt idx="39">
                  <c:v>2.2591836717553471</c:v>
                </c:pt>
                <c:pt idx="40">
                  <c:v>2.2804149872911652</c:v>
                </c:pt>
                <c:pt idx="41">
                  <c:v>2.3013825290526522</c:v>
                </c:pt>
                <c:pt idx="42">
                  <c:v>2.3220958906086229</c:v>
                </c:pt>
                <c:pt idx="43">
                  <c:v>2.3425640977175979</c:v>
                </c:pt>
                <c:pt idx="44">
                  <c:v>2.3627956542921895</c:v>
                </c:pt>
                <c:pt idx="45">
                  <c:v>2.3827985836874102</c:v>
                </c:pt>
                <c:pt idx="46">
                  <c:v>2.4025804658815071</c:v>
                </c:pt>
                <c:pt idx="47">
                  <c:v>2.422148471037981</c:v>
                </c:pt>
                <c:pt idx="48">
                  <c:v>2.441509389870185</c:v>
                </c:pt>
                <c:pt idx="49">
                  <c:v>2.4606696611731103</c:v>
                </c:pt>
                <c:pt idx="50">
                  <c:v>2.4796353968388374</c:v>
                </c:pt>
                <c:pt idx="51">
                  <c:v>2.49841240463115</c:v>
                </c:pt>
                <c:pt idx="52">
                  <c:v>2.5170062089598826</c:v>
                </c:pt>
                <c:pt idx="53">
                  <c:v>2.5354220698656196</c:v>
                </c:pt>
                <c:pt idx="54">
                  <c:v>2.5536650003996408</c:v>
                </c:pt>
                <c:pt idx="55">
                  <c:v>2.5717397825618695</c:v>
                </c:pt>
                <c:pt idx="56">
                  <c:v>2.5896509819403937</c:v>
                </c:pt>
                <c:pt idx="57">
                  <c:v>2.6074029611795684</c:v>
                </c:pt>
                <c:pt idx="58">
                  <c:v>2.6249998923892486</c:v>
                </c:pt>
                <c:pt idx="59">
                  <c:v>2.6424457685951777</c:v>
                </c:pt>
                <c:pt idx="60">
                  <c:v>2.6597444143195395</c:v>
                </c:pt>
                <c:pt idx="61">
                  <c:v>2.6768994953711127</c:v>
                </c:pt>
                <c:pt idx="62">
                  <c:v>2.6939145279160064</c:v>
                </c:pt>
                <c:pt idx="63">
                  <c:v>2.7107928868925648</c:v>
                </c:pt>
                <c:pt idx="64">
                  <c:v>2.7275378138274697</c:v>
                </c:pt>
                <c:pt idx="65">
                  <c:v>2.7441524241043238</c:v>
                </c:pt>
                <c:pt idx="66">
                  <c:v>2.7606397137308623</c:v>
                </c:pt>
                <c:pt idx="67">
                  <c:v>2.7770025656464354</c:v>
                </c:pt>
                <c:pt idx="68">
                  <c:v>2.7932437556073584</c:v>
                </c:pt>
                <c:pt idx="69">
                  <c:v>2.8093659576841601</c:v>
                </c:pt>
                <c:pt idx="70">
                  <c:v>2.8253717494015551</c:v>
                </c:pt>
                <c:pt idx="71">
                  <c:v>2.841263616549119</c:v>
                </c:pt>
                <c:pt idx="72">
                  <c:v>2.8570439576880862</c:v>
                </c:pt>
                <c:pt idx="73">
                  <c:v>2.872715088377412</c:v>
                </c:pt>
                <c:pt idx="74">
                  <c:v>2.8882792451401795</c:v>
                </c:pt>
                <c:pt idx="75">
                  <c:v>2.9037385891895831</c:v>
                </c:pt>
                <c:pt idx="76">
                  <c:v>2.9190952099320722</c:v>
                </c:pt>
                <c:pt idx="77">
                  <c:v>2.9343511282637231</c:v>
                </c:pt>
                <c:pt idx="78">
                  <c:v>2.9495082996745721</c:v>
                </c:pt>
                <c:pt idx="79">
                  <c:v>2.9645686171743968</c:v>
                </c:pt>
                <c:pt idx="80">
                  <c:v>2.9795339140523494</c:v>
                </c:pt>
                <c:pt idx="81">
                  <c:v>2.9944059664818301</c:v>
                </c:pt>
                <c:pt idx="82">
                  <c:v>2.9952799539029265</c:v>
                </c:pt>
                <c:pt idx="83">
                  <c:v>3.02458101928476</c:v>
                </c:pt>
                <c:pt idx="84">
                  <c:v>3.0538820846665935</c:v>
                </c:pt>
                <c:pt idx="85">
                  <c:v>3.083183150048427</c:v>
                </c:pt>
                <c:pt idx="86">
                  <c:v>3.1124842154302605</c:v>
                </c:pt>
                <c:pt idx="87">
                  <c:v>3.1417852808120941</c:v>
                </c:pt>
                <c:pt idx="88">
                  <c:v>3.1710863461939267</c:v>
                </c:pt>
                <c:pt idx="89">
                  <c:v>3.2003874115757593</c:v>
                </c:pt>
                <c:pt idx="90">
                  <c:v>3.2296884769575929</c:v>
                </c:pt>
                <c:pt idx="91">
                  <c:v>3.2589895423394264</c:v>
                </c:pt>
                <c:pt idx="92">
                  <c:v>3.2882906077212599</c:v>
                </c:pt>
                <c:pt idx="93">
                  <c:v>3.3175916731030934</c:v>
                </c:pt>
                <c:pt idx="94">
                  <c:v>3.346892738484927</c:v>
                </c:pt>
                <c:pt idx="95">
                  <c:v>3.3761938038667596</c:v>
                </c:pt>
                <c:pt idx="96">
                  <c:v>3.4054948692485931</c:v>
                </c:pt>
                <c:pt idx="97">
                  <c:v>3.4347959346304267</c:v>
                </c:pt>
                <c:pt idx="98">
                  <c:v>3.4640970000122602</c:v>
                </c:pt>
                <c:pt idx="99">
                  <c:v>3.4933980653940937</c:v>
                </c:pt>
                <c:pt idx="100">
                  <c:v>3.5226991307759272</c:v>
                </c:pt>
              </c:numCache>
            </c:numRef>
          </c:val>
          <c:smooth val="0"/>
          <c:extLst>
            <c:ext xmlns:c16="http://schemas.microsoft.com/office/drawing/2014/chart" uri="{C3380CC4-5D6E-409C-BE32-E72D297353CC}">
              <c16:uniqueId val="{00000000-CE55-40C5-B07E-FF43DCD35094}"/>
            </c:ext>
          </c:extLst>
        </c:ser>
        <c:ser>
          <c:idx val="0"/>
          <c:order val="1"/>
          <c:tx>
            <c:v>VIN-nom</c:v>
          </c:tx>
          <c:spPr>
            <a:ln w="28575">
              <a:solidFill>
                <a:srgbClr val="0000FF"/>
              </a:solidFill>
              <a:prstDash val="lgDash"/>
            </a:ln>
          </c:spPr>
          <c:marker>
            <c:symbol val="none"/>
          </c:marker>
          <c:cat>
            <c:numRef>
              <c:f>'Calculations - Single'!$AM$5:$AM$105</c:f>
              <c:numCache>
                <c:formatCode>0</c:formatCode>
                <c:ptCount val="101"/>
                <c:pt idx="0">
                  <c:v>1.0000000000000002E-6</c:v>
                </c:pt>
                <c:pt idx="1">
                  <c:v>10</c:v>
                </c:pt>
                <c:pt idx="2">
                  <c:v>20</c:v>
                </c:pt>
                <c:pt idx="3">
                  <c:v>30</c:v>
                </c:pt>
                <c:pt idx="4">
                  <c:v>40</c:v>
                </c:pt>
                <c:pt idx="5">
                  <c:v>50</c:v>
                </c:pt>
                <c:pt idx="6">
                  <c:v>60</c:v>
                </c:pt>
                <c:pt idx="7">
                  <c:v>70</c:v>
                </c:pt>
                <c:pt idx="8">
                  <c:v>80</c:v>
                </c:pt>
                <c:pt idx="9">
                  <c:v>90</c:v>
                </c:pt>
                <c:pt idx="10">
                  <c:v>100</c:v>
                </c:pt>
                <c:pt idx="11">
                  <c:v>110</c:v>
                </c:pt>
                <c:pt idx="12">
                  <c:v>120</c:v>
                </c:pt>
                <c:pt idx="13">
                  <c:v>130</c:v>
                </c:pt>
                <c:pt idx="14">
                  <c:v>140</c:v>
                </c:pt>
                <c:pt idx="15">
                  <c:v>150</c:v>
                </c:pt>
                <c:pt idx="16">
                  <c:v>160</c:v>
                </c:pt>
                <c:pt idx="17">
                  <c:v>170</c:v>
                </c:pt>
                <c:pt idx="18">
                  <c:v>180</c:v>
                </c:pt>
                <c:pt idx="19">
                  <c:v>190</c:v>
                </c:pt>
                <c:pt idx="20">
                  <c:v>200</c:v>
                </c:pt>
                <c:pt idx="21">
                  <c:v>210</c:v>
                </c:pt>
                <c:pt idx="22">
                  <c:v>220</c:v>
                </c:pt>
                <c:pt idx="23">
                  <c:v>230</c:v>
                </c:pt>
                <c:pt idx="24">
                  <c:v>240</c:v>
                </c:pt>
                <c:pt idx="25">
                  <c:v>250</c:v>
                </c:pt>
                <c:pt idx="26">
                  <c:v>260</c:v>
                </c:pt>
                <c:pt idx="27">
                  <c:v>270</c:v>
                </c:pt>
                <c:pt idx="28">
                  <c:v>280</c:v>
                </c:pt>
                <c:pt idx="29">
                  <c:v>290</c:v>
                </c:pt>
                <c:pt idx="30">
                  <c:v>300</c:v>
                </c:pt>
                <c:pt idx="31">
                  <c:v>310</c:v>
                </c:pt>
                <c:pt idx="32">
                  <c:v>320</c:v>
                </c:pt>
                <c:pt idx="33">
                  <c:v>330</c:v>
                </c:pt>
                <c:pt idx="34">
                  <c:v>340</c:v>
                </c:pt>
                <c:pt idx="35">
                  <c:v>350</c:v>
                </c:pt>
                <c:pt idx="36">
                  <c:v>360</c:v>
                </c:pt>
                <c:pt idx="37">
                  <c:v>370</c:v>
                </c:pt>
                <c:pt idx="38">
                  <c:v>380</c:v>
                </c:pt>
                <c:pt idx="39">
                  <c:v>390</c:v>
                </c:pt>
                <c:pt idx="40">
                  <c:v>400</c:v>
                </c:pt>
                <c:pt idx="41">
                  <c:v>410</c:v>
                </c:pt>
                <c:pt idx="42">
                  <c:v>420</c:v>
                </c:pt>
                <c:pt idx="43">
                  <c:v>430</c:v>
                </c:pt>
                <c:pt idx="44">
                  <c:v>440</c:v>
                </c:pt>
                <c:pt idx="45">
                  <c:v>450</c:v>
                </c:pt>
                <c:pt idx="46">
                  <c:v>460</c:v>
                </c:pt>
                <c:pt idx="47">
                  <c:v>470</c:v>
                </c:pt>
                <c:pt idx="48">
                  <c:v>480</c:v>
                </c:pt>
                <c:pt idx="49">
                  <c:v>490</c:v>
                </c:pt>
                <c:pt idx="50">
                  <c:v>500</c:v>
                </c:pt>
                <c:pt idx="51">
                  <c:v>510</c:v>
                </c:pt>
                <c:pt idx="52">
                  <c:v>520</c:v>
                </c:pt>
                <c:pt idx="53">
                  <c:v>530</c:v>
                </c:pt>
                <c:pt idx="54">
                  <c:v>540</c:v>
                </c:pt>
                <c:pt idx="55">
                  <c:v>550</c:v>
                </c:pt>
                <c:pt idx="56">
                  <c:v>560</c:v>
                </c:pt>
                <c:pt idx="57">
                  <c:v>570</c:v>
                </c:pt>
                <c:pt idx="58">
                  <c:v>580</c:v>
                </c:pt>
                <c:pt idx="59">
                  <c:v>590</c:v>
                </c:pt>
                <c:pt idx="60">
                  <c:v>600</c:v>
                </c:pt>
                <c:pt idx="61">
                  <c:v>610</c:v>
                </c:pt>
                <c:pt idx="62">
                  <c:v>620</c:v>
                </c:pt>
                <c:pt idx="63">
                  <c:v>630</c:v>
                </c:pt>
                <c:pt idx="64">
                  <c:v>640</c:v>
                </c:pt>
                <c:pt idx="65">
                  <c:v>650</c:v>
                </c:pt>
                <c:pt idx="66">
                  <c:v>660</c:v>
                </c:pt>
                <c:pt idx="67">
                  <c:v>670</c:v>
                </c:pt>
                <c:pt idx="68">
                  <c:v>680</c:v>
                </c:pt>
                <c:pt idx="69">
                  <c:v>690</c:v>
                </c:pt>
                <c:pt idx="70">
                  <c:v>700</c:v>
                </c:pt>
                <c:pt idx="71">
                  <c:v>710</c:v>
                </c:pt>
                <c:pt idx="72">
                  <c:v>720</c:v>
                </c:pt>
                <c:pt idx="73">
                  <c:v>730</c:v>
                </c:pt>
                <c:pt idx="74">
                  <c:v>740</c:v>
                </c:pt>
                <c:pt idx="75">
                  <c:v>750</c:v>
                </c:pt>
                <c:pt idx="76">
                  <c:v>760</c:v>
                </c:pt>
                <c:pt idx="77">
                  <c:v>770</c:v>
                </c:pt>
                <c:pt idx="78">
                  <c:v>780</c:v>
                </c:pt>
                <c:pt idx="79">
                  <c:v>790</c:v>
                </c:pt>
                <c:pt idx="80">
                  <c:v>800</c:v>
                </c:pt>
                <c:pt idx="81">
                  <c:v>810</c:v>
                </c:pt>
                <c:pt idx="82">
                  <c:v>820</c:v>
                </c:pt>
                <c:pt idx="83">
                  <c:v>830</c:v>
                </c:pt>
                <c:pt idx="84">
                  <c:v>840</c:v>
                </c:pt>
                <c:pt idx="85">
                  <c:v>850</c:v>
                </c:pt>
                <c:pt idx="86">
                  <c:v>860</c:v>
                </c:pt>
                <c:pt idx="87">
                  <c:v>870</c:v>
                </c:pt>
                <c:pt idx="88">
                  <c:v>880</c:v>
                </c:pt>
                <c:pt idx="89">
                  <c:v>890</c:v>
                </c:pt>
                <c:pt idx="90">
                  <c:v>900</c:v>
                </c:pt>
                <c:pt idx="91">
                  <c:v>910</c:v>
                </c:pt>
                <c:pt idx="92">
                  <c:v>920</c:v>
                </c:pt>
                <c:pt idx="93">
                  <c:v>930</c:v>
                </c:pt>
                <c:pt idx="94">
                  <c:v>940</c:v>
                </c:pt>
                <c:pt idx="95">
                  <c:v>950</c:v>
                </c:pt>
                <c:pt idx="96">
                  <c:v>960</c:v>
                </c:pt>
                <c:pt idx="97">
                  <c:v>970</c:v>
                </c:pt>
                <c:pt idx="98">
                  <c:v>980</c:v>
                </c:pt>
                <c:pt idx="99">
                  <c:v>990</c:v>
                </c:pt>
                <c:pt idx="100">
                  <c:v>1000</c:v>
                </c:pt>
              </c:numCache>
            </c:numRef>
          </c:cat>
          <c:val>
            <c:numRef>
              <c:f>'Calculations - Single'!$AK$5:$AK$105</c:f>
              <c:numCache>
                <c:formatCode>0.000</c:formatCode>
                <c:ptCount val="101"/>
                <c:pt idx="0">
                  <c:v>1.0068571428571429</c:v>
                </c:pt>
                <c:pt idx="1">
                  <c:v>1.0386067573965934</c:v>
                </c:pt>
                <c:pt idx="2">
                  <c:v>1.0772135147931867</c:v>
                </c:pt>
                <c:pt idx="3">
                  <c:v>1.1158202721897801</c:v>
                </c:pt>
                <c:pt idx="4">
                  <c:v>1.1544270295863737</c:v>
                </c:pt>
                <c:pt idx="5">
                  <c:v>1.193033786982967</c:v>
                </c:pt>
                <c:pt idx="6">
                  <c:v>1.2632652050197728</c:v>
                </c:pt>
                <c:pt idx="7">
                  <c:v>1.3170018083699839</c:v>
                </c:pt>
                <c:pt idx="8">
                  <c:v>1.3670186192384766</c:v>
                </c:pt>
                <c:pt idx="9">
                  <c:v>1.4139954350455803</c:v>
                </c:pt>
                <c:pt idx="10">
                  <c:v>1.4584272121552226</c:v>
                </c:pt>
                <c:pt idx="11">
                  <c:v>1.5006876026419158</c:v>
                </c:pt>
                <c:pt idx="12">
                  <c:v>1.5410668969993051</c:v>
                </c:pt>
                <c:pt idx="13">
                  <c:v>1.5797959480179646</c:v>
                </c:pt>
                <c:pt idx="14">
                  <c:v>1.6170619302530371</c:v>
                </c:pt>
                <c:pt idx="15">
                  <c:v>1.6530191023752112</c:v>
                </c:pt>
                <c:pt idx="16">
                  <c:v>1.6877963825299096</c:v>
                </c:pt>
                <c:pt idx="17">
                  <c:v>1.7215028194646762</c:v>
                </c:pt>
                <c:pt idx="18">
                  <c:v>1.7542316325614185</c:v>
                </c:pt>
                <c:pt idx="19">
                  <c:v>1.7860632533224707</c:v>
                </c:pt>
                <c:pt idx="20">
                  <c:v>1.8170676543502129</c:v>
                </c:pt>
                <c:pt idx="21">
                  <c:v>1.8473061597901601</c:v>
                </c:pt>
                <c:pt idx="22">
                  <c:v>1.8768328717276777</c:v>
                </c:pt>
                <c:pt idx="23">
                  <c:v>1.9056958076508295</c:v>
                </c:pt>
                <c:pt idx="24">
                  <c:v>1.9339378174469528</c:v>
                </c:pt>
                <c:pt idx="25">
                  <c:v>1.9615973300142386</c:v>
                </c:pt>
                <c:pt idx="26">
                  <c:v>1.9887089666553808</c:v>
                </c:pt>
                <c:pt idx="27">
                  <c:v>2.0153040492026615</c:v>
                </c:pt>
                <c:pt idx="28">
                  <c:v>2.0414110241473753</c:v>
                </c:pt>
                <c:pt idx="29">
                  <c:v>2.0670558191452848</c:v>
                </c:pt>
                <c:pt idx="30">
                  <c:v>2.0922621446271377</c:v>
                </c:pt>
                <c:pt idx="31">
                  <c:v>2.1170517505049355</c:v>
                </c:pt>
                <c:pt idx="32">
                  <c:v>2.1414446458843606</c:v>
                </c:pt>
                <c:pt idx="33">
                  <c:v>2.1654592880977908</c:v>
                </c:pt>
                <c:pt idx="34">
                  <c:v>2.189112746136781</c:v>
                </c:pt>
                <c:pt idx="35">
                  <c:v>2.2124208425981524</c:v>
                </c:pt>
                <c:pt idx="36">
                  <c:v>2.2353982774985681</c:v>
                </c:pt>
                <c:pt idx="37">
                  <c:v>2.2580587367104212</c:v>
                </c:pt>
                <c:pt idx="38">
                  <c:v>2.2804149872911652</c:v>
                </c:pt>
                <c:pt idx="39">
                  <c:v>2.302478961591814</c:v>
                </c:pt>
                <c:pt idx="40">
                  <c:v>2.3242618317178527</c:v>
                </c:pt>
                <c:pt idx="41">
                  <c:v>2.3457740756615797</c:v>
                </c:pt>
                <c:pt idx="42">
                  <c:v>2.3670255362169184</c:v>
                </c:pt>
                <c:pt idx="43">
                  <c:v>2.3880254736167221</c:v>
                </c:pt>
                <c:pt idx="44">
                  <c:v>2.4087826126912395</c:v>
                </c:pt>
                <c:pt idx="45">
                  <c:v>2.4293051852290235</c:v>
                </c:pt>
                <c:pt idx="46">
                  <c:v>2.4496009681236659</c:v>
                </c:pt>
                <c:pt idx="47">
                  <c:v>2.4696773178076992</c:v>
                </c:pt>
                <c:pt idx="48">
                  <c:v>2.4895412014060176</c:v>
                </c:pt>
                <c:pt idx="49">
                  <c:v>2.5091992249828978</c:v>
                </c:pt>
                <c:pt idx="50">
                  <c:v>2.5286576592073025</c:v>
                </c:pt>
                <c:pt idx="51">
                  <c:v>2.5479224627191495</c:v>
                </c:pt>
                <c:pt idx="52">
                  <c:v>2.5669993034433372</c:v>
                </c:pt>
                <c:pt idx="53">
                  <c:v>2.5858935780676342</c:v>
                </c:pt>
                <c:pt idx="54">
                  <c:v>2.6046104298741328</c:v>
                </c:pt>
                <c:pt idx="55">
                  <c:v>2.6231547650912344</c:v>
                </c:pt>
                <c:pt idx="56">
                  <c:v>2.6415312679134821</c:v>
                </c:pt>
                <c:pt idx="57">
                  <c:v>2.6597444143195395</c:v>
                </c:pt>
                <c:pt idx="58">
                  <c:v>2.6777984848038034</c:v>
                </c:pt>
                <c:pt idx="59">
                  <c:v>2.6956975761242443</c:v>
                </c:pt>
                <c:pt idx="60">
                  <c:v>2.7134456121578303</c:v>
                </c:pt>
                <c:pt idx="61">
                  <c:v>2.7310463539450103</c:v>
                </c:pt>
                <c:pt idx="62">
                  <c:v>2.7485034089960956</c:v>
                </c:pt>
                <c:pt idx="63">
                  <c:v>2.7658202399247664</c:v>
                </c:pt>
                <c:pt idx="64">
                  <c:v>2.7830001724672266</c:v>
                </c:pt>
                <c:pt idx="65">
                  <c:v>2.8000464029396106</c:v>
                </c:pt>
                <c:pt idx="66">
                  <c:v>2.8169620051809972</c:v>
                </c:pt>
                <c:pt idx="67">
                  <c:v>2.8337499370247503</c:v>
                </c:pt>
                <c:pt idx="68">
                  <c:v>2.8504130463367598</c:v>
                </c:pt>
                <c:pt idx="69">
                  <c:v>2.8669540766555004</c:v>
                </c:pt>
                <c:pt idx="70">
                  <c:v>2.8833756724655317</c:v>
                </c:pt>
                <c:pt idx="71">
                  <c:v>2.8996803841331458</c:v>
                </c:pt>
                <c:pt idx="72">
                  <c:v>2.9158706725302448</c:v>
                </c:pt>
                <c:pt idx="73">
                  <c:v>2.9319489133701904</c:v>
                </c:pt>
                <c:pt idx="74">
                  <c:v>2.9479174012772491</c:v>
                </c:pt>
                <c:pt idx="75">
                  <c:v>2.9637783536093742</c:v>
                </c:pt>
                <c:pt idx="76">
                  <c:v>2.9795339140523494</c:v>
                </c:pt>
                <c:pt idx="77">
                  <c:v>2.9951861560018025</c:v>
                </c:pt>
                <c:pt idx="78">
                  <c:v>3.0107370857481777</c:v>
                </c:pt>
                <c:pt idx="79">
                  <c:v>3.026188645478527</c:v>
                </c:pt>
                <c:pt idx="80">
                  <c:v>3.0415427161078332</c:v>
                </c:pt>
                <c:pt idx="81">
                  <c:v>3.0568011199515563</c:v>
                </c:pt>
                <c:pt idx="82">
                  <c:v>3.0719656232501311</c:v>
                </c:pt>
                <c:pt idx="83">
                  <c:v>3.0870379385553504</c:v>
                </c:pt>
                <c:pt idx="84">
                  <c:v>3.1020197269877277</c:v>
                </c:pt>
                <c:pt idx="85">
                  <c:v>3.1169126003732814</c:v>
                </c:pt>
                <c:pt idx="86">
                  <c:v>3.1317181232675164</c:v>
                </c:pt>
                <c:pt idx="87">
                  <c:v>3.1464378148737957</c:v>
                </c:pt>
                <c:pt idx="88">
                  <c:v>3.1610731508627627</c:v>
                </c:pt>
                <c:pt idx="89">
                  <c:v>3.1756255650989758</c:v>
                </c:pt>
                <c:pt idx="90">
                  <c:v>3.1900964512804828</c:v>
                </c:pt>
                <c:pt idx="91">
                  <c:v>3.2044871644966335</c:v>
                </c:pt>
                <c:pt idx="92">
                  <c:v>3.2187990227090664</c:v>
                </c:pt>
                <c:pt idx="93">
                  <c:v>3.2330333081604365</c:v>
                </c:pt>
                <c:pt idx="94">
                  <c:v>3.2471912687151701</c:v>
                </c:pt>
                <c:pt idx="95">
                  <c:v>3.2612741191361891</c:v>
                </c:pt>
                <c:pt idx="96">
                  <c:v>3.2752830423013126</c:v>
                </c:pt>
                <c:pt idx="97">
                  <c:v>3.2892191903627941</c:v>
                </c:pt>
                <c:pt idx="98">
                  <c:v>3.3030836858531867</c:v>
                </c:pt>
                <c:pt idx="99">
                  <c:v>3.316877622740563</c:v>
                </c:pt>
                <c:pt idx="100">
                  <c:v>3.3306020674358852</c:v>
                </c:pt>
              </c:numCache>
            </c:numRef>
          </c:val>
          <c:smooth val="0"/>
          <c:extLst>
            <c:ext xmlns:c16="http://schemas.microsoft.com/office/drawing/2014/chart" uri="{C3380CC4-5D6E-409C-BE32-E72D297353CC}">
              <c16:uniqueId val="{00000001-CE55-40C5-B07E-FF43DCD35094}"/>
            </c:ext>
          </c:extLst>
        </c:ser>
        <c:ser>
          <c:idx val="2"/>
          <c:order val="2"/>
          <c:tx>
            <c:v>VIN-max</c:v>
          </c:tx>
          <c:spPr>
            <a:ln>
              <a:solidFill>
                <a:srgbClr val="FF0000"/>
              </a:solidFill>
              <a:prstDash val="solid"/>
            </a:ln>
          </c:spPr>
          <c:marker>
            <c:symbol val="none"/>
          </c:marker>
          <c:val>
            <c:numRef>
              <c:f>'Calculations - Single'!$AK$217:$AK$317</c:f>
              <c:numCache>
                <c:formatCode>0.000</c:formatCode>
                <c:ptCount val="101"/>
                <c:pt idx="0">
                  <c:v>1.0068571428571429</c:v>
                </c:pt>
                <c:pt idx="1">
                  <c:v>1.0386067573965934</c:v>
                </c:pt>
                <c:pt idx="2">
                  <c:v>1.0772135147931867</c:v>
                </c:pt>
                <c:pt idx="3">
                  <c:v>1.1158202721897801</c:v>
                </c:pt>
                <c:pt idx="4">
                  <c:v>1.1544270295863737</c:v>
                </c:pt>
                <c:pt idx="5">
                  <c:v>1.193033786982967</c:v>
                </c:pt>
                <c:pt idx="6">
                  <c:v>1.2462833951949419</c:v>
                </c:pt>
                <c:pt idx="7">
                  <c:v>1.29865935735925</c:v>
                </c:pt>
                <c:pt idx="8">
                  <c:v>1.3474097142910904</c:v>
                </c:pt>
                <c:pt idx="9">
                  <c:v>1.3931970505556714</c:v>
                </c:pt>
                <c:pt idx="10">
                  <c:v>1.4365037899418789</c:v>
                </c:pt>
                <c:pt idx="11">
                  <c:v>1.477694123442391</c:v>
                </c:pt>
                <c:pt idx="12">
                  <c:v>1.5170509912313888</c:v>
                </c:pt>
                <c:pt idx="13">
                  <c:v>1.5547994007762376</c:v>
                </c:pt>
                <c:pt idx="14">
                  <c:v>1.5911217872664931</c:v>
                </c:pt>
                <c:pt idx="15">
                  <c:v>1.626168503456066</c:v>
                </c:pt>
                <c:pt idx="16">
                  <c:v>1.6600652032100311</c:v>
                </c:pt>
                <c:pt idx="17">
                  <c:v>1.6929181740999755</c:v>
                </c:pt>
                <c:pt idx="18">
                  <c:v>1.7248182751403391</c:v>
                </c:pt>
                <c:pt idx="19">
                  <c:v>1.7558439012623319</c:v>
                </c:pt>
                <c:pt idx="20">
                  <c:v>1.7860632533224707</c:v>
                </c:pt>
                <c:pt idx="21">
                  <c:v>1.8155361027042261</c:v>
                </c:pt>
                <c:pt idx="22">
                  <c:v>1.8443151815975658</c:v>
                </c:pt>
                <c:pt idx="23">
                  <c:v>1.8724472916606016</c:v>
                </c:pt>
                <c:pt idx="24">
                  <c:v>1.8999741977972913</c:v>
                </c:pt>
                <c:pt idx="25">
                  <c:v>1.9269333558643909</c:v>
                </c:pt>
                <c:pt idx="26">
                  <c:v>1.9533585105336304</c:v>
                </c:pt>
                <c:pt idx="27">
                  <c:v>1.9792801905507869</c:v>
                </c:pt>
                <c:pt idx="28">
                  <c:v>2.0047261221259074</c:v>
                </c:pt>
                <c:pt idx="29">
                  <c:v>2.0297215764118484</c:v>
                </c:pt>
                <c:pt idx="30">
                  <c:v>2.0542896634778418</c:v>
                </c:pt>
                <c:pt idx="31">
                  <c:v>2.0784515825158181</c:v>
                </c:pt>
                <c:pt idx="32">
                  <c:v>2.1022268359895881</c:v>
                </c:pt>
                <c:pt idx="33">
                  <c:v>2.1256334138814355</c:v>
                </c:pt>
                <c:pt idx="34">
                  <c:v>2.1486879529863958</c:v>
                </c:pt>
                <c:pt idx="35">
                  <c:v>2.1714058752641918</c:v>
                </c:pt>
                <c:pt idx="36">
                  <c:v>2.1938015085187503</c:v>
                </c:pt>
                <c:pt idx="37">
                  <c:v>2.2158881920884368</c:v>
                </c:pt>
                <c:pt idx="38">
                  <c:v>2.2376783697615901</c:v>
                </c:pt>
                <c:pt idx="39">
                  <c:v>2.2591836717553471</c:v>
                </c:pt>
                <c:pt idx="40">
                  <c:v>2.2804149872911652</c:v>
                </c:pt>
                <c:pt idx="41">
                  <c:v>2.3013825290526522</c:v>
                </c:pt>
                <c:pt idx="42">
                  <c:v>2.3220958906086229</c:v>
                </c:pt>
                <c:pt idx="43">
                  <c:v>2.3425640977175979</c:v>
                </c:pt>
                <c:pt idx="44">
                  <c:v>2.3627956542921895</c:v>
                </c:pt>
                <c:pt idx="45">
                  <c:v>2.3827985836874102</c:v>
                </c:pt>
                <c:pt idx="46">
                  <c:v>2.4025804658815071</c:v>
                </c:pt>
                <c:pt idx="47">
                  <c:v>2.422148471037981</c:v>
                </c:pt>
                <c:pt idx="48">
                  <c:v>2.441509389870185</c:v>
                </c:pt>
                <c:pt idx="49">
                  <c:v>2.4606696611731103</c:v>
                </c:pt>
                <c:pt idx="50">
                  <c:v>2.4796353968388374</c:v>
                </c:pt>
                <c:pt idx="51">
                  <c:v>2.49841240463115</c:v>
                </c:pt>
                <c:pt idx="52">
                  <c:v>2.5170062089598826</c:v>
                </c:pt>
                <c:pt idx="53">
                  <c:v>2.5354220698656196</c:v>
                </c:pt>
                <c:pt idx="54">
                  <c:v>2.5536650003996408</c:v>
                </c:pt>
                <c:pt idx="55">
                  <c:v>2.5717397825618695</c:v>
                </c:pt>
                <c:pt idx="56">
                  <c:v>2.5896509819403937</c:v>
                </c:pt>
                <c:pt idx="57">
                  <c:v>2.6074029611795684</c:v>
                </c:pt>
                <c:pt idx="58">
                  <c:v>2.6249998923892486</c:v>
                </c:pt>
                <c:pt idx="59">
                  <c:v>2.6424457685951777</c:v>
                </c:pt>
                <c:pt idx="60">
                  <c:v>2.6597444143195395</c:v>
                </c:pt>
                <c:pt idx="61">
                  <c:v>2.6768994953711127</c:v>
                </c:pt>
                <c:pt idx="62">
                  <c:v>2.6939145279160064</c:v>
                </c:pt>
                <c:pt idx="63">
                  <c:v>2.7107928868925648</c:v>
                </c:pt>
                <c:pt idx="64">
                  <c:v>2.7275378138274697</c:v>
                </c:pt>
                <c:pt idx="65">
                  <c:v>2.7441524241043238</c:v>
                </c:pt>
                <c:pt idx="66">
                  <c:v>2.7606397137308623</c:v>
                </c:pt>
                <c:pt idx="67">
                  <c:v>2.7770025656464354</c:v>
                </c:pt>
                <c:pt idx="68">
                  <c:v>2.7932437556073584</c:v>
                </c:pt>
                <c:pt idx="69">
                  <c:v>2.8093659576841601</c:v>
                </c:pt>
                <c:pt idx="70">
                  <c:v>2.8253717494015551</c:v>
                </c:pt>
                <c:pt idx="71">
                  <c:v>2.841263616549119</c:v>
                </c:pt>
                <c:pt idx="72">
                  <c:v>2.8570439576880862</c:v>
                </c:pt>
                <c:pt idx="73">
                  <c:v>2.872715088377412</c:v>
                </c:pt>
                <c:pt idx="74">
                  <c:v>2.8882792451401795</c:v>
                </c:pt>
                <c:pt idx="75">
                  <c:v>2.9037385891895831</c:v>
                </c:pt>
                <c:pt idx="76">
                  <c:v>2.9190952099320722</c:v>
                </c:pt>
                <c:pt idx="77">
                  <c:v>2.9343511282637231</c:v>
                </c:pt>
                <c:pt idx="78">
                  <c:v>2.9495082996745721</c:v>
                </c:pt>
                <c:pt idx="79">
                  <c:v>2.9645686171743968</c:v>
                </c:pt>
                <c:pt idx="80">
                  <c:v>2.9795339140523494</c:v>
                </c:pt>
                <c:pt idx="81">
                  <c:v>2.9944059664818301</c:v>
                </c:pt>
                <c:pt idx="82">
                  <c:v>3.0091864959810684</c:v>
                </c:pt>
                <c:pt idx="83">
                  <c:v>3.0238771717390773</c:v>
                </c:pt>
                <c:pt idx="84">
                  <c:v>3.0384796128158595</c:v>
                </c:pt>
                <c:pt idx="85">
                  <c:v>3.0529953902250861</c:v>
                </c:pt>
                <c:pt idx="86">
                  <c:v>3.0674260289068327</c:v>
                </c:pt>
                <c:pt idx="87">
                  <c:v>3.0817730095973754</c:v>
                </c:pt>
                <c:pt idx="88">
                  <c:v>3.096037770602539</c:v>
                </c:pt>
                <c:pt idx="89">
                  <c:v>3.1102217094806228</c:v>
                </c:pt>
                <c:pt idx="90">
                  <c:v>3.1243261846404513</c:v>
                </c:pt>
                <c:pt idx="91">
                  <c:v>3.1383525168597464</c:v>
                </c:pt>
                <c:pt idx="92">
                  <c:v>3.1523019907286107</c:v>
                </c:pt>
                <c:pt idx="93">
                  <c:v>3.1661758560225923</c:v>
                </c:pt>
                <c:pt idx="94">
                  <c:v>3.1799753290094825</c:v>
                </c:pt>
                <c:pt idx="95">
                  <c:v>3.1937015936937208</c:v>
                </c:pt>
                <c:pt idx="96">
                  <c:v>3.20735580300199</c:v>
                </c:pt>
                <c:pt idx="97">
                  <c:v>3.2209390799133963</c:v>
                </c:pt>
                <c:pt idx="98">
                  <c:v>3.234452518537335</c:v>
                </c:pt>
                <c:pt idx="99">
                  <c:v>3.247897185141988</c:v>
                </c:pt>
                <c:pt idx="100">
                  <c:v>3.2612741191361891</c:v>
                </c:pt>
              </c:numCache>
            </c:numRef>
          </c:val>
          <c:smooth val="0"/>
          <c:extLst>
            <c:ext xmlns:c16="http://schemas.microsoft.com/office/drawing/2014/chart" uri="{C3380CC4-5D6E-409C-BE32-E72D297353CC}">
              <c16:uniqueId val="{00000002-CE55-40C5-B07E-FF43DCD35094}"/>
            </c:ext>
          </c:extLst>
        </c:ser>
        <c:dLbls>
          <c:showLegendKey val="0"/>
          <c:showVal val="0"/>
          <c:showCatName val="0"/>
          <c:showSerName val="0"/>
          <c:showPercent val="0"/>
          <c:showBubbleSize val="0"/>
        </c:dLbls>
        <c:smooth val="0"/>
        <c:axId val="140028544"/>
        <c:axId val="140038912"/>
      </c:lineChart>
      <c:catAx>
        <c:axId val="140028544"/>
        <c:scaling>
          <c:orientation val="minMax"/>
        </c:scaling>
        <c:delete val="0"/>
        <c:axPos val="b"/>
        <c:majorGridlines>
          <c:spPr>
            <a:ln w="15875">
              <a:solidFill>
                <a:srgbClr val="969696"/>
              </a:solidFill>
              <a:prstDash val="sysDash"/>
            </a:ln>
          </c:spPr>
        </c:majorGridlines>
        <c:title>
          <c:tx>
            <c:rich>
              <a:bodyPr/>
              <a:lstStyle/>
              <a:p>
                <a:pPr>
                  <a:defRPr sz="1200" b="1" i="0" u="none" strike="noStrike" baseline="0">
                    <a:solidFill>
                      <a:schemeClr val="tx1"/>
                    </a:solidFill>
                    <a:latin typeface="Arial" pitchFamily="34" charset="0"/>
                    <a:ea typeface="Calibri"/>
                    <a:cs typeface="Arial" pitchFamily="34" charset="0"/>
                  </a:defRPr>
                </a:pPr>
                <a:r>
                  <a:rPr lang="en-US" sz="1200">
                    <a:solidFill>
                      <a:schemeClr val="tx1"/>
                    </a:solidFill>
                    <a:latin typeface="Arial" pitchFamily="34" charset="0"/>
                    <a:cs typeface="Arial" pitchFamily="34" charset="0"/>
                  </a:rPr>
                  <a:t>Load Current (mA)</a:t>
                </a:r>
              </a:p>
            </c:rich>
          </c:tx>
          <c:layout>
            <c:manualLayout>
              <c:xMode val="edge"/>
              <c:yMode val="edge"/>
              <c:x val="0.45424135936496307"/>
              <c:y val="0.9410669161053864"/>
            </c:manualLayout>
          </c:layout>
          <c:overlay val="0"/>
          <c:spPr>
            <a:noFill/>
            <a:ln w="25400">
              <a:noFill/>
            </a:ln>
          </c:spPr>
        </c:title>
        <c:numFmt formatCode="0" sourceLinked="1"/>
        <c:majorTickMark val="in"/>
        <c:minorTickMark val="in"/>
        <c:tickLblPos val="nextTo"/>
        <c:spPr>
          <a:ln w="3175">
            <a:solidFill>
              <a:schemeClr val="tx1"/>
            </a:solidFill>
            <a:prstDash val="solid"/>
          </a:ln>
        </c:spPr>
        <c:txPr>
          <a:bodyPr rot="0" vert="horz"/>
          <a:lstStyle/>
          <a:p>
            <a:pPr>
              <a:defRPr sz="1100" b="1" i="0" u="none" strike="noStrike" baseline="0">
                <a:solidFill>
                  <a:schemeClr val="tx1"/>
                </a:solidFill>
                <a:latin typeface="Arial" pitchFamily="34" charset="0"/>
                <a:ea typeface="Calibri"/>
                <a:cs typeface="Arial" pitchFamily="34" charset="0"/>
              </a:defRPr>
            </a:pPr>
            <a:endParaRPr lang="en-US"/>
          </a:p>
        </c:txPr>
        <c:crossAx val="140038912"/>
        <c:crosses val="autoZero"/>
        <c:auto val="1"/>
        <c:lblAlgn val="ctr"/>
        <c:lblOffset val="100"/>
        <c:tickLblSkip val="20"/>
        <c:tickMarkSkip val="10"/>
        <c:noMultiLvlLbl val="0"/>
      </c:catAx>
      <c:valAx>
        <c:axId val="140038912"/>
        <c:scaling>
          <c:orientation val="minMax"/>
          <c:max val="2.2000000000000002"/>
          <c:min val="1"/>
        </c:scaling>
        <c:delete val="0"/>
        <c:axPos val="l"/>
        <c:majorGridlines>
          <c:spPr>
            <a:ln w="15875">
              <a:solidFill>
                <a:srgbClr val="808080"/>
              </a:solidFill>
              <a:prstDash val="solid"/>
            </a:ln>
          </c:spPr>
        </c:majorGridlines>
        <c:title>
          <c:tx>
            <c:rich>
              <a:bodyPr/>
              <a:lstStyle/>
              <a:p>
                <a:pPr>
                  <a:defRPr sz="1400" b="1" i="0" u="none" strike="noStrike" baseline="0">
                    <a:solidFill>
                      <a:schemeClr val="tx1"/>
                    </a:solidFill>
                    <a:latin typeface="Arial" pitchFamily="34" charset="0"/>
                    <a:ea typeface="Calibri"/>
                    <a:cs typeface="Arial" pitchFamily="34" charset="0"/>
                  </a:defRPr>
                </a:pPr>
                <a:r>
                  <a:rPr lang="en-US" sz="1200" b="1">
                    <a:solidFill>
                      <a:schemeClr val="tx1"/>
                    </a:solidFill>
                    <a:latin typeface="Arial" pitchFamily="34" charset="0"/>
                    <a:cs typeface="Arial" pitchFamily="34" charset="0"/>
                  </a:rPr>
                  <a:t>COMP</a:t>
                </a:r>
                <a:r>
                  <a:rPr lang="en-US" sz="1200" b="1" baseline="0">
                    <a:solidFill>
                      <a:schemeClr val="tx1"/>
                    </a:solidFill>
                    <a:latin typeface="Arial" pitchFamily="34" charset="0"/>
                    <a:cs typeface="Arial" pitchFamily="34" charset="0"/>
                  </a:rPr>
                  <a:t> Voltage (V)</a:t>
                </a:r>
                <a:endParaRPr lang="en-US" sz="1200" b="1">
                  <a:solidFill>
                    <a:schemeClr val="tx1"/>
                  </a:solidFill>
                  <a:latin typeface="Arial" pitchFamily="34" charset="0"/>
                  <a:cs typeface="Arial" pitchFamily="34" charset="0"/>
                </a:endParaRPr>
              </a:p>
            </c:rich>
          </c:tx>
          <c:layout>
            <c:manualLayout>
              <c:xMode val="edge"/>
              <c:yMode val="edge"/>
              <c:x val="1.5939635452545176E-2"/>
              <c:y val="0.34603169988013316"/>
            </c:manualLayout>
          </c:layout>
          <c:overlay val="0"/>
          <c:spPr>
            <a:noFill/>
            <a:ln w="25400">
              <a:noFill/>
            </a:ln>
          </c:spPr>
        </c:title>
        <c:numFmt formatCode="#,##0.0" sourceLinked="0"/>
        <c:majorTickMark val="out"/>
        <c:minorTickMark val="in"/>
        <c:tickLblPos val="nextTo"/>
        <c:spPr>
          <a:ln w="3175">
            <a:solidFill>
              <a:srgbClr val="000000"/>
            </a:solidFill>
            <a:prstDash val="solid"/>
          </a:ln>
        </c:spPr>
        <c:txPr>
          <a:bodyPr rot="0" vert="horz"/>
          <a:lstStyle/>
          <a:p>
            <a:pPr>
              <a:defRPr sz="1100" b="1" i="0" u="none" strike="noStrike" baseline="0">
                <a:solidFill>
                  <a:schemeClr val="tx1"/>
                </a:solidFill>
                <a:latin typeface="Arial" pitchFamily="34" charset="0"/>
                <a:ea typeface="Calibri"/>
                <a:cs typeface="Arial" pitchFamily="34" charset="0"/>
              </a:defRPr>
            </a:pPr>
            <a:endParaRPr lang="en-US"/>
          </a:p>
        </c:txPr>
        <c:crossAx val="140028544"/>
        <c:crossesAt val="0"/>
        <c:crossBetween val="between"/>
        <c:majorUnit val="0.2"/>
        <c:minorUnit val="0.1"/>
      </c:valAx>
      <c:spPr>
        <a:solidFill>
          <a:srgbClr val="FFFFFF"/>
        </a:solidFill>
        <a:ln w="25400">
          <a:noFill/>
        </a:ln>
      </c:spPr>
    </c:plotArea>
    <c:legend>
      <c:legendPos val="t"/>
      <c:layout>
        <c:manualLayout>
          <c:xMode val="edge"/>
          <c:yMode val="edge"/>
          <c:x val="0.50279342989103104"/>
          <c:y val="1.6951025877806759E-2"/>
          <c:w val="0.44417947756530435"/>
          <c:h val="8.9795049320617604E-2"/>
        </c:manualLayout>
      </c:layout>
      <c:overlay val="0"/>
      <c:spPr>
        <a:solidFill>
          <a:srgbClr val="FFFFFF"/>
        </a:solidFill>
        <a:ln w="25400">
          <a:noFill/>
        </a:ln>
      </c:spPr>
      <c:txPr>
        <a:bodyPr/>
        <a:lstStyle/>
        <a:p>
          <a:pPr>
            <a:defRPr sz="1400" b="0" i="0" u="none" strike="noStrike" baseline="0">
              <a:solidFill>
                <a:srgbClr val="000000"/>
              </a:solidFill>
              <a:latin typeface="Arial" pitchFamily="34" charset="0"/>
              <a:ea typeface="Calibri"/>
              <a:cs typeface="Arial" pitchFamily="34" charset="0"/>
            </a:defRPr>
          </a:pPr>
          <a:endParaRPr lang="en-US"/>
        </a:p>
      </c:txPr>
    </c:legend>
    <c:plotVisOnly val="1"/>
    <c:dispBlanksAs val="gap"/>
    <c:showDLblsOverMax val="0"/>
  </c:chart>
  <c:spPr>
    <a:solidFill>
      <a:srgbClr val="FFFFFF"/>
    </a:solidFill>
    <a:ln w="9525">
      <a:solidFill>
        <a:srgbClr val="808080"/>
      </a:solidFill>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0000000000006" r="0.750000000000006" t="1" header="0.5" footer="0.5"/>
    <c:pageSetup paperSize="5"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rgbClr val="000000"/>
                </a:solidFill>
                <a:latin typeface="Arial" pitchFamily="34" charset="0"/>
                <a:ea typeface="Calibri"/>
                <a:cs typeface="Arial" pitchFamily="34" charset="0"/>
              </a:defRPr>
            </a:pPr>
            <a:r>
              <a:rPr lang="en-US" sz="1800" b="1" i="0" baseline="0">
                <a:effectLst/>
                <a:sym typeface="Symbol"/>
              </a:rPr>
              <a:t></a:t>
            </a:r>
            <a:r>
              <a:rPr lang="en-US" sz="1800" b="1" i="0" baseline="0">
                <a:effectLst/>
              </a:rPr>
              <a:t>, V</a:t>
            </a:r>
            <a:r>
              <a:rPr lang="en-US" sz="1800" b="1" i="0" baseline="-25000">
                <a:effectLst/>
              </a:rPr>
              <a:t>IN</a:t>
            </a:r>
            <a:r>
              <a:rPr lang="en-US" sz="1800" b="1" i="0" baseline="0">
                <a:effectLst/>
              </a:rPr>
              <a:t> = V</a:t>
            </a:r>
            <a:r>
              <a:rPr lang="en-US" sz="1800" b="1" i="0" baseline="-25000">
                <a:effectLst/>
              </a:rPr>
              <a:t>IN(nom)</a:t>
            </a:r>
            <a:endParaRPr lang="en-US">
              <a:effectLst/>
            </a:endParaRPr>
          </a:p>
        </c:rich>
      </c:tx>
      <c:layout>
        <c:manualLayout>
          <c:xMode val="edge"/>
          <c:yMode val="edge"/>
          <c:x val="8.2586704916618195E-2"/>
          <c:y val="1.8363289746112718E-2"/>
        </c:manualLayout>
      </c:layout>
      <c:overlay val="0"/>
      <c:spPr>
        <a:noFill/>
        <a:ln w="25400">
          <a:noFill/>
        </a:ln>
      </c:spPr>
    </c:title>
    <c:autoTitleDeleted val="0"/>
    <c:plotArea>
      <c:layout>
        <c:manualLayout>
          <c:layoutTarget val="inner"/>
          <c:xMode val="edge"/>
          <c:yMode val="edge"/>
          <c:x val="7.6761884085804283E-2"/>
          <c:y val="0.12133523343001466"/>
          <c:w val="0.82579990228506128"/>
          <c:h val="0.7558980268938309"/>
        </c:manualLayout>
      </c:layout>
      <c:lineChart>
        <c:grouping val="standard"/>
        <c:varyColors val="0"/>
        <c:ser>
          <c:idx val="0"/>
          <c:order val="0"/>
          <c:tx>
            <c:v>Efficiency</c:v>
          </c:tx>
          <c:spPr>
            <a:ln w="38100">
              <a:solidFill>
                <a:srgbClr val="FF0000"/>
              </a:solidFill>
              <a:prstDash val="solid"/>
            </a:ln>
          </c:spPr>
          <c:marker>
            <c:symbol val="none"/>
          </c:marker>
          <c:cat>
            <c:numRef>
              <c:f>'Calculations - Single'!$AM$5:$AM$105</c:f>
              <c:numCache>
                <c:formatCode>0</c:formatCode>
                <c:ptCount val="101"/>
                <c:pt idx="0">
                  <c:v>1.0000000000000002E-6</c:v>
                </c:pt>
                <c:pt idx="1">
                  <c:v>10</c:v>
                </c:pt>
                <c:pt idx="2">
                  <c:v>20</c:v>
                </c:pt>
                <c:pt idx="3">
                  <c:v>30</c:v>
                </c:pt>
                <c:pt idx="4">
                  <c:v>40</c:v>
                </c:pt>
                <c:pt idx="5">
                  <c:v>50</c:v>
                </c:pt>
                <c:pt idx="6">
                  <c:v>60</c:v>
                </c:pt>
                <c:pt idx="7">
                  <c:v>70</c:v>
                </c:pt>
                <c:pt idx="8">
                  <c:v>80</c:v>
                </c:pt>
                <c:pt idx="9">
                  <c:v>90</c:v>
                </c:pt>
                <c:pt idx="10">
                  <c:v>100</c:v>
                </c:pt>
                <c:pt idx="11">
                  <c:v>110</c:v>
                </c:pt>
                <c:pt idx="12">
                  <c:v>120</c:v>
                </c:pt>
                <c:pt idx="13">
                  <c:v>130</c:v>
                </c:pt>
                <c:pt idx="14">
                  <c:v>140</c:v>
                </c:pt>
                <c:pt idx="15">
                  <c:v>150</c:v>
                </c:pt>
                <c:pt idx="16">
                  <c:v>160</c:v>
                </c:pt>
                <c:pt idx="17">
                  <c:v>170</c:v>
                </c:pt>
                <c:pt idx="18">
                  <c:v>180</c:v>
                </c:pt>
                <c:pt idx="19">
                  <c:v>190</c:v>
                </c:pt>
                <c:pt idx="20">
                  <c:v>200</c:v>
                </c:pt>
                <c:pt idx="21">
                  <c:v>210</c:v>
                </c:pt>
                <c:pt idx="22">
                  <c:v>220</c:v>
                </c:pt>
                <c:pt idx="23">
                  <c:v>230</c:v>
                </c:pt>
                <c:pt idx="24">
                  <c:v>240</c:v>
                </c:pt>
                <c:pt idx="25">
                  <c:v>250</c:v>
                </c:pt>
                <c:pt idx="26">
                  <c:v>260</c:v>
                </c:pt>
                <c:pt idx="27">
                  <c:v>270</c:v>
                </c:pt>
                <c:pt idx="28">
                  <c:v>280</c:v>
                </c:pt>
                <c:pt idx="29">
                  <c:v>290</c:v>
                </c:pt>
                <c:pt idx="30">
                  <c:v>300</c:v>
                </c:pt>
                <c:pt idx="31">
                  <c:v>310</c:v>
                </c:pt>
                <c:pt idx="32">
                  <c:v>320</c:v>
                </c:pt>
                <c:pt idx="33">
                  <c:v>330</c:v>
                </c:pt>
                <c:pt idx="34">
                  <c:v>340</c:v>
                </c:pt>
                <c:pt idx="35">
                  <c:v>350</c:v>
                </c:pt>
                <c:pt idx="36">
                  <c:v>360</c:v>
                </c:pt>
                <c:pt idx="37">
                  <c:v>370</c:v>
                </c:pt>
                <c:pt idx="38">
                  <c:v>380</c:v>
                </c:pt>
                <c:pt idx="39">
                  <c:v>390</c:v>
                </c:pt>
                <c:pt idx="40">
                  <c:v>400</c:v>
                </c:pt>
                <c:pt idx="41">
                  <c:v>410</c:v>
                </c:pt>
                <c:pt idx="42">
                  <c:v>420</c:v>
                </c:pt>
                <c:pt idx="43">
                  <c:v>430</c:v>
                </c:pt>
                <c:pt idx="44">
                  <c:v>440</c:v>
                </c:pt>
                <c:pt idx="45">
                  <c:v>450</c:v>
                </c:pt>
                <c:pt idx="46">
                  <c:v>460</c:v>
                </c:pt>
                <c:pt idx="47">
                  <c:v>470</c:v>
                </c:pt>
                <c:pt idx="48">
                  <c:v>480</c:v>
                </c:pt>
                <c:pt idx="49">
                  <c:v>490</c:v>
                </c:pt>
                <c:pt idx="50">
                  <c:v>500</c:v>
                </c:pt>
                <c:pt idx="51">
                  <c:v>510</c:v>
                </c:pt>
                <c:pt idx="52">
                  <c:v>520</c:v>
                </c:pt>
                <c:pt idx="53">
                  <c:v>530</c:v>
                </c:pt>
                <c:pt idx="54">
                  <c:v>540</c:v>
                </c:pt>
                <c:pt idx="55">
                  <c:v>550</c:v>
                </c:pt>
                <c:pt idx="56">
                  <c:v>560</c:v>
                </c:pt>
                <c:pt idx="57">
                  <c:v>570</c:v>
                </c:pt>
                <c:pt idx="58">
                  <c:v>580</c:v>
                </c:pt>
                <c:pt idx="59">
                  <c:v>590</c:v>
                </c:pt>
                <c:pt idx="60">
                  <c:v>600</c:v>
                </c:pt>
                <c:pt idx="61">
                  <c:v>610</c:v>
                </c:pt>
                <c:pt idx="62">
                  <c:v>620</c:v>
                </c:pt>
                <c:pt idx="63">
                  <c:v>630</c:v>
                </c:pt>
                <c:pt idx="64">
                  <c:v>640</c:v>
                </c:pt>
                <c:pt idx="65">
                  <c:v>650</c:v>
                </c:pt>
                <c:pt idx="66">
                  <c:v>660</c:v>
                </c:pt>
                <c:pt idx="67">
                  <c:v>670</c:v>
                </c:pt>
                <c:pt idx="68">
                  <c:v>680</c:v>
                </c:pt>
                <c:pt idx="69">
                  <c:v>690</c:v>
                </c:pt>
                <c:pt idx="70">
                  <c:v>700</c:v>
                </c:pt>
                <c:pt idx="71">
                  <c:v>710</c:v>
                </c:pt>
                <c:pt idx="72">
                  <c:v>720</c:v>
                </c:pt>
                <c:pt idx="73">
                  <c:v>730</c:v>
                </c:pt>
                <c:pt idx="74">
                  <c:v>740</c:v>
                </c:pt>
                <c:pt idx="75">
                  <c:v>750</c:v>
                </c:pt>
                <c:pt idx="76">
                  <c:v>760</c:v>
                </c:pt>
                <c:pt idx="77">
                  <c:v>770</c:v>
                </c:pt>
                <c:pt idx="78">
                  <c:v>780</c:v>
                </c:pt>
                <c:pt idx="79">
                  <c:v>790</c:v>
                </c:pt>
                <c:pt idx="80">
                  <c:v>800</c:v>
                </c:pt>
                <c:pt idx="81">
                  <c:v>810</c:v>
                </c:pt>
                <c:pt idx="82">
                  <c:v>820</c:v>
                </c:pt>
                <c:pt idx="83">
                  <c:v>830</c:v>
                </c:pt>
                <c:pt idx="84">
                  <c:v>840</c:v>
                </c:pt>
                <c:pt idx="85">
                  <c:v>850</c:v>
                </c:pt>
                <c:pt idx="86">
                  <c:v>860</c:v>
                </c:pt>
                <c:pt idx="87">
                  <c:v>870</c:v>
                </c:pt>
                <c:pt idx="88">
                  <c:v>880</c:v>
                </c:pt>
                <c:pt idx="89">
                  <c:v>890</c:v>
                </c:pt>
                <c:pt idx="90">
                  <c:v>900</c:v>
                </c:pt>
                <c:pt idx="91">
                  <c:v>910</c:v>
                </c:pt>
                <c:pt idx="92">
                  <c:v>920</c:v>
                </c:pt>
                <c:pt idx="93">
                  <c:v>930</c:v>
                </c:pt>
                <c:pt idx="94">
                  <c:v>940</c:v>
                </c:pt>
                <c:pt idx="95">
                  <c:v>950</c:v>
                </c:pt>
                <c:pt idx="96">
                  <c:v>960</c:v>
                </c:pt>
                <c:pt idx="97">
                  <c:v>970</c:v>
                </c:pt>
                <c:pt idx="98">
                  <c:v>980</c:v>
                </c:pt>
                <c:pt idx="99">
                  <c:v>990</c:v>
                </c:pt>
                <c:pt idx="100">
                  <c:v>1000</c:v>
                </c:pt>
              </c:numCache>
            </c:numRef>
          </c:cat>
          <c:val>
            <c:numRef>
              <c:f>'Calculations - Single'!$CA$5:$CA$105</c:f>
              <c:numCache>
                <c:formatCode>0.00</c:formatCode>
                <c:ptCount val="101"/>
                <c:pt idx="0">
                  <c:v>1.3574880682504776E-4</c:v>
                </c:pt>
                <c:pt idx="1">
                  <c:v>74.600543478469305</c:v>
                </c:pt>
                <c:pt idx="2">
                  <c:v>75.416327839849771</c:v>
                </c:pt>
                <c:pt idx="3">
                  <c:v>75.692235310784341</c:v>
                </c:pt>
                <c:pt idx="4">
                  <c:v>75.830947480530625</c:v>
                </c:pt>
                <c:pt idx="5">
                  <c:v>75.875671594874788</c:v>
                </c:pt>
                <c:pt idx="6">
                  <c:v>77.538704281511883</c:v>
                </c:pt>
                <c:pt idx="7">
                  <c:v>79.197517917013712</c:v>
                </c:pt>
                <c:pt idx="8">
                  <c:v>80.502764924679042</c:v>
                </c:pt>
                <c:pt idx="9">
                  <c:v>81.557879007126161</c:v>
                </c:pt>
                <c:pt idx="10">
                  <c:v>82.429247667898309</c:v>
                </c:pt>
                <c:pt idx="11">
                  <c:v>83.161501537385078</c:v>
                </c:pt>
                <c:pt idx="12">
                  <c:v>83.785789843732601</c:v>
                </c:pt>
                <c:pt idx="13">
                  <c:v>84.324535678526829</c:v>
                </c:pt>
                <c:pt idx="14">
                  <c:v>84.794305545773582</c:v>
                </c:pt>
                <c:pt idx="15">
                  <c:v>85.207613170914939</c:v>
                </c:pt>
                <c:pt idx="16">
                  <c:v>85.574093335611579</c:v>
                </c:pt>
                <c:pt idx="17">
                  <c:v>85.901288823534742</c:v>
                </c:pt>
                <c:pt idx="18">
                  <c:v>86.195191809147161</c:v>
                </c:pt>
                <c:pt idx="19">
                  <c:v>86.460624854948648</c:v>
                </c:pt>
                <c:pt idx="20">
                  <c:v>86.701514467112347</c:v>
                </c:pt>
                <c:pt idx="21">
                  <c:v>86.921091050177338</c:v>
                </c:pt>
                <c:pt idx="22">
                  <c:v>87.12203742493196</c:v>
                </c:pt>
                <c:pt idx="23">
                  <c:v>87.30660074770158</c:v>
                </c:pt>
                <c:pt idx="24">
                  <c:v>87.476677962731458</c:v>
                </c:pt>
                <c:pt idx="25">
                  <c:v>87.633881830364629</c:v>
                </c:pt>
                <c:pt idx="26">
                  <c:v>87.779592506693135</c:v>
                </c:pt>
                <c:pt idx="27">
                  <c:v>87.914998242576985</c:v>
                </c:pt>
                <c:pt idx="28">
                  <c:v>88.041127795525682</c:v>
                </c:pt>
                <c:pt idx="29">
                  <c:v>88.15887646343154</c:v>
                </c:pt>
                <c:pt idx="30">
                  <c:v>88.269027161669129</c:v>
                </c:pt>
                <c:pt idx="31">
                  <c:v>88.372267613503311</c:v>
                </c:pt>
                <c:pt idx="32">
                  <c:v>88.469204467198011</c:v>
                </c:pt>
                <c:pt idx="33">
                  <c:v>88.560374963958452</c:v>
                </c:pt>
                <c:pt idx="34">
                  <c:v>88.646256639789939</c:v>
                </c:pt>
                <c:pt idx="35">
                  <c:v>88.727275438235395</c:v>
                </c:pt>
                <c:pt idx="36">
                  <c:v>88.803812530395106</c:v>
                </c:pt>
                <c:pt idx="37">
                  <c:v>88.876210076966331</c:v>
                </c:pt>
                <c:pt idx="38">
                  <c:v>88.94477611946256</c:v>
                </c:pt>
                <c:pt idx="39">
                  <c:v>89.009788750791955</c:v>
                </c:pt>
                <c:pt idx="40">
                  <c:v>89.071499686427657</c:v>
                </c:pt>
                <c:pt idx="41">
                  <c:v>89.13013733459529</c:v>
                </c:pt>
                <c:pt idx="42">
                  <c:v>89.185909445818538</c:v>
                </c:pt>
                <c:pt idx="43">
                  <c:v>89.23900540773964</c:v>
                </c:pt>
                <c:pt idx="44">
                  <c:v>89.289598239560846</c:v>
                </c:pt>
                <c:pt idx="45">
                  <c:v>89.337846331122421</c:v>
                </c:pt>
                <c:pt idx="46">
                  <c:v>89.383894964068119</c:v>
                </c:pt>
                <c:pt idx="47">
                  <c:v>89.427877646388993</c:v>
                </c:pt>
                <c:pt idx="48">
                  <c:v>89.46991728659313</c:v>
                </c:pt>
                <c:pt idx="49">
                  <c:v>89.510127229605146</c:v>
                </c:pt>
                <c:pt idx="50">
                  <c:v>89.548612173077473</c:v>
                </c:pt>
                <c:pt idx="51">
                  <c:v>89.585468979959089</c:v>
                </c:pt>
                <c:pt idx="52">
                  <c:v>89.620787400808055</c:v>
                </c:pt>
                <c:pt idx="53">
                  <c:v>89.654650717362529</c:v>
                </c:pt>
                <c:pt idx="54">
                  <c:v>89.687136317232856</c:v>
                </c:pt>
                <c:pt idx="55">
                  <c:v>89.718316208187531</c:v>
                </c:pt>
                <c:pt idx="56">
                  <c:v>89.74825747933258</c:v>
                </c:pt>
                <c:pt idx="57">
                  <c:v>89.777022715491086</c:v>
                </c:pt>
                <c:pt idx="58">
                  <c:v>89.804670370246058</c:v>
                </c:pt>
                <c:pt idx="59">
                  <c:v>89.831255102391452</c:v>
                </c:pt>
                <c:pt idx="60">
                  <c:v>89.856828079922479</c:v>
                </c:pt>
                <c:pt idx="61">
                  <c:v>89.88143725517061</c:v>
                </c:pt>
                <c:pt idx="62">
                  <c:v>89.905127614237514</c:v>
                </c:pt>
                <c:pt idx="63">
                  <c:v>89.927941403492966</c:v>
                </c:pt>
                <c:pt idx="64">
                  <c:v>89.94991833556648</c:v>
                </c:pt>
                <c:pt idx="65">
                  <c:v>89.971095776972291</c:v>
                </c:pt>
                <c:pt idx="66">
                  <c:v>89.991508919254485</c:v>
                </c:pt>
                <c:pt idx="67">
                  <c:v>90.011190935321764</c:v>
                </c:pt>
                <c:pt idx="68">
                  <c:v>90.030173122448858</c:v>
                </c:pt>
                <c:pt idx="69">
                  <c:v>90.048485033256441</c:v>
                </c:pt>
                <c:pt idx="70">
                  <c:v>90.066154595834988</c:v>
                </c:pt>
                <c:pt idx="71">
                  <c:v>90.08320822405085</c:v>
                </c:pt>
                <c:pt idx="72">
                  <c:v>90.099670918960172</c:v>
                </c:pt>
                <c:pt idx="73">
                  <c:v>90.115566362157907</c:v>
                </c:pt>
                <c:pt idx="74">
                  <c:v>90.130917001802473</c:v>
                </c:pt>
                <c:pt idx="75">
                  <c:v>90.145744131979171</c:v>
                </c:pt>
                <c:pt idx="76">
                  <c:v>90.160067965997953</c:v>
                </c:pt>
                <c:pt idx="77">
                  <c:v>90.17390770416101</c:v>
                </c:pt>
                <c:pt idx="78">
                  <c:v>90.187281596481952</c:v>
                </c:pt>
                <c:pt idx="79">
                  <c:v>90.200207000790982</c:v>
                </c:pt>
                <c:pt idx="80">
                  <c:v>90.212700436618178</c:v>
                </c:pt>
                <c:pt idx="81">
                  <c:v>90.224777635209335</c:v>
                </c:pt>
                <c:pt idx="82">
                  <c:v>90.236453585995065</c:v>
                </c:pt>
                <c:pt idx="83">
                  <c:v>90.247742579803941</c:v>
                </c:pt>
                <c:pt idx="84">
                  <c:v>90.258658249083055</c:v>
                </c:pt>
                <c:pt idx="85">
                  <c:v>90.269213605366033</c:v>
                </c:pt>
                <c:pt idx="86">
                  <c:v>90.279421074205629</c:v>
                </c:pt>
                <c:pt idx="87">
                  <c:v>90.289292527769931</c:v>
                </c:pt>
                <c:pt idx="88">
                  <c:v>90.298839315282294</c:v>
                </c:pt>
                <c:pt idx="89">
                  <c:v>90.308072291470367</c:v>
                </c:pt>
                <c:pt idx="90">
                  <c:v>90.317001843174467</c:v>
                </c:pt>
                <c:pt idx="91">
                  <c:v>90.325637914253292</c:v>
                </c:pt>
                <c:pt idx="92">
                  <c:v>90.333990028912936</c:v>
                </c:pt>
                <c:pt idx="93">
                  <c:v>90.342067313574489</c:v>
                </c:pt>
                <c:pt idx="94">
                  <c:v>90.349878517386401</c:v>
                </c:pt>
                <c:pt idx="95">
                  <c:v>90.357432031478709</c:v>
                </c:pt>
                <c:pt idx="96">
                  <c:v>90.3647359070482</c:v>
                </c:pt>
                <c:pt idx="97">
                  <c:v>90.371797872356979</c:v>
                </c:pt>
                <c:pt idx="98">
                  <c:v>90.378625348719723</c:v>
                </c:pt>
                <c:pt idx="99">
                  <c:v>90.38522546554951</c:v>
                </c:pt>
                <c:pt idx="100">
                  <c:v>90.391605074526055</c:v>
                </c:pt>
              </c:numCache>
            </c:numRef>
          </c:val>
          <c:smooth val="0"/>
          <c:extLst>
            <c:ext xmlns:c16="http://schemas.microsoft.com/office/drawing/2014/chart" uri="{C3380CC4-5D6E-409C-BE32-E72D297353CC}">
              <c16:uniqueId val="{00000000-1784-4378-9EE7-2460A1573A80}"/>
            </c:ext>
          </c:extLst>
        </c:ser>
        <c:dLbls>
          <c:showLegendKey val="0"/>
          <c:showVal val="0"/>
          <c:showCatName val="0"/>
          <c:showSerName val="0"/>
          <c:showPercent val="0"/>
          <c:showBubbleSize val="0"/>
        </c:dLbls>
        <c:marker val="1"/>
        <c:smooth val="0"/>
        <c:axId val="140087680"/>
        <c:axId val="140089600"/>
      </c:lineChart>
      <c:lineChart>
        <c:grouping val="standard"/>
        <c:varyColors val="0"/>
        <c:ser>
          <c:idx val="2"/>
          <c:order val="1"/>
          <c:tx>
            <c:strRef>
              <c:f>'Calculations - Single'!$BO$3</c:f>
              <c:strCache>
                <c:ptCount val="1"/>
                <c:pt idx="0">
                  <c:v>Flyback Diode Loss</c:v>
                </c:pt>
              </c:strCache>
            </c:strRef>
          </c:tx>
          <c:spPr>
            <a:ln w="38100">
              <a:solidFill>
                <a:srgbClr val="808000"/>
              </a:solidFill>
              <a:prstDash val="sysDash"/>
            </a:ln>
          </c:spPr>
          <c:marker>
            <c:symbol val="none"/>
          </c:marker>
          <c:cat>
            <c:numLit>
              <c:formatCode>General</c:formatCode>
              <c:ptCount val="201"/>
              <c:pt idx="0">
                <c:v>0</c:v>
              </c:pt>
              <c:pt idx="1">
                <c:v>2.5000000000000001E-2</c:v>
              </c:pt>
              <c:pt idx="2">
                <c:v>0.05</c:v>
              </c:pt>
              <c:pt idx="3">
                <c:v>7.4999999999999997E-2</c:v>
              </c:pt>
              <c:pt idx="4">
                <c:v>0.1</c:v>
              </c:pt>
              <c:pt idx="5">
                <c:v>0.125</c:v>
              </c:pt>
              <c:pt idx="6">
                <c:v>0.15</c:v>
              </c:pt>
              <c:pt idx="7">
                <c:v>0.17500000000000002</c:v>
              </c:pt>
              <c:pt idx="8">
                <c:v>0.2</c:v>
              </c:pt>
              <c:pt idx="9">
                <c:v>0.22499999999999998</c:v>
              </c:pt>
              <c:pt idx="10">
                <c:v>0.25</c:v>
              </c:pt>
              <c:pt idx="11">
                <c:v>0.27500000000000002</c:v>
              </c:pt>
              <c:pt idx="12">
                <c:v>0.3</c:v>
              </c:pt>
              <c:pt idx="13">
                <c:v>0.32500000000000001</c:v>
              </c:pt>
              <c:pt idx="14">
                <c:v>0.35000000000000003</c:v>
              </c:pt>
              <c:pt idx="15">
                <c:v>0.375</c:v>
              </c:pt>
              <c:pt idx="16">
                <c:v>0.4</c:v>
              </c:pt>
              <c:pt idx="17">
                <c:v>0.42500000000000004</c:v>
              </c:pt>
              <c:pt idx="18">
                <c:v>0.44999999999999996</c:v>
              </c:pt>
              <c:pt idx="19">
                <c:v>0.47499999999999998</c:v>
              </c:pt>
              <c:pt idx="20">
                <c:v>0.5</c:v>
              </c:pt>
              <c:pt idx="21">
                <c:v>0.52500000000000002</c:v>
              </c:pt>
              <c:pt idx="22">
                <c:v>0.55000000000000004</c:v>
              </c:pt>
              <c:pt idx="23">
                <c:v>0.57500000000000007</c:v>
              </c:pt>
              <c:pt idx="24">
                <c:v>0.6</c:v>
              </c:pt>
              <c:pt idx="25">
                <c:v>0.625</c:v>
              </c:pt>
              <c:pt idx="26">
                <c:v>0.65</c:v>
              </c:pt>
              <c:pt idx="27">
                <c:v>0.67500000000000004</c:v>
              </c:pt>
              <c:pt idx="28">
                <c:v>0.70000000000000007</c:v>
              </c:pt>
              <c:pt idx="29">
                <c:v>0.72499999999999998</c:v>
              </c:pt>
              <c:pt idx="30">
                <c:v>0.75</c:v>
              </c:pt>
              <c:pt idx="31">
                <c:v>0.77500000000000002</c:v>
              </c:pt>
              <c:pt idx="32">
                <c:v>0.8</c:v>
              </c:pt>
              <c:pt idx="33">
                <c:v>0.82500000000000007</c:v>
              </c:pt>
              <c:pt idx="34">
                <c:v>0.85000000000000009</c:v>
              </c:pt>
              <c:pt idx="35">
                <c:v>0.875</c:v>
              </c:pt>
              <c:pt idx="36">
                <c:v>0.89999999999999991</c:v>
              </c:pt>
              <c:pt idx="37">
                <c:v>0.92500000000000004</c:v>
              </c:pt>
              <c:pt idx="38">
                <c:v>0.95</c:v>
              </c:pt>
              <c:pt idx="39">
                <c:v>0.97500000000000009</c:v>
              </c:pt>
              <c:pt idx="40">
                <c:v>1</c:v>
              </c:pt>
              <c:pt idx="41">
                <c:v>1.0249999999999999</c:v>
              </c:pt>
              <c:pt idx="42">
                <c:v>1.05</c:v>
              </c:pt>
              <c:pt idx="43">
                <c:v>1.075</c:v>
              </c:pt>
              <c:pt idx="44">
                <c:v>1.1000000000000001</c:v>
              </c:pt>
              <c:pt idx="45">
                <c:v>1.125</c:v>
              </c:pt>
              <c:pt idx="46">
                <c:v>1.1500000000000001</c:v>
              </c:pt>
              <c:pt idx="47">
                <c:v>1.1749999999999998</c:v>
              </c:pt>
              <c:pt idx="48">
                <c:v>1.2</c:v>
              </c:pt>
              <c:pt idx="49">
                <c:v>1.2250000000000001</c:v>
              </c:pt>
              <c:pt idx="50">
                <c:v>1.25</c:v>
              </c:pt>
              <c:pt idx="51">
                <c:v>1.2749999999999999</c:v>
              </c:pt>
              <c:pt idx="52">
                <c:v>1.3</c:v>
              </c:pt>
              <c:pt idx="53">
                <c:v>1.3250000000000002</c:v>
              </c:pt>
              <c:pt idx="54">
                <c:v>1.35</c:v>
              </c:pt>
              <c:pt idx="55">
                <c:v>1.375</c:v>
              </c:pt>
              <c:pt idx="56">
                <c:v>1.4000000000000001</c:v>
              </c:pt>
              <c:pt idx="57">
                <c:v>1.4249999999999998</c:v>
              </c:pt>
              <c:pt idx="58">
                <c:v>1.45</c:v>
              </c:pt>
              <c:pt idx="59">
                <c:v>1.4749999999999999</c:v>
              </c:pt>
              <c:pt idx="60">
                <c:v>1.5</c:v>
              </c:pt>
              <c:pt idx="61">
                <c:v>1.5249999999999999</c:v>
              </c:pt>
              <c:pt idx="62">
                <c:v>1.55</c:v>
              </c:pt>
              <c:pt idx="63">
                <c:v>1.575</c:v>
              </c:pt>
              <c:pt idx="64">
                <c:v>1.6</c:v>
              </c:pt>
              <c:pt idx="65">
                <c:v>1.625</c:v>
              </c:pt>
              <c:pt idx="66">
                <c:v>1.6500000000000001</c:v>
              </c:pt>
              <c:pt idx="67">
                <c:v>1.675</c:v>
              </c:pt>
              <c:pt idx="68">
                <c:v>1.7000000000000002</c:v>
              </c:pt>
              <c:pt idx="69">
                <c:v>1.7249999999999999</c:v>
              </c:pt>
              <c:pt idx="70">
                <c:v>1.75</c:v>
              </c:pt>
              <c:pt idx="71">
                <c:v>1.7749999999999999</c:v>
              </c:pt>
              <c:pt idx="72">
                <c:v>1.7999999999999998</c:v>
              </c:pt>
              <c:pt idx="73">
                <c:v>1.825</c:v>
              </c:pt>
              <c:pt idx="74">
                <c:v>1.85</c:v>
              </c:pt>
              <c:pt idx="75">
                <c:v>1.875</c:v>
              </c:pt>
              <c:pt idx="76">
                <c:v>1.9</c:v>
              </c:pt>
              <c:pt idx="77">
                <c:v>1.925</c:v>
              </c:pt>
              <c:pt idx="78">
                <c:v>1.9500000000000002</c:v>
              </c:pt>
              <c:pt idx="79">
                <c:v>1.9750000000000001</c:v>
              </c:pt>
              <c:pt idx="80">
                <c:v>2</c:v>
              </c:pt>
              <c:pt idx="81">
                <c:v>2.0250000000000004</c:v>
              </c:pt>
              <c:pt idx="82">
                <c:v>2.0499999999999998</c:v>
              </c:pt>
              <c:pt idx="83">
                <c:v>2.0749999999999997</c:v>
              </c:pt>
              <c:pt idx="84">
                <c:v>2.1</c:v>
              </c:pt>
              <c:pt idx="85">
                <c:v>2.125</c:v>
              </c:pt>
              <c:pt idx="86">
                <c:v>2.15</c:v>
              </c:pt>
              <c:pt idx="87">
                <c:v>2.1749999999999998</c:v>
              </c:pt>
              <c:pt idx="88">
                <c:v>2.2000000000000002</c:v>
              </c:pt>
              <c:pt idx="89">
                <c:v>2.2250000000000001</c:v>
              </c:pt>
              <c:pt idx="90">
                <c:v>2.25</c:v>
              </c:pt>
              <c:pt idx="91">
                <c:v>2.2749999999999999</c:v>
              </c:pt>
              <c:pt idx="92">
                <c:v>2.3000000000000003</c:v>
              </c:pt>
              <c:pt idx="93">
                <c:v>2.3250000000000002</c:v>
              </c:pt>
              <c:pt idx="94">
                <c:v>2.3499999999999996</c:v>
              </c:pt>
              <c:pt idx="95">
                <c:v>2.375</c:v>
              </c:pt>
              <c:pt idx="96">
                <c:v>2.4</c:v>
              </c:pt>
              <c:pt idx="97">
                <c:v>2.4249999999999998</c:v>
              </c:pt>
              <c:pt idx="98">
                <c:v>2.4500000000000002</c:v>
              </c:pt>
              <c:pt idx="99">
                <c:v>2.4750000000000001</c:v>
              </c:pt>
              <c:pt idx="100">
                <c:v>2.5</c:v>
              </c:pt>
              <c:pt idx="101">
                <c:v>2.5249999999999999</c:v>
              </c:pt>
              <c:pt idx="102">
                <c:v>2.5499999999999998</c:v>
              </c:pt>
              <c:pt idx="103">
                <c:v>2.5750000000000002</c:v>
              </c:pt>
              <c:pt idx="104">
                <c:v>2.6</c:v>
              </c:pt>
              <c:pt idx="105">
                <c:v>2.625</c:v>
              </c:pt>
              <c:pt idx="106">
                <c:v>2.6500000000000004</c:v>
              </c:pt>
              <c:pt idx="107">
                <c:v>2.6750000000000003</c:v>
              </c:pt>
              <c:pt idx="108">
                <c:v>2.7</c:v>
              </c:pt>
              <c:pt idx="109">
                <c:v>2.7250000000000001</c:v>
              </c:pt>
              <c:pt idx="110">
                <c:v>2.75</c:v>
              </c:pt>
              <c:pt idx="111">
                <c:v>2.7750000000000004</c:v>
              </c:pt>
              <c:pt idx="112">
                <c:v>2.8000000000000003</c:v>
              </c:pt>
              <c:pt idx="113">
                <c:v>2.8249999999999997</c:v>
              </c:pt>
              <c:pt idx="114">
                <c:v>2.8499999999999996</c:v>
              </c:pt>
              <c:pt idx="115">
                <c:v>2.875</c:v>
              </c:pt>
              <c:pt idx="116">
                <c:v>2.9</c:v>
              </c:pt>
              <c:pt idx="117">
                <c:v>2.9249999999999998</c:v>
              </c:pt>
              <c:pt idx="118">
                <c:v>2.9499999999999997</c:v>
              </c:pt>
              <c:pt idx="119">
                <c:v>2.9749999999999996</c:v>
              </c:pt>
              <c:pt idx="120">
                <c:v>3</c:v>
              </c:pt>
              <c:pt idx="121">
                <c:v>3.0249999999999999</c:v>
              </c:pt>
              <c:pt idx="122">
                <c:v>3.05</c:v>
              </c:pt>
              <c:pt idx="123">
                <c:v>3.0750000000000002</c:v>
              </c:pt>
              <c:pt idx="124">
                <c:v>3.1</c:v>
              </c:pt>
              <c:pt idx="125">
                <c:v>3.125</c:v>
              </c:pt>
              <c:pt idx="126">
                <c:v>3.15</c:v>
              </c:pt>
              <c:pt idx="127">
                <c:v>3.1749999999999998</c:v>
              </c:pt>
              <c:pt idx="128">
                <c:v>3.2</c:v>
              </c:pt>
              <c:pt idx="129">
                <c:v>3.2250000000000001</c:v>
              </c:pt>
              <c:pt idx="130">
                <c:v>3.25</c:v>
              </c:pt>
              <c:pt idx="131">
                <c:v>3.2750000000000004</c:v>
              </c:pt>
              <c:pt idx="132">
                <c:v>3.3000000000000003</c:v>
              </c:pt>
              <c:pt idx="133">
                <c:v>3.3250000000000002</c:v>
              </c:pt>
              <c:pt idx="134">
                <c:v>3.35</c:v>
              </c:pt>
              <c:pt idx="135">
                <c:v>3.375</c:v>
              </c:pt>
              <c:pt idx="136">
                <c:v>3.4000000000000004</c:v>
              </c:pt>
              <c:pt idx="137">
                <c:v>3.4250000000000003</c:v>
              </c:pt>
              <c:pt idx="138">
                <c:v>3.4499999999999997</c:v>
              </c:pt>
              <c:pt idx="139">
                <c:v>3.4749999999999996</c:v>
              </c:pt>
              <c:pt idx="140">
                <c:v>3.5</c:v>
              </c:pt>
              <c:pt idx="141">
                <c:v>3.5249999999999999</c:v>
              </c:pt>
              <c:pt idx="142">
                <c:v>3.55</c:v>
              </c:pt>
              <c:pt idx="143">
                <c:v>3.5749999999999997</c:v>
              </c:pt>
              <c:pt idx="144">
                <c:v>3.5999999999999996</c:v>
              </c:pt>
              <c:pt idx="145">
                <c:v>3.625</c:v>
              </c:pt>
              <c:pt idx="146">
                <c:v>3.65</c:v>
              </c:pt>
              <c:pt idx="147">
                <c:v>3.6749999999999998</c:v>
              </c:pt>
              <c:pt idx="148">
                <c:v>3.7</c:v>
              </c:pt>
              <c:pt idx="149">
                <c:v>3.7250000000000001</c:v>
              </c:pt>
              <c:pt idx="150">
                <c:v>3.75</c:v>
              </c:pt>
              <c:pt idx="151">
                <c:v>3.7749999999999999</c:v>
              </c:pt>
              <c:pt idx="152">
                <c:v>3.8</c:v>
              </c:pt>
              <c:pt idx="153">
                <c:v>3.8250000000000002</c:v>
              </c:pt>
              <c:pt idx="154">
                <c:v>3.85</c:v>
              </c:pt>
              <c:pt idx="155">
                <c:v>3.875</c:v>
              </c:pt>
              <c:pt idx="156">
                <c:v>3.9000000000000004</c:v>
              </c:pt>
              <c:pt idx="157">
                <c:v>3.9250000000000003</c:v>
              </c:pt>
              <c:pt idx="158">
                <c:v>3.95</c:v>
              </c:pt>
              <c:pt idx="159">
                <c:v>3.9750000000000001</c:v>
              </c:pt>
              <c:pt idx="160">
                <c:v>4</c:v>
              </c:pt>
              <c:pt idx="161">
                <c:v>4.0250000000000004</c:v>
              </c:pt>
              <c:pt idx="162">
                <c:v>4.0500000000000007</c:v>
              </c:pt>
              <c:pt idx="163">
                <c:v>4.0749999999999993</c:v>
              </c:pt>
              <c:pt idx="164">
                <c:v>4.0999999999999996</c:v>
              </c:pt>
              <c:pt idx="165">
                <c:v>4.125</c:v>
              </c:pt>
              <c:pt idx="166">
                <c:v>4.1499999999999995</c:v>
              </c:pt>
              <c:pt idx="167">
                <c:v>4.1749999999999998</c:v>
              </c:pt>
              <c:pt idx="168">
                <c:v>4.2</c:v>
              </c:pt>
              <c:pt idx="169">
                <c:v>4.2249999999999996</c:v>
              </c:pt>
              <c:pt idx="170">
                <c:v>4.25</c:v>
              </c:pt>
              <c:pt idx="171">
                <c:v>4.2750000000000004</c:v>
              </c:pt>
              <c:pt idx="172">
                <c:v>4.3</c:v>
              </c:pt>
              <c:pt idx="173">
                <c:v>4.3250000000000002</c:v>
              </c:pt>
              <c:pt idx="174">
                <c:v>4.3499999999999996</c:v>
              </c:pt>
              <c:pt idx="175">
                <c:v>4.375</c:v>
              </c:pt>
              <c:pt idx="176">
                <c:v>4.4000000000000004</c:v>
              </c:pt>
              <c:pt idx="177">
                <c:v>4.4249999999999998</c:v>
              </c:pt>
              <c:pt idx="178">
                <c:v>4.45</c:v>
              </c:pt>
              <c:pt idx="179">
                <c:v>4.4749999999999996</c:v>
              </c:pt>
              <c:pt idx="180">
                <c:v>4.5</c:v>
              </c:pt>
              <c:pt idx="181">
                <c:v>4.5250000000000004</c:v>
              </c:pt>
              <c:pt idx="182">
                <c:v>4.55</c:v>
              </c:pt>
              <c:pt idx="183">
                <c:v>4.5750000000000002</c:v>
              </c:pt>
              <c:pt idx="184">
                <c:v>4.6000000000000005</c:v>
              </c:pt>
              <c:pt idx="185">
                <c:v>4.625</c:v>
              </c:pt>
              <c:pt idx="186">
                <c:v>4.6500000000000004</c:v>
              </c:pt>
              <c:pt idx="187">
                <c:v>4.6750000000000007</c:v>
              </c:pt>
              <c:pt idx="188">
                <c:v>4.6999999999999993</c:v>
              </c:pt>
              <c:pt idx="189">
                <c:v>4.7249999999999996</c:v>
              </c:pt>
              <c:pt idx="190">
                <c:v>4.75</c:v>
              </c:pt>
              <c:pt idx="191">
                <c:v>4.7749999999999995</c:v>
              </c:pt>
              <c:pt idx="192">
                <c:v>4.8</c:v>
              </c:pt>
              <c:pt idx="193">
                <c:v>4.8250000000000002</c:v>
              </c:pt>
              <c:pt idx="194">
                <c:v>4.8499999999999996</c:v>
              </c:pt>
              <c:pt idx="195">
                <c:v>4.875</c:v>
              </c:pt>
              <c:pt idx="196">
                <c:v>4.9000000000000004</c:v>
              </c:pt>
              <c:pt idx="197">
                <c:v>4.9249999999999998</c:v>
              </c:pt>
              <c:pt idx="198">
                <c:v>4.95</c:v>
              </c:pt>
              <c:pt idx="199">
                <c:v>4.9749999999999996</c:v>
              </c:pt>
              <c:pt idx="200">
                <c:v>5</c:v>
              </c:pt>
            </c:numLit>
          </c:cat>
          <c:val>
            <c:numRef>
              <c:f>'Calculations - Single'!$BR$5:$BR$105</c:f>
              <c:numCache>
                <c:formatCode>0.0</c:formatCode>
                <c:ptCount val="101"/>
                <c:pt idx="0">
                  <c:v>9.0000000000000007E-7</c:v>
                </c:pt>
                <c:pt idx="1">
                  <c:v>9.0000000000000018</c:v>
                </c:pt>
                <c:pt idx="2">
                  <c:v>18.000000000000004</c:v>
                </c:pt>
                <c:pt idx="3">
                  <c:v>27</c:v>
                </c:pt>
                <c:pt idx="4">
                  <c:v>36.000000000000007</c:v>
                </c:pt>
                <c:pt idx="5">
                  <c:v>45.000000000000007</c:v>
                </c:pt>
                <c:pt idx="6">
                  <c:v>54</c:v>
                </c:pt>
                <c:pt idx="7">
                  <c:v>63.000000000000014</c:v>
                </c:pt>
                <c:pt idx="8">
                  <c:v>72.000000000000014</c:v>
                </c:pt>
                <c:pt idx="9">
                  <c:v>81</c:v>
                </c:pt>
                <c:pt idx="10">
                  <c:v>90.000000000000014</c:v>
                </c:pt>
                <c:pt idx="11">
                  <c:v>99</c:v>
                </c:pt>
                <c:pt idx="12">
                  <c:v>108</c:v>
                </c:pt>
                <c:pt idx="13">
                  <c:v>117</c:v>
                </c:pt>
                <c:pt idx="14">
                  <c:v>126.00000000000003</c:v>
                </c:pt>
                <c:pt idx="15">
                  <c:v>135</c:v>
                </c:pt>
                <c:pt idx="16">
                  <c:v>144.00000000000003</c:v>
                </c:pt>
                <c:pt idx="17">
                  <c:v>153.00000000000003</c:v>
                </c:pt>
                <c:pt idx="18">
                  <c:v>162</c:v>
                </c:pt>
                <c:pt idx="19">
                  <c:v>171</c:v>
                </c:pt>
                <c:pt idx="20">
                  <c:v>180.00000000000003</c:v>
                </c:pt>
                <c:pt idx="21">
                  <c:v>189</c:v>
                </c:pt>
                <c:pt idx="22">
                  <c:v>198</c:v>
                </c:pt>
                <c:pt idx="23">
                  <c:v>207.00000000000003</c:v>
                </c:pt>
                <c:pt idx="24">
                  <c:v>216</c:v>
                </c:pt>
                <c:pt idx="25">
                  <c:v>225</c:v>
                </c:pt>
                <c:pt idx="26">
                  <c:v>234</c:v>
                </c:pt>
                <c:pt idx="27">
                  <c:v>243.00000000000003</c:v>
                </c:pt>
                <c:pt idx="28">
                  <c:v>252.00000000000006</c:v>
                </c:pt>
                <c:pt idx="29">
                  <c:v>261</c:v>
                </c:pt>
                <c:pt idx="30">
                  <c:v>270</c:v>
                </c:pt>
                <c:pt idx="31">
                  <c:v>279</c:v>
                </c:pt>
                <c:pt idx="32">
                  <c:v>288.00000000000006</c:v>
                </c:pt>
                <c:pt idx="33">
                  <c:v>297.00000000000006</c:v>
                </c:pt>
                <c:pt idx="34">
                  <c:v>306.00000000000006</c:v>
                </c:pt>
                <c:pt idx="35">
                  <c:v>315</c:v>
                </c:pt>
                <c:pt idx="36">
                  <c:v>324</c:v>
                </c:pt>
                <c:pt idx="37">
                  <c:v>333</c:v>
                </c:pt>
                <c:pt idx="38">
                  <c:v>342</c:v>
                </c:pt>
                <c:pt idx="39">
                  <c:v>351.00000000000006</c:v>
                </c:pt>
                <c:pt idx="40">
                  <c:v>360.00000000000006</c:v>
                </c:pt>
                <c:pt idx="41">
                  <c:v>369</c:v>
                </c:pt>
                <c:pt idx="42">
                  <c:v>378</c:v>
                </c:pt>
                <c:pt idx="43">
                  <c:v>387</c:v>
                </c:pt>
                <c:pt idx="44">
                  <c:v>396</c:v>
                </c:pt>
                <c:pt idx="45">
                  <c:v>405</c:v>
                </c:pt>
                <c:pt idx="46">
                  <c:v>414.00000000000006</c:v>
                </c:pt>
                <c:pt idx="47">
                  <c:v>423</c:v>
                </c:pt>
                <c:pt idx="48">
                  <c:v>432</c:v>
                </c:pt>
                <c:pt idx="49">
                  <c:v>441</c:v>
                </c:pt>
                <c:pt idx="50">
                  <c:v>450</c:v>
                </c:pt>
                <c:pt idx="51">
                  <c:v>459</c:v>
                </c:pt>
                <c:pt idx="52">
                  <c:v>468</c:v>
                </c:pt>
                <c:pt idx="53">
                  <c:v>477.00000000000006</c:v>
                </c:pt>
                <c:pt idx="54">
                  <c:v>486.00000000000006</c:v>
                </c:pt>
                <c:pt idx="55">
                  <c:v>495.00000000000006</c:v>
                </c:pt>
                <c:pt idx="56">
                  <c:v>504.00000000000011</c:v>
                </c:pt>
                <c:pt idx="57">
                  <c:v>513</c:v>
                </c:pt>
                <c:pt idx="58">
                  <c:v>522</c:v>
                </c:pt>
                <c:pt idx="59">
                  <c:v>531</c:v>
                </c:pt>
                <c:pt idx="60">
                  <c:v>540</c:v>
                </c:pt>
                <c:pt idx="61">
                  <c:v>549</c:v>
                </c:pt>
                <c:pt idx="62">
                  <c:v>558</c:v>
                </c:pt>
                <c:pt idx="63">
                  <c:v>567.00000000000011</c:v>
                </c:pt>
                <c:pt idx="64">
                  <c:v>576.00000000000011</c:v>
                </c:pt>
                <c:pt idx="65">
                  <c:v>585.00000000000011</c:v>
                </c:pt>
                <c:pt idx="66">
                  <c:v>594.00000000000011</c:v>
                </c:pt>
                <c:pt idx="67">
                  <c:v>603.00000000000011</c:v>
                </c:pt>
                <c:pt idx="68">
                  <c:v>612.00000000000011</c:v>
                </c:pt>
                <c:pt idx="69">
                  <c:v>621</c:v>
                </c:pt>
                <c:pt idx="70">
                  <c:v>630</c:v>
                </c:pt>
                <c:pt idx="71">
                  <c:v>639</c:v>
                </c:pt>
                <c:pt idx="72">
                  <c:v>648</c:v>
                </c:pt>
                <c:pt idx="73">
                  <c:v>657</c:v>
                </c:pt>
                <c:pt idx="74">
                  <c:v>666</c:v>
                </c:pt>
                <c:pt idx="75">
                  <c:v>675</c:v>
                </c:pt>
                <c:pt idx="76">
                  <c:v>684</c:v>
                </c:pt>
                <c:pt idx="77">
                  <c:v>693.00000000000011</c:v>
                </c:pt>
                <c:pt idx="78">
                  <c:v>702.00000000000011</c:v>
                </c:pt>
                <c:pt idx="79">
                  <c:v>711.00000000000011</c:v>
                </c:pt>
                <c:pt idx="80">
                  <c:v>720.00000000000011</c:v>
                </c:pt>
                <c:pt idx="81">
                  <c:v>729.00000000000011</c:v>
                </c:pt>
                <c:pt idx="82">
                  <c:v>738</c:v>
                </c:pt>
                <c:pt idx="83">
                  <c:v>747</c:v>
                </c:pt>
                <c:pt idx="84">
                  <c:v>756</c:v>
                </c:pt>
                <c:pt idx="85">
                  <c:v>765</c:v>
                </c:pt>
                <c:pt idx="86">
                  <c:v>774</c:v>
                </c:pt>
                <c:pt idx="87">
                  <c:v>783</c:v>
                </c:pt>
                <c:pt idx="88">
                  <c:v>792</c:v>
                </c:pt>
                <c:pt idx="89">
                  <c:v>801</c:v>
                </c:pt>
                <c:pt idx="90">
                  <c:v>810</c:v>
                </c:pt>
                <c:pt idx="91">
                  <c:v>819.00000000000011</c:v>
                </c:pt>
                <c:pt idx="92">
                  <c:v>828.00000000000011</c:v>
                </c:pt>
                <c:pt idx="93">
                  <c:v>837.00000000000011</c:v>
                </c:pt>
                <c:pt idx="94">
                  <c:v>846</c:v>
                </c:pt>
                <c:pt idx="95">
                  <c:v>855</c:v>
                </c:pt>
                <c:pt idx="96">
                  <c:v>864</c:v>
                </c:pt>
                <c:pt idx="97">
                  <c:v>873</c:v>
                </c:pt>
                <c:pt idx="98">
                  <c:v>882</c:v>
                </c:pt>
                <c:pt idx="99">
                  <c:v>891</c:v>
                </c:pt>
                <c:pt idx="100">
                  <c:v>900</c:v>
                </c:pt>
              </c:numCache>
            </c:numRef>
          </c:val>
          <c:smooth val="0"/>
          <c:extLst>
            <c:ext xmlns:c16="http://schemas.microsoft.com/office/drawing/2014/chart" uri="{C3380CC4-5D6E-409C-BE32-E72D297353CC}">
              <c16:uniqueId val="{00000001-1784-4378-9EE7-2460A1573A80}"/>
            </c:ext>
          </c:extLst>
        </c:ser>
        <c:ser>
          <c:idx val="3"/>
          <c:order val="2"/>
          <c:tx>
            <c:strRef>
              <c:f>'Calculations - Single'!$BI$3</c:f>
              <c:strCache>
                <c:ptCount val="1"/>
                <c:pt idx="0">
                  <c:v>IC Loss</c:v>
                </c:pt>
              </c:strCache>
            </c:strRef>
          </c:tx>
          <c:spPr>
            <a:ln w="38100">
              <a:solidFill>
                <a:srgbClr val="800080"/>
              </a:solidFill>
              <a:prstDash val="dash"/>
            </a:ln>
          </c:spPr>
          <c:marker>
            <c:symbol val="none"/>
          </c:marker>
          <c:cat>
            <c:numLit>
              <c:formatCode>General</c:formatCode>
              <c:ptCount val="201"/>
              <c:pt idx="0">
                <c:v>0</c:v>
              </c:pt>
              <c:pt idx="1">
                <c:v>2.5000000000000001E-2</c:v>
              </c:pt>
              <c:pt idx="2">
                <c:v>0.05</c:v>
              </c:pt>
              <c:pt idx="3">
                <c:v>7.4999999999999997E-2</c:v>
              </c:pt>
              <c:pt idx="4">
                <c:v>0.1</c:v>
              </c:pt>
              <c:pt idx="5">
                <c:v>0.125</c:v>
              </c:pt>
              <c:pt idx="6">
                <c:v>0.15</c:v>
              </c:pt>
              <c:pt idx="7">
                <c:v>0.17500000000000002</c:v>
              </c:pt>
              <c:pt idx="8">
                <c:v>0.2</c:v>
              </c:pt>
              <c:pt idx="9">
                <c:v>0.22499999999999998</c:v>
              </c:pt>
              <c:pt idx="10">
                <c:v>0.25</c:v>
              </c:pt>
              <c:pt idx="11">
                <c:v>0.27500000000000002</c:v>
              </c:pt>
              <c:pt idx="12">
                <c:v>0.3</c:v>
              </c:pt>
              <c:pt idx="13">
                <c:v>0.32500000000000001</c:v>
              </c:pt>
              <c:pt idx="14">
                <c:v>0.35000000000000003</c:v>
              </c:pt>
              <c:pt idx="15">
                <c:v>0.375</c:v>
              </c:pt>
              <c:pt idx="16">
                <c:v>0.4</c:v>
              </c:pt>
              <c:pt idx="17">
                <c:v>0.42500000000000004</c:v>
              </c:pt>
              <c:pt idx="18">
                <c:v>0.44999999999999996</c:v>
              </c:pt>
              <c:pt idx="19">
                <c:v>0.47499999999999998</c:v>
              </c:pt>
              <c:pt idx="20">
                <c:v>0.5</c:v>
              </c:pt>
              <c:pt idx="21">
                <c:v>0.52500000000000002</c:v>
              </c:pt>
              <c:pt idx="22">
                <c:v>0.55000000000000004</c:v>
              </c:pt>
              <c:pt idx="23">
                <c:v>0.57500000000000007</c:v>
              </c:pt>
              <c:pt idx="24">
                <c:v>0.6</c:v>
              </c:pt>
              <c:pt idx="25">
                <c:v>0.625</c:v>
              </c:pt>
              <c:pt idx="26">
                <c:v>0.65</c:v>
              </c:pt>
              <c:pt idx="27">
                <c:v>0.67500000000000004</c:v>
              </c:pt>
              <c:pt idx="28">
                <c:v>0.70000000000000007</c:v>
              </c:pt>
              <c:pt idx="29">
                <c:v>0.72499999999999998</c:v>
              </c:pt>
              <c:pt idx="30">
                <c:v>0.75</c:v>
              </c:pt>
              <c:pt idx="31">
                <c:v>0.77500000000000002</c:v>
              </c:pt>
              <c:pt idx="32">
                <c:v>0.8</c:v>
              </c:pt>
              <c:pt idx="33">
                <c:v>0.82500000000000007</c:v>
              </c:pt>
              <c:pt idx="34">
                <c:v>0.85000000000000009</c:v>
              </c:pt>
              <c:pt idx="35">
                <c:v>0.875</c:v>
              </c:pt>
              <c:pt idx="36">
                <c:v>0.89999999999999991</c:v>
              </c:pt>
              <c:pt idx="37">
                <c:v>0.92500000000000004</c:v>
              </c:pt>
              <c:pt idx="38">
                <c:v>0.95</c:v>
              </c:pt>
              <c:pt idx="39">
                <c:v>0.97500000000000009</c:v>
              </c:pt>
              <c:pt idx="40">
                <c:v>1</c:v>
              </c:pt>
              <c:pt idx="41">
                <c:v>1.0249999999999999</c:v>
              </c:pt>
              <c:pt idx="42">
                <c:v>1.05</c:v>
              </c:pt>
              <c:pt idx="43">
                <c:v>1.075</c:v>
              </c:pt>
              <c:pt idx="44">
                <c:v>1.1000000000000001</c:v>
              </c:pt>
              <c:pt idx="45">
                <c:v>1.125</c:v>
              </c:pt>
              <c:pt idx="46">
                <c:v>1.1500000000000001</c:v>
              </c:pt>
              <c:pt idx="47">
                <c:v>1.1749999999999998</c:v>
              </c:pt>
              <c:pt idx="48">
                <c:v>1.2</c:v>
              </c:pt>
              <c:pt idx="49">
                <c:v>1.2250000000000001</c:v>
              </c:pt>
              <c:pt idx="50">
                <c:v>1.25</c:v>
              </c:pt>
              <c:pt idx="51">
                <c:v>1.2749999999999999</c:v>
              </c:pt>
              <c:pt idx="52">
                <c:v>1.3</c:v>
              </c:pt>
              <c:pt idx="53">
                <c:v>1.3250000000000002</c:v>
              </c:pt>
              <c:pt idx="54">
                <c:v>1.35</c:v>
              </c:pt>
              <c:pt idx="55">
                <c:v>1.375</c:v>
              </c:pt>
              <c:pt idx="56">
                <c:v>1.4000000000000001</c:v>
              </c:pt>
              <c:pt idx="57">
                <c:v>1.4249999999999998</c:v>
              </c:pt>
              <c:pt idx="58">
                <c:v>1.45</c:v>
              </c:pt>
              <c:pt idx="59">
                <c:v>1.4749999999999999</c:v>
              </c:pt>
              <c:pt idx="60">
                <c:v>1.5</c:v>
              </c:pt>
              <c:pt idx="61">
                <c:v>1.5249999999999999</c:v>
              </c:pt>
              <c:pt idx="62">
                <c:v>1.55</c:v>
              </c:pt>
              <c:pt idx="63">
                <c:v>1.575</c:v>
              </c:pt>
              <c:pt idx="64">
                <c:v>1.6</c:v>
              </c:pt>
              <c:pt idx="65">
                <c:v>1.625</c:v>
              </c:pt>
              <c:pt idx="66">
                <c:v>1.6500000000000001</c:v>
              </c:pt>
              <c:pt idx="67">
                <c:v>1.675</c:v>
              </c:pt>
              <c:pt idx="68">
                <c:v>1.7000000000000002</c:v>
              </c:pt>
              <c:pt idx="69">
                <c:v>1.7249999999999999</c:v>
              </c:pt>
              <c:pt idx="70">
                <c:v>1.75</c:v>
              </c:pt>
              <c:pt idx="71">
                <c:v>1.7749999999999999</c:v>
              </c:pt>
              <c:pt idx="72">
                <c:v>1.7999999999999998</c:v>
              </c:pt>
              <c:pt idx="73">
                <c:v>1.825</c:v>
              </c:pt>
              <c:pt idx="74">
                <c:v>1.85</c:v>
              </c:pt>
              <c:pt idx="75">
                <c:v>1.875</c:v>
              </c:pt>
              <c:pt idx="76">
                <c:v>1.9</c:v>
              </c:pt>
              <c:pt idx="77">
                <c:v>1.925</c:v>
              </c:pt>
              <c:pt idx="78">
                <c:v>1.9500000000000002</c:v>
              </c:pt>
              <c:pt idx="79">
                <c:v>1.9750000000000001</c:v>
              </c:pt>
              <c:pt idx="80">
                <c:v>2</c:v>
              </c:pt>
              <c:pt idx="81">
                <c:v>2.0250000000000004</c:v>
              </c:pt>
              <c:pt idx="82">
                <c:v>2.0499999999999998</c:v>
              </c:pt>
              <c:pt idx="83">
                <c:v>2.0749999999999997</c:v>
              </c:pt>
              <c:pt idx="84">
                <c:v>2.1</c:v>
              </c:pt>
              <c:pt idx="85">
                <c:v>2.125</c:v>
              </c:pt>
              <c:pt idx="86">
                <c:v>2.15</c:v>
              </c:pt>
              <c:pt idx="87">
                <c:v>2.1749999999999998</c:v>
              </c:pt>
              <c:pt idx="88">
                <c:v>2.2000000000000002</c:v>
              </c:pt>
              <c:pt idx="89">
                <c:v>2.2250000000000001</c:v>
              </c:pt>
              <c:pt idx="90">
                <c:v>2.25</c:v>
              </c:pt>
              <c:pt idx="91">
                <c:v>2.2749999999999999</c:v>
              </c:pt>
              <c:pt idx="92">
                <c:v>2.3000000000000003</c:v>
              </c:pt>
              <c:pt idx="93">
                <c:v>2.3250000000000002</c:v>
              </c:pt>
              <c:pt idx="94">
                <c:v>2.3499999999999996</c:v>
              </c:pt>
              <c:pt idx="95">
                <c:v>2.375</c:v>
              </c:pt>
              <c:pt idx="96">
                <c:v>2.4</c:v>
              </c:pt>
              <c:pt idx="97">
                <c:v>2.4249999999999998</c:v>
              </c:pt>
              <c:pt idx="98">
                <c:v>2.4500000000000002</c:v>
              </c:pt>
              <c:pt idx="99">
                <c:v>2.4750000000000001</c:v>
              </c:pt>
              <c:pt idx="100">
                <c:v>2.5</c:v>
              </c:pt>
              <c:pt idx="101">
                <c:v>2.5249999999999999</c:v>
              </c:pt>
              <c:pt idx="102">
                <c:v>2.5499999999999998</c:v>
              </c:pt>
              <c:pt idx="103">
                <c:v>2.5750000000000002</c:v>
              </c:pt>
              <c:pt idx="104">
                <c:v>2.6</c:v>
              </c:pt>
              <c:pt idx="105">
                <c:v>2.625</c:v>
              </c:pt>
              <c:pt idx="106">
                <c:v>2.6500000000000004</c:v>
              </c:pt>
              <c:pt idx="107">
                <c:v>2.6750000000000003</c:v>
              </c:pt>
              <c:pt idx="108">
                <c:v>2.7</c:v>
              </c:pt>
              <c:pt idx="109">
                <c:v>2.7250000000000001</c:v>
              </c:pt>
              <c:pt idx="110">
                <c:v>2.75</c:v>
              </c:pt>
              <c:pt idx="111">
                <c:v>2.7750000000000004</c:v>
              </c:pt>
              <c:pt idx="112">
                <c:v>2.8000000000000003</c:v>
              </c:pt>
              <c:pt idx="113">
                <c:v>2.8249999999999997</c:v>
              </c:pt>
              <c:pt idx="114">
                <c:v>2.8499999999999996</c:v>
              </c:pt>
              <c:pt idx="115">
                <c:v>2.875</c:v>
              </c:pt>
              <c:pt idx="116">
                <c:v>2.9</c:v>
              </c:pt>
              <c:pt idx="117">
                <c:v>2.9249999999999998</c:v>
              </c:pt>
              <c:pt idx="118">
                <c:v>2.9499999999999997</c:v>
              </c:pt>
              <c:pt idx="119">
                <c:v>2.9749999999999996</c:v>
              </c:pt>
              <c:pt idx="120">
                <c:v>3</c:v>
              </c:pt>
              <c:pt idx="121">
                <c:v>3.0249999999999999</c:v>
              </c:pt>
              <c:pt idx="122">
                <c:v>3.05</c:v>
              </c:pt>
              <c:pt idx="123">
                <c:v>3.0750000000000002</c:v>
              </c:pt>
              <c:pt idx="124">
                <c:v>3.1</c:v>
              </c:pt>
              <c:pt idx="125">
                <c:v>3.125</c:v>
              </c:pt>
              <c:pt idx="126">
                <c:v>3.15</c:v>
              </c:pt>
              <c:pt idx="127">
                <c:v>3.1749999999999998</c:v>
              </c:pt>
              <c:pt idx="128">
                <c:v>3.2</c:v>
              </c:pt>
              <c:pt idx="129">
                <c:v>3.2250000000000001</c:v>
              </c:pt>
              <c:pt idx="130">
                <c:v>3.25</c:v>
              </c:pt>
              <c:pt idx="131">
                <c:v>3.2750000000000004</c:v>
              </c:pt>
              <c:pt idx="132">
                <c:v>3.3000000000000003</c:v>
              </c:pt>
              <c:pt idx="133">
                <c:v>3.3250000000000002</c:v>
              </c:pt>
              <c:pt idx="134">
                <c:v>3.35</c:v>
              </c:pt>
              <c:pt idx="135">
                <c:v>3.375</c:v>
              </c:pt>
              <c:pt idx="136">
                <c:v>3.4000000000000004</c:v>
              </c:pt>
              <c:pt idx="137">
                <c:v>3.4250000000000003</c:v>
              </c:pt>
              <c:pt idx="138">
                <c:v>3.4499999999999997</c:v>
              </c:pt>
              <c:pt idx="139">
                <c:v>3.4749999999999996</c:v>
              </c:pt>
              <c:pt idx="140">
                <c:v>3.5</c:v>
              </c:pt>
              <c:pt idx="141">
                <c:v>3.5249999999999999</c:v>
              </c:pt>
              <c:pt idx="142">
                <c:v>3.55</c:v>
              </c:pt>
              <c:pt idx="143">
                <c:v>3.5749999999999997</c:v>
              </c:pt>
              <c:pt idx="144">
                <c:v>3.5999999999999996</c:v>
              </c:pt>
              <c:pt idx="145">
                <c:v>3.625</c:v>
              </c:pt>
              <c:pt idx="146">
                <c:v>3.65</c:v>
              </c:pt>
              <c:pt idx="147">
                <c:v>3.6749999999999998</c:v>
              </c:pt>
              <c:pt idx="148">
                <c:v>3.7</c:v>
              </c:pt>
              <c:pt idx="149">
                <c:v>3.7250000000000001</c:v>
              </c:pt>
              <c:pt idx="150">
                <c:v>3.75</c:v>
              </c:pt>
              <c:pt idx="151">
                <c:v>3.7749999999999999</c:v>
              </c:pt>
              <c:pt idx="152">
                <c:v>3.8</c:v>
              </c:pt>
              <c:pt idx="153">
                <c:v>3.8250000000000002</c:v>
              </c:pt>
              <c:pt idx="154">
                <c:v>3.85</c:v>
              </c:pt>
              <c:pt idx="155">
                <c:v>3.875</c:v>
              </c:pt>
              <c:pt idx="156">
                <c:v>3.9000000000000004</c:v>
              </c:pt>
              <c:pt idx="157">
                <c:v>3.9250000000000003</c:v>
              </c:pt>
              <c:pt idx="158">
                <c:v>3.95</c:v>
              </c:pt>
              <c:pt idx="159">
                <c:v>3.9750000000000001</c:v>
              </c:pt>
              <c:pt idx="160">
                <c:v>4</c:v>
              </c:pt>
              <c:pt idx="161">
                <c:v>4.0250000000000004</c:v>
              </c:pt>
              <c:pt idx="162">
                <c:v>4.0500000000000007</c:v>
              </c:pt>
              <c:pt idx="163">
                <c:v>4.0749999999999993</c:v>
              </c:pt>
              <c:pt idx="164">
                <c:v>4.0999999999999996</c:v>
              </c:pt>
              <c:pt idx="165">
                <c:v>4.125</c:v>
              </c:pt>
              <c:pt idx="166">
                <c:v>4.1499999999999995</c:v>
              </c:pt>
              <c:pt idx="167">
                <c:v>4.1749999999999998</c:v>
              </c:pt>
              <c:pt idx="168">
                <c:v>4.2</c:v>
              </c:pt>
              <c:pt idx="169">
                <c:v>4.2249999999999996</c:v>
              </c:pt>
              <c:pt idx="170">
                <c:v>4.25</c:v>
              </c:pt>
              <c:pt idx="171">
                <c:v>4.2750000000000004</c:v>
              </c:pt>
              <c:pt idx="172">
                <c:v>4.3</c:v>
              </c:pt>
              <c:pt idx="173">
                <c:v>4.3250000000000002</c:v>
              </c:pt>
              <c:pt idx="174">
                <c:v>4.3499999999999996</c:v>
              </c:pt>
              <c:pt idx="175">
                <c:v>4.375</c:v>
              </c:pt>
              <c:pt idx="176">
                <c:v>4.4000000000000004</c:v>
              </c:pt>
              <c:pt idx="177">
                <c:v>4.4249999999999998</c:v>
              </c:pt>
              <c:pt idx="178">
                <c:v>4.45</c:v>
              </c:pt>
              <c:pt idx="179">
                <c:v>4.4749999999999996</c:v>
              </c:pt>
              <c:pt idx="180">
                <c:v>4.5</c:v>
              </c:pt>
              <c:pt idx="181">
                <c:v>4.5250000000000004</c:v>
              </c:pt>
              <c:pt idx="182">
                <c:v>4.55</c:v>
              </c:pt>
              <c:pt idx="183">
                <c:v>4.5750000000000002</c:v>
              </c:pt>
              <c:pt idx="184">
                <c:v>4.6000000000000005</c:v>
              </c:pt>
              <c:pt idx="185">
                <c:v>4.625</c:v>
              </c:pt>
              <c:pt idx="186">
                <c:v>4.6500000000000004</c:v>
              </c:pt>
              <c:pt idx="187">
                <c:v>4.6750000000000007</c:v>
              </c:pt>
              <c:pt idx="188">
                <c:v>4.6999999999999993</c:v>
              </c:pt>
              <c:pt idx="189">
                <c:v>4.7249999999999996</c:v>
              </c:pt>
              <c:pt idx="190">
                <c:v>4.75</c:v>
              </c:pt>
              <c:pt idx="191">
                <c:v>4.7749999999999995</c:v>
              </c:pt>
              <c:pt idx="192">
                <c:v>4.8</c:v>
              </c:pt>
              <c:pt idx="193">
                <c:v>4.8250000000000002</c:v>
              </c:pt>
              <c:pt idx="194">
                <c:v>4.8499999999999996</c:v>
              </c:pt>
              <c:pt idx="195">
                <c:v>4.875</c:v>
              </c:pt>
              <c:pt idx="196">
                <c:v>4.9000000000000004</c:v>
              </c:pt>
              <c:pt idx="197">
                <c:v>4.9249999999999998</c:v>
              </c:pt>
              <c:pt idx="198">
                <c:v>4.95</c:v>
              </c:pt>
              <c:pt idx="199">
                <c:v>4.9749999999999996</c:v>
              </c:pt>
              <c:pt idx="200">
                <c:v>5</c:v>
              </c:pt>
            </c:numLit>
          </c:cat>
          <c:val>
            <c:numRef>
              <c:f>'Calculations - Single'!$BN$5:$BN$105</c:f>
              <c:numCache>
                <c:formatCode>0.0</c:formatCode>
                <c:ptCount val="101"/>
                <c:pt idx="0">
                  <c:v>11.049804979333333</c:v>
                </c:pt>
                <c:pt idx="1">
                  <c:v>42.07092121023485</c:v>
                </c:pt>
                <c:pt idx="2">
                  <c:v>79.791842420469692</c:v>
                </c:pt>
                <c:pt idx="3">
                  <c:v>117.51276363070454</c:v>
                </c:pt>
                <c:pt idx="4">
                  <c:v>155.23368484093939</c:v>
                </c:pt>
                <c:pt idx="5">
                  <c:v>193.45912561340756</c:v>
                </c:pt>
                <c:pt idx="6">
                  <c:v>206.7106519764136</c:v>
                </c:pt>
                <c:pt idx="7">
                  <c:v>212.79912554864575</c:v>
                </c:pt>
                <c:pt idx="8">
                  <c:v>218.63203123862675</c:v>
                </c:pt>
                <c:pt idx="9">
                  <c:v>224.26619430851423</c:v>
                </c:pt>
                <c:pt idx="10">
                  <c:v>229.74243662079195</c:v>
                </c:pt>
                <c:pt idx="11">
                  <c:v>235.09115936686842</c:v>
                </c:pt>
                <c:pt idx="12">
                  <c:v>240.33565853726287</c:v>
                </c:pt>
                <c:pt idx="13">
                  <c:v>245.49420386262005</c:v>
                </c:pt>
                <c:pt idx="14">
                  <c:v>250.58140070075814</c:v>
                </c:pt>
                <c:pt idx="15">
                  <c:v>255.6091149235742</c:v>
                </c:pt>
                <c:pt idx="16">
                  <c:v>260.58712029525213</c:v>
                </c:pt>
                <c:pt idx="17">
                  <c:v>265.52356341057111</c:v>
                </c:pt>
                <c:pt idx="18">
                  <c:v>270.42530508931685</c:v>
                </c:pt>
                <c:pt idx="19">
                  <c:v>275.29817594000173</c:v>
                </c:pt>
                <c:pt idx="20">
                  <c:v>280.1471709447024</c:v>
                </c:pt>
                <c:pt idx="21">
                  <c:v>284.97659985835304</c:v>
                </c:pt>
                <c:pt idx="22">
                  <c:v>289.79020502524401</c:v>
                </c:pt>
                <c:pt idx="23">
                  <c:v>294.59125478931696</c:v>
                </c:pt>
                <c:pt idx="24">
                  <c:v>299.3826183634261</c:v>
                </c:pt>
                <c:pt idx="25">
                  <c:v>304.16682643247566</c:v>
                </c:pt>
                <c:pt idx="26">
                  <c:v>308.94612065170821</c:v>
                </c:pt>
                <c:pt idx="27">
                  <c:v>313.72249440891972</c:v>
                </c:pt>
                <c:pt idx="28">
                  <c:v>318.49772664707604</c:v>
                </c:pt>
                <c:pt idx="29">
                  <c:v>323.27341012494429</c:v>
                </c:pt>
                <c:pt idx="30">
                  <c:v>328.05097518297703</c:v>
                </c:pt>
                <c:pt idx="31">
                  <c:v>332.83170984907343</c:v>
                </c:pt>
                <c:pt idx="32">
                  <c:v>337.61677694265893</c:v>
                </c:pt>
                <c:pt idx="33">
                  <c:v>342.4072287007686</c:v>
                </c:pt>
                <c:pt idx="34">
                  <c:v>347.20401934581309</c:v>
                </c:pt>
                <c:pt idx="35">
                  <c:v>352.00801593374337</c:v>
                </c:pt>
                <c:pt idx="36">
                  <c:v>356.82000775780631</c:v>
                </c:pt>
                <c:pt idx="37">
                  <c:v>361.64071453286442</c:v>
                </c:pt>
                <c:pt idx="38">
                  <c:v>366.47079354528574</c:v>
                </c:pt>
                <c:pt idx="39">
                  <c:v>371.31084592137125</c:v>
                </c:pt>
                <c:pt idx="40">
                  <c:v>376.1614221414697</c:v>
                </c:pt>
                <c:pt idx="41">
                  <c:v>381.02302690598151</c:v>
                </c:pt>
                <c:pt idx="42">
                  <c:v>385.89612344237207</c:v>
                </c:pt>
                <c:pt idx="43">
                  <c:v>390.78113732831525</c:v>
                </c:pt>
                <c:pt idx="44">
                  <c:v>395.67845989454759</c:v>
                </c:pt>
                <c:pt idx="45">
                  <c:v>400.58845126146599</c:v>
                </c:pt>
                <c:pt idx="46">
                  <c:v>405.51144305555891</c:v>
                </c:pt>
                <c:pt idx="47">
                  <c:v>410.44774084512932</c:v>
                </c:pt>
                <c:pt idx="48">
                  <c:v>415.39762632920701</c:v>
                </c:pt>
                <c:pt idx="49">
                  <c:v>420.36135930886525</c:v>
                </c:pt>
                <c:pt idx="50">
                  <c:v>425.33917946620375</c:v>
                </c:pt>
                <c:pt idx="51">
                  <c:v>430.33130797290301</c:v>
                </c:pt>
                <c:pt idx="52">
                  <c:v>435.33794894740237</c:v>
                </c:pt>
                <c:pt idx="53">
                  <c:v>440.35929077731902</c:v>
                </c:pt>
                <c:pt idx="54">
                  <c:v>445.3955073216365</c:v>
                </c:pt>
                <c:pt idx="55">
                  <c:v>450.44675900540307</c:v>
                </c:pt>
                <c:pt idx="56">
                  <c:v>455.51319381813011</c:v>
                </c:pt>
                <c:pt idx="57">
                  <c:v>460.59494822575772</c:v>
                </c:pt>
                <c:pt idx="58">
                  <c:v>465.69214800488851</c:v>
                </c:pt>
                <c:pt idx="59">
                  <c:v>470.80490900699698</c:v>
                </c:pt>
                <c:pt idx="60">
                  <c:v>475.93333785944219</c:v>
                </c:pt>
                <c:pt idx="61">
                  <c:v>481.07753260935743</c:v>
                </c:pt>
                <c:pt idx="62">
                  <c:v>486.23758331581263</c:v>
                </c:pt>
                <c:pt idx="63">
                  <c:v>491.41357259507561</c:v>
                </c:pt>
                <c:pt idx="64">
                  <c:v>496.60557612327409</c:v>
                </c:pt>
                <c:pt idx="65">
                  <c:v>501.8136631003124</c:v>
                </c:pt>
                <c:pt idx="66">
                  <c:v>507.03789667850231</c:v>
                </c:pt>
                <c:pt idx="67">
                  <c:v>512.2783343590072</c:v>
                </c:pt>
                <c:pt idx="68">
                  <c:v>517.53502835889526</c:v>
                </c:pt>
                <c:pt idx="69">
                  <c:v>522.8080259513182</c:v>
                </c:pt>
                <c:pt idx="70">
                  <c:v>528.09736978108026</c:v>
                </c:pt>
                <c:pt idx="71">
                  <c:v>533.40309815765488</c:v>
                </c:pt>
                <c:pt idx="72">
                  <c:v>538.72524532750197</c:v>
                </c:pt>
                <c:pt idx="73">
                  <c:v>544.06384172736796</c:v>
                </c:pt>
                <c:pt idx="74">
                  <c:v>549.41891422009678</c:v>
                </c:pt>
                <c:pt idx="75">
                  <c:v>554.79048631433466</c:v>
                </c:pt>
                <c:pt idx="76">
                  <c:v>560.17857836939561</c:v>
                </c:pt>
                <c:pt idx="77">
                  <c:v>565.58320778643042</c:v>
                </c:pt>
                <c:pt idx="78">
                  <c:v>571.00438918695318</c:v>
                </c:pt>
                <c:pt idx="79">
                  <c:v>576.44213457967487</c:v>
                </c:pt>
                <c:pt idx="80">
                  <c:v>581.89645351652439</c:v>
                </c:pt>
                <c:pt idx="81">
                  <c:v>587.367353238654</c:v>
                </c:pt>
                <c:pt idx="82">
                  <c:v>592.85483881315986</c:v>
                </c:pt>
                <c:pt idx="83">
                  <c:v>598.35891326119486</c:v>
                </c:pt>
                <c:pt idx="84">
                  <c:v>603.87957767808314</c:v>
                </c:pt>
                <c:pt idx="85">
                  <c:v>609.41683134600919</c:v>
                </c:pt>
                <c:pt idx="86">
                  <c:v>614.97067183979925</c:v>
                </c:pt>
                <c:pt idx="87">
                  <c:v>620.54109512627258</c:v>
                </c:pt>
                <c:pt idx="88">
                  <c:v>626.12809565760926</c:v>
                </c:pt>
                <c:pt idx="89">
                  <c:v>631.73166645913773</c:v>
                </c:pt>
                <c:pt idx="90">
                  <c:v>637.35179921191877</c:v>
                </c:pt>
                <c:pt idx="91">
                  <c:v>642.98848433047442</c:v>
                </c:pt>
                <c:pt idx="92">
                  <c:v>648.64171103598301</c:v>
                </c:pt>
                <c:pt idx="93">
                  <c:v>654.31146742523322</c:v>
                </c:pt>
                <c:pt idx="94">
                  <c:v>659.99774053561941</c:v>
                </c:pt>
                <c:pt idx="95">
                  <c:v>665.70051640642669</c:v>
                </c:pt>
                <c:pt idx="96">
                  <c:v>671.41978013664357</c:v>
                </c:pt>
                <c:pt idx="97">
                  <c:v>677.15551593952489</c:v>
                </c:pt>
                <c:pt idx="98">
                  <c:v>682.9077071941042</c:v>
                </c:pt>
                <c:pt idx="99">
                  <c:v>688.67633649384811</c:v>
                </c:pt>
                <c:pt idx="100">
                  <c:v>694.46138569262632</c:v>
                </c:pt>
              </c:numCache>
            </c:numRef>
          </c:val>
          <c:smooth val="0"/>
          <c:extLst>
            <c:ext xmlns:c16="http://schemas.microsoft.com/office/drawing/2014/chart" uri="{C3380CC4-5D6E-409C-BE32-E72D297353CC}">
              <c16:uniqueId val="{00000002-1784-4378-9EE7-2460A1573A80}"/>
            </c:ext>
          </c:extLst>
        </c:ser>
        <c:ser>
          <c:idx val="1"/>
          <c:order val="3"/>
          <c:tx>
            <c:strRef>
              <c:f>'Calculations - Single'!$BS$3</c:f>
              <c:strCache>
                <c:ptCount val="1"/>
                <c:pt idx="0">
                  <c:v>Transformer Loss</c:v>
                </c:pt>
              </c:strCache>
            </c:strRef>
          </c:tx>
          <c:spPr>
            <a:ln w="38100">
              <a:solidFill>
                <a:srgbClr val="002060"/>
              </a:solidFill>
              <a:prstDash val="sysDot"/>
            </a:ln>
          </c:spPr>
          <c:marker>
            <c:symbol val="none"/>
          </c:marker>
          <c:cat>
            <c:numLit>
              <c:formatCode>General</c:formatCode>
              <c:ptCount val="201"/>
              <c:pt idx="0">
                <c:v>0</c:v>
              </c:pt>
              <c:pt idx="1">
                <c:v>2.5000000000000001E-2</c:v>
              </c:pt>
              <c:pt idx="2">
                <c:v>0.05</c:v>
              </c:pt>
              <c:pt idx="3">
                <c:v>7.4999999999999997E-2</c:v>
              </c:pt>
              <c:pt idx="4">
                <c:v>0.1</c:v>
              </c:pt>
              <c:pt idx="5">
                <c:v>0.125</c:v>
              </c:pt>
              <c:pt idx="6">
                <c:v>0.15</c:v>
              </c:pt>
              <c:pt idx="7">
                <c:v>0.17500000000000002</c:v>
              </c:pt>
              <c:pt idx="8">
                <c:v>0.2</c:v>
              </c:pt>
              <c:pt idx="9">
                <c:v>0.22499999999999998</c:v>
              </c:pt>
              <c:pt idx="10">
                <c:v>0.25</c:v>
              </c:pt>
              <c:pt idx="11">
                <c:v>0.27500000000000002</c:v>
              </c:pt>
              <c:pt idx="12">
                <c:v>0.3</c:v>
              </c:pt>
              <c:pt idx="13">
                <c:v>0.32500000000000001</c:v>
              </c:pt>
              <c:pt idx="14">
                <c:v>0.35000000000000003</c:v>
              </c:pt>
              <c:pt idx="15">
                <c:v>0.375</c:v>
              </c:pt>
              <c:pt idx="16">
                <c:v>0.4</c:v>
              </c:pt>
              <c:pt idx="17">
                <c:v>0.42500000000000004</c:v>
              </c:pt>
              <c:pt idx="18">
                <c:v>0.44999999999999996</c:v>
              </c:pt>
              <c:pt idx="19">
                <c:v>0.47499999999999998</c:v>
              </c:pt>
              <c:pt idx="20">
                <c:v>0.5</c:v>
              </c:pt>
              <c:pt idx="21">
                <c:v>0.52500000000000002</c:v>
              </c:pt>
              <c:pt idx="22">
                <c:v>0.55000000000000004</c:v>
              </c:pt>
              <c:pt idx="23">
                <c:v>0.57500000000000007</c:v>
              </c:pt>
              <c:pt idx="24">
                <c:v>0.6</c:v>
              </c:pt>
              <c:pt idx="25">
                <c:v>0.625</c:v>
              </c:pt>
              <c:pt idx="26">
                <c:v>0.65</c:v>
              </c:pt>
              <c:pt idx="27">
                <c:v>0.67500000000000004</c:v>
              </c:pt>
              <c:pt idx="28">
                <c:v>0.70000000000000007</c:v>
              </c:pt>
              <c:pt idx="29">
                <c:v>0.72499999999999998</c:v>
              </c:pt>
              <c:pt idx="30">
                <c:v>0.75</c:v>
              </c:pt>
              <c:pt idx="31">
                <c:v>0.77500000000000002</c:v>
              </c:pt>
              <c:pt idx="32">
                <c:v>0.8</c:v>
              </c:pt>
              <c:pt idx="33">
                <c:v>0.82500000000000007</c:v>
              </c:pt>
              <c:pt idx="34">
                <c:v>0.85000000000000009</c:v>
              </c:pt>
              <c:pt idx="35">
                <c:v>0.875</c:v>
              </c:pt>
              <c:pt idx="36">
                <c:v>0.89999999999999991</c:v>
              </c:pt>
              <c:pt idx="37">
                <c:v>0.92500000000000004</c:v>
              </c:pt>
              <c:pt idx="38">
                <c:v>0.95</c:v>
              </c:pt>
              <c:pt idx="39">
                <c:v>0.97500000000000009</c:v>
              </c:pt>
              <c:pt idx="40">
                <c:v>1</c:v>
              </c:pt>
              <c:pt idx="41">
                <c:v>1.0249999999999999</c:v>
              </c:pt>
              <c:pt idx="42">
                <c:v>1.05</c:v>
              </c:pt>
              <c:pt idx="43">
                <c:v>1.075</c:v>
              </c:pt>
              <c:pt idx="44">
                <c:v>1.1000000000000001</c:v>
              </c:pt>
              <c:pt idx="45">
                <c:v>1.125</c:v>
              </c:pt>
              <c:pt idx="46">
                <c:v>1.1500000000000001</c:v>
              </c:pt>
              <c:pt idx="47">
                <c:v>1.1749999999999998</c:v>
              </c:pt>
              <c:pt idx="48">
                <c:v>1.2</c:v>
              </c:pt>
              <c:pt idx="49">
                <c:v>1.2250000000000001</c:v>
              </c:pt>
              <c:pt idx="50">
                <c:v>1.25</c:v>
              </c:pt>
              <c:pt idx="51">
                <c:v>1.2749999999999999</c:v>
              </c:pt>
              <c:pt idx="52">
                <c:v>1.3</c:v>
              </c:pt>
              <c:pt idx="53">
                <c:v>1.3250000000000002</c:v>
              </c:pt>
              <c:pt idx="54">
                <c:v>1.35</c:v>
              </c:pt>
              <c:pt idx="55">
                <c:v>1.375</c:v>
              </c:pt>
              <c:pt idx="56">
                <c:v>1.4000000000000001</c:v>
              </c:pt>
              <c:pt idx="57">
                <c:v>1.4249999999999998</c:v>
              </c:pt>
              <c:pt idx="58">
                <c:v>1.45</c:v>
              </c:pt>
              <c:pt idx="59">
                <c:v>1.4749999999999999</c:v>
              </c:pt>
              <c:pt idx="60">
                <c:v>1.5</c:v>
              </c:pt>
              <c:pt idx="61">
                <c:v>1.5249999999999999</c:v>
              </c:pt>
              <c:pt idx="62">
                <c:v>1.55</c:v>
              </c:pt>
              <c:pt idx="63">
                <c:v>1.575</c:v>
              </c:pt>
              <c:pt idx="64">
                <c:v>1.6</c:v>
              </c:pt>
              <c:pt idx="65">
                <c:v>1.625</c:v>
              </c:pt>
              <c:pt idx="66">
                <c:v>1.6500000000000001</c:v>
              </c:pt>
              <c:pt idx="67">
                <c:v>1.675</c:v>
              </c:pt>
              <c:pt idx="68">
                <c:v>1.7000000000000002</c:v>
              </c:pt>
              <c:pt idx="69">
                <c:v>1.7249999999999999</c:v>
              </c:pt>
              <c:pt idx="70">
                <c:v>1.75</c:v>
              </c:pt>
              <c:pt idx="71">
                <c:v>1.7749999999999999</c:v>
              </c:pt>
              <c:pt idx="72">
                <c:v>1.7999999999999998</c:v>
              </c:pt>
              <c:pt idx="73">
                <c:v>1.825</c:v>
              </c:pt>
              <c:pt idx="74">
                <c:v>1.85</c:v>
              </c:pt>
              <c:pt idx="75">
                <c:v>1.875</c:v>
              </c:pt>
              <c:pt idx="76">
                <c:v>1.9</c:v>
              </c:pt>
              <c:pt idx="77">
                <c:v>1.925</c:v>
              </c:pt>
              <c:pt idx="78">
                <c:v>1.9500000000000002</c:v>
              </c:pt>
              <c:pt idx="79">
                <c:v>1.9750000000000001</c:v>
              </c:pt>
              <c:pt idx="80">
                <c:v>2</c:v>
              </c:pt>
              <c:pt idx="81">
                <c:v>2.0250000000000004</c:v>
              </c:pt>
              <c:pt idx="82">
                <c:v>2.0499999999999998</c:v>
              </c:pt>
              <c:pt idx="83">
                <c:v>2.0749999999999997</c:v>
              </c:pt>
              <c:pt idx="84">
                <c:v>2.1</c:v>
              </c:pt>
              <c:pt idx="85">
                <c:v>2.125</c:v>
              </c:pt>
              <c:pt idx="86">
                <c:v>2.15</c:v>
              </c:pt>
              <c:pt idx="87">
                <c:v>2.1749999999999998</c:v>
              </c:pt>
              <c:pt idx="88">
                <c:v>2.2000000000000002</c:v>
              </c:pt>
              <c:pt idx="89">
                <c:v>2.2250000000000001</c:v>
              </c:pt>
              <c:pt idx="90">
                <c:v>2.25</c:v>
              </c:pt>
              <c:pt idx="91">
                <c:v>2.2749999999999999</c:v>
              </c:pt>
              <c:pt idx="92">
                <c:v>2.3000000000000003</c:v>
              </c:pt>
              <c:pt idx="93">
                <c:v>2.3250000000000002</c:v>
              </c:pt>
              <c:pt idx="94">
                <c:v>2.3499999999999996</c:v>
              </c:pt>
              <c:pt idx="95">
                <c:v>2.375</c:v>
              </c:pt>
              <c:pt idx="96">
                <c:v>2.4</c:v>
              </c:pt>
              <c:pt idx="97">
                <c:v>2.4249999999999998</c:v>
              </c:pt>
              <c:pt idx="98">
                <c:v>2.4500000000000002</c:v>
              </c:pt>
              <c:pt idx="99">
                <c:v>2.4750000000000001</c:v>
              </c:pt>
              <c:pt idx="100">
                <c:v>2.5</c:v>
              </c:pt>
              <c:pt idx="101">
                <c:v>2.5249999999999999</c:v>
              </c:pt>
              <c:pt idx="102">
                <c:v>2.5499999999999998</c:v>
              </c:pt>
              <c:pt idx="103">
                <c:v>2.5750000000000002</c:v>
              </c:pt>
              <c:pt idx="104">
                <c:v>2.6</c:v>
              </c:pt>
              <c:pt idx="105">
                <c:v>2.625</c:v>
              </c:pt>
              <c:pt idx="106">
                <c:v>2.6500000000000004</c:v>
              </c:pt>
              <c:pt idx="107">
                <c:v>2.6750000000000003</c:v>
              </c:pt>
              <c:pt idx="108">
                <c:v>2.7</c:v>
              </c:pt>
              <c:pt idx="109">
                <c:v>2.7250000000000001</c:v>
              </c:pt>
              <c:pt idx="110">
                <c:v>2.75</c:v>
              </c:pt>
              <c:pt idx="111">
                <c:v>2.7750000000000004</c:v>
              </c:pt>
              <c:pt idx="112">
                <c:v>2.8000000000000003</c:v>
              </c:pt>
              <c:pt idx="113">
                <c:v>2.8249999999999997</c:v>
              </c:pt>
              <c:pt idx="114">
                <c:v>2.8499999999999996</c:v>
              </c:pt>
              <c:pt idx="115">
                <c:v>2.875</c:v>
              </c:pt>
              <c:pt idx="116">
                <c:v>2.9</c:v>
              </c:pt>
              <c:pt idx="117">
                <c:v>2.9249999999999998</c:v>
              </c:pt>
              <c:pt idx="118">
                <c:v>2.9499999999999997</c:v>
              </c:pt>
              <c:pt idx="119">
                <c:v>2.9749999999999996</c:v>
              </c:pt>
              <c:pt idx="120">
                <c:v>3</c:v>
              </c:pt>
              <c:pt idx="121">
                <c:v>3.0249999999999999</c:v>
              </c:pt>
              <c:pt idx="122">
                <c:v>3.05</c:v>
              </c:pt>
              <c:pt idx="123">
                <c:v>3.0750000000000002</c:v>
              </c:pt>
              <c:pt idx="124">
                <c:v>3.1</c:v>
              </c:pt>
              <c:pt idx="125">
                <c:v>3.125</c:v>
              </c:pt>
              <c:pt idx="126">
                <c:v>3.15</c:v>
              </c:pt>
              <c:pt idx="127">
                <c:v>3.1749999999999998</c:v>
              </c:pt>
              <c:pt idx="128">
                <c:v>3.2</c:v>
              </c:pt>
              <c:pt idx="129">
                <c:v>3.2250000000000001</c:v>
              </c:pt>
              <c:pt idx="130">
                <c:v>3.25</c:v>
              </c:pt>
              <c:pt idx="131">
                <c:v>3.2750000000000004</c:v>
              </c:pt>
              <c:pt idx="132">
                <c:v>3.3000000000000003</c:v>
              </c:pt>
              <c:pt idx="133">
                <c:v>3.3250000000000002</c:v>
              </c:pt>
              <c:pt idx="134">
                <c:v>3.35</c:v>
              </c:pt>
              <c:pt idx="135">
                <c:v>3.375</c:v>
              </c:pt>
              <c:pt idx="136">
                <c:v>3.4000000000000004</c:v>
              </c:pt>
              <c:pt idx="137">
                <c:v>3.4250000000000003</c:v>
              </c:pt>
              <c:pt idx="138">
                <c:v>3.4499999999999997</c:v>
              </c:pt>
              <c:pt idx="139">
                <c:v>3.4749999999999996</c:v>
              </c:pt>
              <c:pt idx="140">
                <c:v>3.5</c:v>
              </c:pt>
              <c:pt idx="141">
                <c:v>3.5249999999999999</c:v>
              </c:pt>
              <c:pt idx="142">
                <c:v>3.55</c:v>
              </c:pt>
              <c:pt idx="143">
                <c:v>3.5749999999999997</c:v>
              </c:pt>
              <c:pt idx="144">
                <c:v>3.5999999999999996</c:v>
              </c:pt>
              <c:pt idx="145">
                <c:v>3.625</c:v>
              </c:pt>
              <c:pt idx="146">
                <c:v>3.65</c:v>
              </c:pt>
              <c:pt idx="147">
                <c:v>3.6749999999999998</c:v>
              </c:pt>
              <c:pt idx="148">
                <c:v>3.7</c:v>
              </c:pt>
              <c:pt idx="149">
                <c:v>3.7250000000000001</c:v>
              </c:pt>
              <c:pt idx="150">
                <c:v>3.75</c:v>
              </c:pt>
              <c:pt idx="151">
                <c:v>3.7749999999999999</c:v>
              </c:pt>
              <c:pt idx="152">
                <c:v>3.8</c:v>
              </c:pt>
              <c:pt idx="153">
                <c:v>3.8250000000000002</c:v>
              </c:pt>
              <c:pt idx="154">
                <c:v>3.85</c:v>
              </c:pt>
              <c:pt idx="155">
                <c:v>3.875</c:v>
              </c:pt>
              <c:pt idx="156">
                <c:v>3.9000000000000004</c:v>
              </c:pt>
              <c:pt idx="157">
                <c:v>3.9250000000000003</c:v>
              </c:pt>
              <c:pt idx="158">
                <c:v>3.95</c:v>
              </c:pt>
              <c:pt idx="159">
                <c:v>3.9750000000000001</c:v>
              </c:pt>
              <c:pt idx="160">
                <c:v>4</c:v>
              </c:pt>
              <c:pt idx="161">
                <c:v>4.0250000000000004</c:v>
              </c:pt>
              <c:pt idx="162">
                <c:v>4.0500000000000007</c:v>
              </c:pt>
              <c:pt idx="163">
                <c:v>4.0749999999999993</c:v>
              </c:pt>
              <c:pt idx="164">
                <c:v>4.0999999999999996</c:v>
              </c:pt>
              <c:pt idx="165">
                <c:v>4.125</c:v>
              </c:pt>
              <c:pt idx="166">
                <c:v>4.1499999999999995</c:v>
              </c:pt>
              <c:pt idx="167">
                <c:v>4.1749999999999998</c:v>
              </c:pt>
              <c:pt idx="168">
                <c:v>4.2</c:v>
              </c:pt>
              <c:pt idx="169">
                <c:v>4.2249999999999996</c:v>
              </c:pt>
              <c:pt idx="170">
                <c:v>4.25</c:v>
              </c:pt>
              <c:pt idx="171">
                <c:v>4.2750000000000004</c:v>
              </c:pt>
              <c:pt idx="172">
                <c:v>4.3</c:v>
              </c:pt>
              <c:pt idx="173">
                <c:v>4.3250000000000002</c:v>
              </c:pt>
              <c:pt idx="174">
                <c:v>4.3499999999999996</c:v>
              </c:pt>
              <c:pt idx="175">
                <c:v>4.375</c:v>
              </c:pt>
              <c:pt idx="176">
                <c:v>4.4000000000000004</c:v>
              </c:pt>
              <c:pt idx="177">
                <c:v>4.4249999999999998</c:v>
              </c:pt>
              <c:pt idx="178">
                <c:v>4.45</c:v>
              </c:pt>
              <c:pt idx="179">
                <c:v>4.4749999999999996</c:v>
              </c:pt>
              <c:pt idx="180">
                <c:v>4.5</c:v>
              </c:pt>
              <c:pt idx="181">
                <c:v>4.5250000000000004</c:v>
              </c:pt>
              <c:pt idx="182">
                <c:v>4.55</c:v>
              </c:pt>
              <c:pt idx="183">
                <c:v>4.5750000000000002</c:v>
              </c:pt>
              <c:pt idx="184">
                <c:v>4.6000000000000005</c:v>
              </c:pt>
              <c:pt idx="185">
                <c:v>4.625</c:v>
              </c:pt>
              <c:pt idx="186">
                <c:v>4.6500000000000004</c:v>
              </c:pt>
              <c:pt idx="187">
                <c:v>4.6750000000000007</c:v>
              </c:pt>
              <c:pt idx="188">
                <c:v>4.6999999999999993</c:v>
              </c:pt>
              <c:pt idx="189">
                <c:v>4.7249999999999996</c:v>
              </c:pt>
              <c:pt idx="190">
                <c:v>4.75</c:v>
              </c:pt>
              <c:pt idx="191">
                <c:v>4.7749999999999995</c:v>
              </c:pt>
              <c:pt idx="192">
                <c:v>4.8</c:v>
              </c:pt>
              <c:pt idx="193">
                <c:v>4.8250000000000002</c:v>
              </c:pt>
              <c:pt idx="194">
                <c:v>4.8499999999999996</c:v>
              </c:pt>
              <c:pt idx="195">
                <c:v>4.875</c:v>
              </c:pt>
              <c:pt idx="196">
                <c:v>4.9000000000000004</c:v>
              </c:pt>
              <c:pt idx="197">
                <c:v>4.9249999999999998</c:v>
              </c:pt>
              <c:pt idx="198">
                <c:v>4.95</c:v>
              </c:pt>
              <c:pt idx="199">
                <c:v>4.9749999999999996</c:v>
              </c:pt>
              <c:pt idx="200">
                <c:v>5</c:v>
              </c:pt>
            </c:numLit>
          </c:cat>
          <c:val>
            <c:numRef>
              <c:f>'Calculations - Single'!$BW$5:$BW$105</c:f>
              <c:numCache>
                <c:formatCode>0.0</c:formatCode>
                <c:ptCount val="10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numCache>
            </c:numRef>
          </c:val>
          <c:smooth val="0"/>
          <c:extLst>
            <c:ext xmlns:c16="http://schemas.microsoft.com/office/drawing/2014/chart" uri="{C3380CC4-5D6E-409C-BE32-E72D297353CC}">
              <c16:uniqueId val="{00000003-1784-4378-9EE7-2460A1573A80}"/>
            </c:ext>
          </c:extLst>
        </c:ser>
        <c:dLbls>
          <c:showLegendKey val="0"/>
          <c:showVal val="0"/>
          <c:showCatName val="0"/>
          <c:showSerName val="0"/>
          <c:showPercent val="0"/>
          <c:showBubbleSize val="0"/>
        </c:dLbls>
        <c:marker val="1"/>
        <c:smooth val="0"/>
        <c:axId val="140101888"/>
        <c:axId val="140099968"/>
      </c:lineChart>
      <c:catAx>
        <c:axId val="140087680"/>
        <c:scaling>
          <c:orientation val="minMax"/>
        </c:scaling>
        <c:delete val="0"/>
        <c:axPos val="b"/>
        <c:majorGridlines>
          <c:spPr>
            <a:ln w="15875">
              <a:solidFill>
                <a:srgbClr val="969696"/>
              </a:solidFill>
              <a:prstDash val="sysDash"/>
            </a:ln>
          </c:spPr>
        </c:majorGridlines>
        <c:minorGridlines/>
        <c:title>
          <c:tx>
            <c:rich>
              <a:bodyPr/>
              <a:lstStyle/>
              <a:p>
                <a:pPr>
                  <a:defRPr sz="1200" b="1" i="0" u="none" strike="noStrike" baseline="0">
                    <a:solidFill>
                      <a:srgbClr val="0000FF"/>
                    </a:solidFill>
                    <a:latin typeface="Arial" pitchFamily="34" charset="0"/>
                    <a:ea typeface="Calibri"/>
                    <a:cs typeface="Arial" pitchFamily="34" charset="0"/>
                  </a:defRPr>
                </a:pPr>
                <a:r>
                  <a:rPr lang="en-US" sz="1200">
                    <a:solidFill>
                      <a:srgbClr val="0000FF"/>
                    </a:solidFill>
                    <a:latin typeface="Arial" pitchFamily="34" charset="0"/>
                    <a:cs typeface="Arial" pitchFamily="34" charset="0"/>
                  </a:rPr>
                  <a:t>Load Current (mA)</a:t>
                </a:r>
              </a:p>
            </c:rich>
          </c:tx>
          <c:layout>
            <c:manualLayout>
              <c:xMode val="edge"/>
              <c:yMode val="edge"/>
              <c:x val="0.42471011396394504"/>
              <c:y val="0.93853771636955563"/>
            </c:manualLayout>
          </c:layout>
          <c:overlay val="0"/>
          <c:spPr>
            <a:noFill/>
            <a:ln w="25400">
              <a:noFill/>
            </a:ln>
          </c:spPr>
        </c:title>
        <c:numFmt formatCode="0" sourceLinked="1"/>
        <c:majorTickMark val="in"/>
        <c:minorTickMark val="in"/>
        <c:tickLblPos val="nextTo"/>
        <c:spPr>
          <a:ln w="3175">
            <a:solidFill>
              <a:srgbClr val="000000"/>
            </a:solidFill>
            <a:prstDash val="solid"/>
          </a:ln>
        </c:spPr>
        <c:txPr>
          <a:bodyPr rot="0" vert="horz"/>
          <a:lstStyle/>
          <a:p>
            <a:pPr>
              <a:defRPr sz="1100" b="1" i="0" u="none" strike="noStrike" baseline="0">
                <a:solidFill>
                  <a:srgbClr val="0000FF"/>
                </a:solidFill>
                <a:latin typeface="Arial" pitchFamily="34" charset="0"/>
                <a:ea typeface="Calibri"/>
                <a:cs typeface="Arial" pitchFamily="34" charset="0"/>
              </a:defRPr>
            </a:pPr>
            <a:endParaRPr lang="en-US"/>
          </a:p>
        </c:txPr>
        <c:crossAx val="140089600"/>
        <c:crosses val="autoZero"/>
        <c:auto val="1"/>
        <c:lblAlgn val="ctr"/>
        <c:lblOffset val="100"/>
        <c:tickLblSkip val="20"/>
        <c:tickMarkSkip val="20"/>
        <c:noMultiLvlLbl val="0"/>
      </c:catAx>
      <c:valAx>
        <c:axId val="140089600"/>
        <c:scaling>
          <c:orientation val="minMax"/>
          <c:max val="100"/>
          <c:min val="55"/>
        </c:scaling>
        <c:delete val="0"/>
        <c:axPos val="l"/>
        <c:majorGridlines>
          <c:spPr>
            <a:ln w="15875">
              <a:solidFill>
                <a:srgbClr val="808080"/>
              </a:solidFill>
              <a:prstDash val="solid"/>
            </a:ln>
          </c:spPr>
        </c:majorGridlines>
        <c:title>
          <c:tx>
            <c:rich>
              <a:bodyPr/>
              <a:lstStyle/>
              <a:p>
                <a:pPr>
                  <a:defRPr sz="1400" b="1" i="0" u="none" strike="noStrike" baseline="0">
                    <a:solidFill>
                      <a:srgbClr val="FF0000"/>
                    </a:solidFill>
                    <a:latin typeface="Arial" pitchFamily="34" charset="0"/>
                    <a:ea typeface="Calibri"/>
                    <a:cs typeface="Arial" pitchFamily="34" charset="0"/>
                  </a:defRPr>
                </a:pPr>
                <a:r>
                  <a:rPr lang="en-US" sz="1200" b="1">
                    <a:solidFill>
                      <a:srgbClr val="FF0000"/>
                    </a:solidFill>
                    <a:latin typeface="Arial" pitchFamily="34" charset="0"/>
                    <a:cs typeface="Arial" pitchFamily="34" charset="0"/>
                  </a:rPr>
                  <a:t>Efficiency  (%)</a:t>
                </a:r>
              </a:p>
            </c:rich>
          </c:tx>
          <c:layout>
            <c:manualLayout>
              <c:xMode val="edge"/>
              <c:yMode val="edge"/>
              <c:x val="1.2871858674081443E-2"/>
              <c:y val="0.37638177915688309"/>
            </c:manualLayout>
          </c:layout>
          <c:overlay val="0"/>
          <c:spPr>
            <a:noFill/>
            <a:ln w="25400">
              <a:noFill/>
            </a:ln>
          </c:spPr>
        </c:title>
        <c:numFmt formatCode="General" sourceLinked="0"/>
        <c:majorTickMark val="in"/>
        <c:minorTickMark val="in"/>
        <c:tickLblPos val="nextTo"/>
        <c:spPr>
          <a:ln w="3175">
            <a:solidFill>
              <a:srgbClr val="000000"/>
            </a:solidFill>
            <a:prstDash val="solid"/>
          </a:ln>
        </c:spPr>
        <c:txPr>
          <a:bodyPr rot="0" vert="horz"/>
          <a:lstStyle/>
          <a:p>
            <a:pPr>
              <a:defRPr sz="1100" b="1" i="0" u="none" strike="noStrike" baseline="0">
                <a:solidFill>
                  <a:srgbClr val="FF0000"/>
                </a:solidFill>
                <a:latin typeface="Arial" pitchFamily="34" charset="0"/>
                <a:ea typeface="Calibri"/>
                <a:cs typeface="Arial" pitchFamily="34" charset="0"/>
              </a:defRPr>
            </a:pPr>
            <a:endParaRPr lang="en-US"/>
          </a:p>
        </c:txPr>
        <c:crossAx val="140087680"/>
        <c:crossesAt val="0"/>
        <c:crossBetween val="between"/>
        <c:majorUnit val="5"/>
        <c:minorUnit val="2.5"/>
      </c:valAx>
      <c:valAx>
        <c:axId val="140099968"/>
        <c:scaling>
          <c:orientation val="minMax"/>
        </c:scaling>
        <c:delete val="0"/>
        <c:axPos val="r"/>
        <c:title>
          <c:tx>
            <c:rich>
              <a:bodyPr rot="-5400000" vert="horz"/>
              <a:lstStyle/>
              <a:p>
                <a:pPr>
                  <a:defRPr sz="1200" b="1"/>
                </a:pPr>
                <a:r>
                  <a:rPr lang="en-US" sz="1200" b="1"/>
                  <a:t>Power Loss (mW)</a:t>
                </a:r>
              </a:p>
            </c:rich>
          </c:tx>
          <c:layout>
            <c:manualLayout>
              <c:xMode val="edge"/>
              <c:yMode val="edge"/>
              <c:x val="0.95168474305601269"/>
              <c:y val="0.38117714045368295"/>
            </c:manualLayout>
          </c:layout>
          <c:overlay val="0"/>
        </c:title>
        <c:numFmt formatCode="General" sourceLinked="0"/>
        <c:majorTickMark val="out"/>
        <c:minorTickMark val="none"/>
        <c:tickLblPos val="nextTo"/>
        <c:txPr>
          <a:bodyPr/>
          <a:lstStyle/>
          <a:p>
            <a:pPr>
              <a:defRPr sz="1100" b="1">
                <a:solidFill>
                  <a:sysClr val="windowText" lastClr="000000"/>
                </a:solidFill>
              </a:defRPr>
            </a:pPr>
            <a:endParaRPr lang="en-US"/>
          </a:p>
        </c:txPr>
        <c:crossAx val="140101888"/>
        <c:crosses val="max"/>
        <c:crossBetween val="between"/>
      </c:valAx>
      <c:catAx>
        <c:axId val="140101888"/>
        <c:scaling>
          <c:orientation val="minMax"/>
        </c:scaling>
        <c:delete val="1"/>
        <c:axPos val="b"/>
        <c:numFmt formatCode="General" sourceLinked="1"/>
        <c:majorTickMark val="out"/>
        <c:minorTickMark val="none"/>
        <c:tickLblPos val="nextTo"/>
        <c:crossAx val="140099968"/>
        <c:crosses val="autoZero"/>
        <c:auto val="1"/>
        <c:lblAlgn val="ctr"/>
        <c:lblOffset val="100"/>
        <c:noMultiLvlLbl val="0"/>
      </c:catAx>
      <c:spPr>
        <a:noFill/>
        <a:ln w="25400">
          <a:noFill/>
        </a:ln>
      </c:spPr>
    </c:plotArea>
    <c:legend>
      <c:legendPos val="t"/>
      <c:layout>
        <c:manualLayout>
          <c:xMode val="edge"/>
          <c:yMode val="edge"/>
          <c:x val="0.40102557566231317"/>
          <c:y val="1.1892633038167682E-2"/>
          <c:w val="0.50550962619267337"/>
          <c:h val="8.9795049320617604E-2"/>
        </c:manualLayout>
      </c:layout>
      <c:overlay val="0"/>
      <c:spPr>
        <a:solidFill>
          <a:srgbClr val="FFFFFF"/>
        </a:solidFill>
        <a:ln w="25400">
          <a:noFill/>
        </a:ln>
      </c:spPr>
      <c:txPr>
        <a:bodyPr/>
        <a:lstStyle/>
        <a:p>
          <a:pPr>
            <a:defRPr sz="1100" b="0" i="0" u="none" strike="noStrike" baseline="0">
              <a:solidFill>
                <a:srgbClr val="000000"/>
              </a:solidFill>
              <a:latin typeface="Arial" pitchFamily="34" charset="0"/>
              <a:ea typeface="Calibri"/>
              <a:cs typeface="Arial" pitchFamily="34" charset="0"/>
            </a:defRPr>
          </a:pPr>
          <a:endParaRPr lang="en-US"/>
        </a:p>
      </c:txPr>
    </c:legend>
    <c:plotVisOnly val="1"/>
    <c:dispBlanksAs val="gap"/>
    <c:showDLblsOverMax val="0"/>
  </c:chart>
  <c:spPr>
    <a:solidFill>
      <a:srgbClr val="FFFFFF"/>
    </a:solidFill>
    <a:ln w="9525">
      <a:solidFill>
        <a:srgbClr val="808080"/>
      </a:solidFill>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0000000000006" r="0.750000000000006" t="1" header="0.5" footer="0.5"/>
    <c:pageSetup paperSize="5"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280746883383756E-2"/>
          <c:y val="3.9892589721079133E-2"/>
          <c:w val="0.86047278973849184"/>
          <c:h val="0.83734080468357386"/>
        </c:manualLayout>
      </c:layout>
      <c:lineChart>
        <c:grouping val="standard"/>
        <c:varyColors val="0"/>
        <c:ser>
          <c:idx val="1"/>
          <c:order val="0"/>
          <c:tx>
            <c:v>VIN-min</c:v>
          </c:tx>
          <c:spPr>
            <a:ln>
              <a:solidFill>
                <a:srgbClr val="00B050"/>
              </a:solidFill>
              <a:prstDash val="sysDash"/>
            </a:ln>
          </c:spPr>
          <c:marker>
            <c:symbol val="none"/>
          </c:marker>
          <c:cat>
            <c:numRef>
              <c:f>'Calculations - Single'!$AM$5:$AM$105</c:f>
              <c:numCache>
                <c:formatCode>0</c:formatCode>
                <c:ptCount val="101"/>
                <c:pt idx="0">
                  <c:v>1.0000000000000002E-6</c:v>
                </c:pt>
                <c:pt idx="1">
                  <c:v>10</c:v>
                </c:pt>
                <c:pt idx="2">
                  <c:v>20</c:v>
                </c:pt>
                <c:pt idx="3">
                  <c:v>30</c:v>
                </c:pt>
                <c:pt idx="4">
                  <c:v>40</c:v>
                </c:pt>
                <c:pt idx="5">
                  <c:v>50</c:v>
                </c:pt>
                <c:pt idx="6">
                  <c:v>60</c:v>
                </c:pt>
                <c:pt idx="7">
                  <c:v>70</c:v>
                </c:pt>
                <c:pt idx="8">
                  <c:v>80</c:v>
                </c:pt>
                <c:pt idx="9">
                  <c:v>90</c:v>
                </c:pt>
                <c:pt idx="10">
                  <c:v>100</c:v>
                </c:pt>
                <c:pt idx="11">
                  <c:v>110</c:v>
                </c:pt>
                <c:pt idx="12">
                  <c:v>120</c:v>
                </c:pt>
                <c:pt idx="13">
                  <c:v>130</c:v>
                </c:pt>
                <c:pt idx="14">
                  <c:v>140</c:v>
                </c:pt>
                <c:pt idx="15">
                  <c:v>150</c:v>
                </c:pt>
                <c:pt idx="16">
                  <c:v>160</c:v>
                </c:pt>
                <c:pt idx="17">
                  <c:v>170</c:v>
                </c:pt>
                <c:pt idx="18">
                  <c:v>180</c:v>
                </c:pt>
                <c:pt idx="19">
                  <c:v>190</c:v>
                </c:pt>
                <c:pt idx="20">
                  <c:v>200</c:v>
                </c:pt>
                <c:pt idx="21">
                  <c:v>210</c:v>
                </c:pt>
                <c:pt idx="22">
                  <c:v>220</c:v>
                </c:pt>
                <c:pt idx="23">
                  <c:v>230</c:v>
                </c:pt>
                <c:pt idx="24">
                  <c:v>240</c:v>
                </c:pt>
                <c:pt idx="25">
                  <c:v>250</c:v>
                </c:pt>
                <c:pt idx="26">
                  <c:v>260</c:v>
                </c:pt>
                <c:pt idx="27">
                  <c:v>270</c:v>
                </c:pt>
                <c:pt idx="28">
                  <c:v>280</c:v>
                </c:pt>
                <c:pt idx="29">
                  <c:v>290</c:v>
                </c:pt>
                <c:pt idx="30">
                  <c:v>300</c:v>
                </c:pt>
                <c:pt idx="31">
                  <c:v>310</c:v>
                </c:pt>
                <c:pt idx="32">
                  <c:v>320</c:v>
                </c:pt>
                <c:pt idx="33">
                  <c:v>330</c:v>
                </c:pt>
                <c:pt idx="34">
                  <c:v>340</c:v>
                </c:pt>
                <c:pt idx="35">
                  <c:v>350</c:v>
                </c:pt>
                <c:pt idx="36">
                  <c:v>360</c:v>
                </c:pt>
                <c:pt idx="37">
                  <c:v>370</c:v>
                </c:pt>
                <c:pt idx="38">
                  <c:v>380</c:v>
                </c:pt>
                <c:pt idx="39">
                  <c:v>390</c:v>
                </c:pt>
                <c:pt idx="40">
                  <c:v>400</c:v>
                </c:pt>
                <c:pt idx="41">
                  <c:v>410</c:v>
                </c:pt>
                <c:pt idx="42">
                  <c:v>420</c:v>
                </c:pt>
                <c:pt idx="43">
                  <c:v>430</c:v>
                </c:pt>
                <c:pt idx="44">
                  <c:v>440</c:v>
                </c:pt>
                <c:pt idx="45">
                  <c:v>450</c:v>
                </c:pt>
                <c:pt idx="46">
                  <c:v>460</c:v>
                </c:pt>
                <c:pt idx="47">
                  <c:v>470</c:v>
                </c:pt>
                <c:pt idx="48">
                  <c:v>480</c:v>
                </c:pt>
                <c:pt idx="49">
                  <c:v>490</c:v>
                </c:pt>
                <c:pt idx="50">
                  <c:v>500</c:v>
                </c:pt>
                <c:pt idx="51">
                  <c:v>510</c:v>
                </c:pt>
                <c:pt idx="52">
                  <c:v>520</c:v>
                </c:pt>
                <c:pt idx="53">
                  <c:v>530</c:v>
                </c:pt>
                <c:pt idx="54">
                  <c:v>540</c:v>
                </c:pt>
                <c:pt idx="55">
                  <c:v>550</c:v>
                </c:pt>
                <c:pt idx="56">
                  <c:v>560</c:v>
                </c:pt>
                <c:pt idx="57">
                  <c:v>570</c:v>
                </c:pt>
                <c:pt idx="58">
                  <c:v>580</c:v>
                </c:pt>
                <c:pt idx="59">
                  <c:v>590</c:v>
                </c:pt>
                <c:pt idx="60">
                  <c:v>600</c:v>
                </c:pt>
                <c:pt idx="61">
                  <c:v>610</c:v>
                </c:pt>
                <c:pt idx="62">
                  <c:v>620</c:v>
                </c:pt>
                <c:pt idx="63">
                  <c:v>630</c:v>
                </c:pt>
                <c:pt idx="64">
                  <c:v>640</c:v>
                </c:pt>
                <c:pt idx="65">
                  <c:v>650</c:v>
                </c:pt>
                <c:pt idx="66">
                  <c:v>660</c:v>
                </c:pt>
                <c:pt idx="67">
                  <c:v>670</c:v>
                </c:pt>
                <c:pt idx="68">
                  <c:v>680</c:v>
                </c:pt>
                <c:pt idx="69">
                  <c:v>690</c:v>
                </c:pt>
                <c:pt idx="70">
                  <c:v>700</c:v>
                </c:pt>
                <c:pt idx="71">
                  <c:v>710</c:v>
                </c:pt>
                <c:pt idx="72">
                  <c:v>720</c:v>
                </c:pt>
                <c:pt idx="73">
                  <c:v>730</c:v>
                </c:pt>
                <c:pt idx="74">
                  <c:v>740</c:v>
                </c:pt>
                <c:pt idx="75">
                  <c:v>750</c:v>
                </c:pt>
                <c:pt idx="76">
                  <c:v>760</c:v>
                </c:pt>
                <c:pt idx="77">
                  <c:v>770</c:v>
                </c:pt>
                <c:pt idx="78">
                  <c:v>780</c:v>
                </c:pt>
                <c:pt idx="79">
                  <c:v>790</c:v>
                </c:pt>
                <c:pt idx="80">
                  <c:v>800</c:v>
                </c:pt>
                <c:pt idx="81">
                  <c:v>810</c:v>
                </c:pt>
                <c:pt idx="82">
                  <c:v>820</c:v>
                </c:pt>
                <c:pt idx="83">
                  <c:v>830</c:v>
                </c:pt>
                <c:pt idx="84">
                  <c:v>840</c:v>
                </c:pt>
                <c:pt idx="85">
                  <c:v>850</c:v>
                </c:pt>
                <c:pt idx="86">
                  <c:v>860</c:v>
                </c:pt>
                <c:pt idx="87">
                  <c:v>870</c:v>
                </c:pt>
                <c:pt idx="88">
                  <c:v>880</c:v>
                </c:pt>
                <c:pt idx="89">
                  <c:v>890</c:v>
                </c:pt>
                <c:pt idx="90">
                  <c:v>900</c:v>
                </c:pt>
                <c:pt idx="91">
                  <c:v>910</c:v>
                </c:pt>
                <c:pt idx="92">
                  <c:v>920</c:v>
                </c:pt>
                <c:pt idx="93">
                  <c:v>930</c:v>
                </c:pt>
                <c:pt idx="94">
                  <c:v>940</c:v>
                </c:pt>
                <c:pt idx="95">
                  <c:v>950</c:v>
                </c:pt>
                <c:pt idx="96">
                  <c:v>960</c:v>
                </c:pt>
                <c:pt idx="97">
                  <c:v>970</c:v>
                </c:pt>
                <c:pt idx="98">
                  <c:v>980</c:v>
                </c:pt>
                <c:pt idx="99">
                  <c:v>990</c:v>
                </c:pt>
                <c:pt idx="100">
                  <c:v>1000</c:v>
                </c:pt>
              </c:numCache>
            </c:numRef>
          </c:cat>
          <c:val>
            <c:numRef>
              <c:f>'Calculations - Single'!$AN$110:$AN$210</c:f>
              <c:numCache>
                <c:formatCode>0.0</c:formatCode>
                <c:ptCount val="101"/>
                <c:pt idx="0">
                  <c:v>12</c:v>
                </c:pt>
                <c:pt idx="1">
                  <c:v>67.561825444038433</c:v>
                </c:pt>
                <c:pt idx="2">
                  <c:v>135.12365088807687</c:v>
                </c:pt>
                <c:pt idx="3">
                  <c:v>202.68547633211526</c:v>
                </c:pt>
                <c:pt idx="4">
                  <c:v>270.24730177615373</c:v>
                </c:pt>
                <c:pt idx="5">
                  <c:v>337.80912722019218</c:v>
                </c:pt>
                <c:pt idx="6">
                  <c:v>350</c:v>
                </c:pt>
                <c:pt idx="7">
                  <c:v>350</c:v>
                </c:pt>
                <c:pt idx="8">
                  <c:v>350</c:v>
                </c:pt>
                <c:pt idx="9">
                  <c:v>350</c:v>
                </c:pt>
                <c:pt idx="10">
                  <c:v>350</c:v>
                </c:pt>
                <c:pt idx="11">
                  <c:v>350</c:v>
                </c:pt>
                <c:pt idx="12">
                  <c:v>350</c:v>
                </c:pt>
                <c:pt idx="13">
                  <c:v>350</c:v>
                </c:pt>
                <c:pt idx="14">
                  <c:v>350</c:v>
                </c:pt>
                <c:pt idx="15">
                  <c:v>350</c:v>
                </c:pt>
                <c:pt idx="16">
                  <c:v>350</c:v>
                </c:pt>
                <c:pt idx="17">
                  <c:v>350</c:v>
                </c:pt>
                <c:pt idx="18">
                  <c:v>350</c:v>
                </c:pt>
                <c:pt idx="19">
                  <c:v>350</c:v>
                </c:pt>
                <c:pt idx="20">
                  <c:v>350</c:v>
                </c:pt>
                <c:pt idx="21">
                  <c:v>350</c:v>
                </c:pt>
                <c:pt idx="22">
                  <c:v>350</c:v>
                </c:pt>
                <c:pt idx="23">
                  <c:v>350</c:v>
                </c:pt>
                <c:pt idx="24">
                  <c:v>350</c:v>
                </c:pt>
                <c:pt idx="25">
                  <c:v>350</c:v>
                </c:pt>
                <c:pt idx="26">
                  <c:v>350</c:v>
                </c:pt>
                <c:pt idx="27">
                  <c:v>350</c:v>
                </c:pt>
                <c:pt idx="28">
                  <c:v>350</c:v>
                </c:pt>
                <c:pt idx="29">
                  <c:v>350</c:v>
                </c:pt>
                <c:pt idx="30">
                  <c:v>350</c:v>
                </c:pt>
                <c:pt idx="31">
                  <c:v>350</c:v>
                </c:pt>
                <c:pt idx="32">
                  <c:v>350</c:v>
                </c:pt>
                <c:pt idx="33">
                  <c:v>350</c:v>
                </c:pt>
                <c:pt idx="34">
                  <c:v>350</c:v>
                </c:pt>
                <c:pt idx="35">
                  <c:v>350</c:v>
                </c:pt>
                <c:pt idx="36">
                  <c:v>350</c:v>
                </c:pt>
                <c:pt idx="37">
                  <c:v>350</c:v>
                </c:pt>
                <c:pt idx="38">
                  <c:v>350</c:v>
                </c:pt>
                <c:pt idx="39">
                  <c:v>350</c:v>
                </c:pt>
                <c:pt idx="40">
                  <c:v>350</c:v>
                </c:pt>
                <c:pt idx="41">
                  <c:v>350</c:v>
                </c:pt>
                <c:pt idx="42">
                  <c:v>350</c:v>
                </c:pt>
                <c:pt idx="43">
                  <c:v>350</c:v>
                </c:pt>
                <c:pt idx="44">
                  <c:v>350</c:v>
                </c:pt>
                <c:pt idx="45">
                  <c:v>350</c:v>
                </c:pt>
                <c:pt idx="46">
                  <c:v>350</c:v>
                </c:pt>
                <c:pt idx="47">
                  <c:v>350</c:v>
                </c:pt>
                <c:pt idx="48">
                  <c:v>350</c:v>
                </c:pt>
                <c:pt idx="49">
                  <c:v>350</c:v>
                </c:pt>
                <c:pt idx="50">
                  <c:v>350</c:v>
                </c:pt>
                <c:pt idx="51">
                  <c:v>350</c:v>
                </c:pt>
                <c:pt idx="52">
                  <c:v>350</c:v>
                </c:pt>
                <c:pt idx="53">
                  <c:v>350</c:v>
                </c:pt>
                <c:pt idx="54">
                  <c:v>350</c:v>
                </c:pt>
                <c:pt idx="55">
                  <c:v>350</c:v>
                </c:pt>
                <c:pt idx="56">
                  <c:v>350</c:v>
                </c:pt>
                <c:pt idx="57">
                  <c:v>350</c:v>
                </c:pt>
                <c:pt idx="58">
                  <c:v>350</c:v>
                </c:pt>
                <c:pt idx="59">
                  <c:v>350</c:v>
                </c:pt>
                <c:pt idx="60">
                  <c:v>350</c:v>
                </c:pt>
                <c:pt idx="61">
                  <c:v>350</c:v>
                </c:pt>
                <c:pt idx="62">
                  <c:v>350</c:v>
                </c:pt>
                <c:pt idx="63">
                  <c:v>350</c:v>
                </c:pt>
                <c:pt idx="64">
                  <c:v>350</c:v>
                </c:pt>
                <c:pt idx="65">
                  <c:v>350</c:v>
                </c:pt>
                <c:pt idx="66">
                  <c:v>350</c:v>
                </c:pt>
                <c:pt idx="67">
                  <c:v>350</c:v>
                </c:pt>
                <c:pt idx="68">
                  <c:v>350</c:v>
                </c:pt>
                <c:pt idx="69">
                  <c:v>350</c:v>
                </c:pt>
                <c:pt idx="70">
                  <c:v>350</c:v>
                </c:pt>
                <c:pt idx="71">
                  <c:v>350</c:v>
                </c:pt>
                <c:pt idx="72">
                  <c:v>350</c:v>
                </c:pt>
                <c:pt idx="73">
                  <c:v>350</c:v>
                </c:pt>
                <c:pt idx="74">
                  <c:v>350</c:v>
                </c:pt>
                <c:pt idx="75">
                  <c:v>350</c:v>
                </c:pt>
                <c:pt idx="76">
                  <c:v>350</c:v>
                </c:pt>
                <c:pt idx="77">
                  <c:v>350</c:v>
                </c:pt>
                <c:pt idx="78">
                  <c:v>350</c:v>
                </c:pt>
                <c:pt idx="79">
                  <c:v>350</c:v>
                </c:pt>
                <c:pt idx="80">
                  <c:v>350</c:v>
                </c:pt>
                <c:pt idx="81">
                  <c:v>350</c:v>
                </c:pt>
                <c:pt idx="82">
                  <c:v>350</c:v>
                </c:pt>
                <c:pt idx="83">
                  <c:v>347.36587949710048</c:v>
                </c:pt>
                <c:pt idx="84">
                  <c:v>343.2305714078492</c:v>
                </c:pt>
                <c:pt idx="85">
                  <c:v>339.19256468540385</c:v>
                </c:pt>
                <c:pt idx="86">
                  <c:v>335.24846509603867</c:v>
                </c:pt>
                <c:pt idx="87">
                  <c:v>331.39503446275091</c:v>
                </c:pt>
                <c:pt idx="88">
                  <c:v>327.62918179840148</c:v>
                </c:pt>
                <c:pt idx="89">
                  <c:v>323.94795503662169</c:v>
                </c:pt>
                <c:pt idx="90">
                  <c:v>320.34853331399262</c:v>
                </c:pt>
                <c:pt idx="91">
                  <c:v>316.82821976109153</c:v>
                </c:pt>
                <c:pt idx="92">
                  <c:v>313.38443476368838</c:v>
                </c:pt>
                <c:pt idx="93">
                  <c:v>310.01470965870249</c:v>
                </c:pt>
                <c:pt idx="94">
                  <c:v>306.7166808325461</c:v>
                </c:pt>
                <c:pt idx="95">
                  <c:v>303.48808419220353</c:v>
                </c:pt>
                <c:pt idx="96">
                  <c:v>300.32674998186809</c:v>
                </c:pt>
                <c:pt idx="97">
                  <c:v>297.23059792019933</c:v>
                </c:pt>
                <c:pt idx="98">
                  <c:v>294.19763263529933</c:v>
                </c:pt>
                <c:pt idx="99">
                  <c:v>291.22593937635691</c:v>
                </c:pt>
                <c:pt idx="100">
                  <c:v>288.31367998259327</c:v>
                </c:pt>
              </c:numCache>
            </c:numRef>
          </c:val>
          <c:smooth val="0"/>
          <c:extLst>
            <c:ext xmlns:c16="http://schemas.microsoft.com/office/drawing/2014/chart" uri="{C3380CC4-5D6E-409C-BE32-E72D297353CC}">
              <c16:uniqueId val="{00000000-2ED8-4776-BDF1-9199207D88A2}"/>
            </c:ext>
          </c:extLst>
        </c:ser>
        <c:ser>
          <c:idx val="0"/>
          <c:order val="1"/>
          <c:tx>
            <c:v>VIN-nom</c:v>
          </c:tx>
          <c:spPr>
            <a:ln w="28575">
              <a:solidFill>
                <a:srgbClr val="0000FF"/>
              </a:solidFill>
              <a:prstDash val="lgDash"/>
            </a:ln>
          </c:spPr>
          <c:marker>
            <c:symbol val="none"/>
          </c:marker>
          <c:cat>
            <c:numRef>
              <c:f>'Calculations - Single'!$AM$5:$AM$105</c:f>
              <c:numCache>
                <c:formatCode>0</c:formatCode>
                <c:ptCount val="101"/>
                <c:pt idx="0">
                  <c:v>1.0000000000000002E-6</c:v>
                </c:pt>
                <c:pt idx="1">
                  <c:v>10</c:v>
                </c:pt>
                <c:pt idx="2">
                  <c:v>20</c:v>
                </c:pt>
                <c:pt idx="3">
                  <c:v>30</c:v>
                </c:pt>
                <c:pt idx="4">
                  <c:v>40</c:v>
                </c:pt>
                <c:pt idx="5">
                  <c:v>50</c:v>
                </c:pt>
                <c:pt idx="6">
                  <c:v>60</c:v>
                </c:pt>
                <c:pt idx="7">
                  <c:v>70</c:v>
                </c:pt>
                <c:pt idx="8">
                  <c:v>80</c:v>
                </c:pt>
                <c:pt idx="9">
                  <c:v>90</c:v>
                </c:pt>
                <c:pt idx="10">
                  <c:v>100</c:v>
                </c:pt>
                <c:pt idx="11">
                  <c:v>110</c:v>
                </c:pt>
                <c:pt idx="12">
                  <c:v>120</c:v>
                </c:pt>
                <c:pt idx="13">
                  <c:v>130</c:v>
                </c:pt>
                <c:pt idx="14">
                  <c:v>140</c:v>
                </c:pt>
                <c:pt idx="15">
                  <c:v>150</c:v>
                </c:pt>
                <c:pt idx="16">
                  <c:v>160</c:v>
                </c:pt>
                <c:pt idx="17">
                  <c:v>170</c:v>
                </c:pt>
                <c:pt idx="18">
                  <c:v>180</c:v>
                </c:pt>
                <c:pt idx="19">
                  <c:v>190</c:v>
                </c:pt>
                <c:pt idx="20">
                  <c:v>200</c:v>
                </c:pt>
                <c:pt idx="21">
                  <c:v>210</c:v>
                </c:pt>
                <c:pt idx="22">
                  <c:v>220</c:v>
                </c:pt>
                <c:pt idx="23">
                  <c:v>230</c:v>
                </c:pt>
                <c:pt idx="24">
                  <c:v>240</c:v>
                </c:pt>
                <c:pt idx="25">
                  <c:v>250</c:v>
                </c:pt>
                <c:pt idx="26">
                  <c:v>260</c:v>
                </c:pt>
                <c:pt idx="27">
                  <c:v>270</c:v>
                </c:pt>
                <c:pt idx="28">
                  <c:v>280</c:v>
                </c:pt>
                <c:pt idx="29">
                  <c:v>290</c:v>
                </c:pt>
                <c:pt idx="30">
                  <c:v>300</c:v>
                </c:pt>
                <c:pt idx="31">
                  <c:v>310</c:v>
                </c:pt>
                <c:pt idx="32">
                  <c:v>320</c:v>
                </c:pt>
                <c:pt idx="33">
                  <c:v>330</c:v>
                </c:pt>
                <c:pt idx="34">
                  <c:v>340</c:v>
                </c:pt>
                <c:pt idx="35">
                  <c:v>350</c:v>
                </c:pt>
                <c:pt idx="36">
                  <c:v>360</c:v>
                </c:pt>
                <c:pt idx="37">
                  <c:v>370</c:v>
                </c:pt>
                <c:pt idx="38">
                  <c:v>380</c:v>
                </c:pt>
                <c:pt idx="39">
                  <c:v>390</c:v>
                </c:pt>
                <c:pt idx="40">
                  <c:v>400</c:v>
                </c:pt>
                <c:pt idx="41">
                  <c:v>410</c:v>
                </c:pt>
                <c:pt idx="42">
                  <c:v>420</c:v>
                </c:pt>
                <c:pt idx="43">
                  <c:v>430</c:v>
                </c:pt>
                <c:pt idx="44">
                  <c:v>440</c:v>
                </c:pt>
                <c:pt idx="45">
                  <c:v>450</c:v>
                </c:pt>
                <c:pt idx="46">
                  <c:v>460</c:v>
                </c:pt>
                <c:pt idx="47">
                  <c:v>470</c:v>
                </c:pt>
                <c:pt idx="48">
                  <c:v>480</c:v>
                </c:pt>
                <c:pt idx="49">
                  <c:v>490</c:v>
                </c:pt>
                <c:pt idx="50">
                  <c:v>500</c:v>
                </c:pt>
                <c:pt idx="51">
                  <c:v>510</c:v>
                </c:pt>
                <c:pt idx="52">
                  <c:v>520</c:v>
                </c:pt>
                <c:pt idx="53">
                  <c:v>530</c:v>
                </c:pt>
                <c:pt idx="54">
                  <c:v>540</c:v>
                </c:pt>
                <c:pt idx="55">
                  <c:v>550</c:v>
                </c:pt>
                <c:pt idx="56">
                  <c:v>560</c:v>
                </c:pt>
                <c:pt idx="57">
                  <c:v>570</c:v>
                </c:pt>
                <c:pt idx="58">
                  <c:v>580</c:v>
                </c:pt>
                <c:pt idx="59">
                  <c:v>590</c:v>
                </c:pt>
                <c:pt idx="60">
                  <c:v>600</c:v>
                </c:pt>
                <c:pt idx="61">
                  <c:v>610</c:v>
                </c:pt>
                <c:pt idx="62">
                  <c:v>620</c:v>
                </c:pt>
                <c:pt idx="63">
                  <c:v>630</c:v>
                </c:pt>
                <c:pt idx="64">
                  <c:v>640</c:v>
                </c:pt>
                <c:pt idx="65">
                  <c:v>650</c:v>
                </c:pt>
                <c:pt idx="66">
                  <c:v>660</c:v>
                </c:pt>
                <c:pt idx="67">
                  <c:v>670</c:v>
                </c:pt>
                <c:pt idx="68">
                  <c:v>680</c:v>
                </c:pt>
                <c:pt idx="69">
                  <c:v>690</c:v>
                </c:pt>
                <c:pt idx="70">
                  <c:v>700</c:v>
                </c:pt>
                <c:pt idx="71">
                  <c:v>710</c:v>
                </c:pt>
                <c:pt idx="72">
                  <c:v>720</c:v>
                </c:pt>
                <c:pt idx="73">
                  <c:v>730</c:v>
                </c:pt>
                <c:pt idx="74">
                  <c:v>740</c:v>
                </c:pt>
                <c:pt idx="75">
                  <c:v>750</c:v>
                </c:pt>
                <c:pt idx="76">
                  <c:v>760</c:v>
                </c:pt>
                <c:pt idx="77">
                  <c:v>770</c:v>
                </c:pt>
                <c:pt idx="78">
                  <c:v>780</c:v>
                </c:pt>
                <c:pt idx="79">
                  <c:v>790</c:v>
                </c:pt>
                <c:pt idx="80">
                  <c:v>800</c:v>
                </c:pt>
                <c:pt idx="81">
                  <c:v>810</c:v>
                </c:pt>
                <c:pt idx="82">
                  <c:v>820</c:v>
                </c:pt>
                <c:pt idx="83">
                  <c:v>830</c:v>
                </c:pt>
                <c:pt idx="84">
                  <c:v>840</c:v>
                </c:pt>
                <c:pt idx="85">
                  <c:v>850</c:v>
                </c:pt>
                <c:pt idx="86">
                  <c:v>860</c:v>
                </c:pt>
                <c:pt idx="87">
                  <c:v>870</c:v>
                </c:pt>
                <c:pt idx="88">
                  <c:v>880</c:v>
                </c:pt>
                <c:pt idx="89">
                  <c:v>890</c:v>
                </c:pt>
                <c:pt idx="90">
                  <c:v>900</c:v>
                </c:pt>
                <c:pt idx="91">
                  <c:v>910</c:v>
                </c:pt>
                <c:pt idx="92">
                  <c:v>920</c:v>
                </c:pt>
                <c:pt idx="93">
                  <c:v>930</c:v>
                </c:pt>
                <c:pt idx="94">
                  <c:v>940</c:v>
                </c:pt>
                <c:pt idx="95">
                  <c:v>950</c:v>
                </c:pt>
                <c:pt idx="96">
                  <c:v>960</c:v>
                </c:pt>
                <c:pt idx="97">
                  <c:v>970</c:v>
                </c:pt>
                <c:pt idx="98">
                  <c:v>980</c:v>
                </c:pt>
                <c:pt idx="99">
                  <c:v>990</c:v>
                </c:pt>
                <c:pt idx="100">
                  <c:v>1000</c:v>
                </c:pt>
              </c:numCache>
            </c:numRef>
          </c:cat>
          <c:val>
            <c:numRef>
              <c:f>'Calculations - Single'!$AN$5:$AN$105</c:f>
              <c:numCache>
                <c:formatCode>0.0</c:formatCode>
                <c:ptCount val="101"/>
                <c:pt idx="0">
                  <c:v>12</c:v>
                </c:pt>
                <c:pt idx="1">
                  <c:v>67.561825444038433</c:v>
                </c:pt>
                <c:pt idx="2">
                  <c:v>135.12365088807687</c:v>
                </c:pt>
                <c:pt idx="3">
                  <c:v>202.68547633211526</c:v>
                </c:pt>
                <c:pt idx="4">
                  <c:v>270.24730177615373</c:v>
                </c:pt>
                <c:pt idx="5">
                  <c:v>337.80912722019218</c:v>
                </c:pt>
                <c:pt idx="6">
                  <c:v>350</c:v>
                </c:pt>
                <c:pt idx="7">
                  <c:v>350</c:v>
                </c:pt>
                <c:pt idx="8">
                  <c:v>350</c:v>
                </c:pt>
                <c:pt idx="9">
                  <c:v>350</c:v>
                </c:pt>
                <c:pt idx="10">
                  <c:v>350</c:v>
                </c:pt>
                <c:pt idx="11">
                  <c:v>350</c:v>
                </c:pt>
                <c:pt idx="12">
                  <c:v>350</c:v>
                </c:pt>
                <c:pt idx="13">
                  <c:v>350</c:v>
                </c:pt>
                <c:pt idx="14">
                  <c:v>350</c:v>
                </c:pt>
                <c:pt idx="15">
                  <c:v>350</c:v>
                </c:pt>
                <c:pt idx="16">
                  <c:v>350</c:v>
                </c:pt>
                <c:pt idx="17">
                  <c:v>350</c:v>
                </c:pt>
                <c:pt idx="18">
                  <c:v>350</c:v>
                </c:pt>
                <c:pt idx="19">
                  <c:v>350</c:v>
                </c:pt>
                <c:pt idx="20">
                  <c:v>350</c:v>
                </c:pt>
                <c:pt idx="21">
                  <c:v>350</c:v>
                </c:pt>
                <c:pt idx="22">
                  <c:v>350</c:v>
                </c:pt>
                <c:pt idx="23">
                  <c:v>350</c:v>
                </c:pt>
                <c:pt idx="24">
                  <c:v>350</c:v>
                </c:pt>
                <c:pt idx="25">
                  <c:v>350</c:v>
                </c:pt>
                <c:pt idx="26">
                  <c:v>350</c:v>
                </c:pt>
                <c:pt idx="27">
                  <c:v>350</c:v>
                </c:pt>
                <c:pt idx="28">
                  <c:v>350</c:v>
                </c:pt>
                <c:pt idx="29">
                  <c:v>350</c:v>
                </c:pt>
                <c:pt idx="30">
                  <c:v>350</c:v>
                </c:pt>
                <c:pt idx="31">
                  <c:v>350</c:v>
                </c:pt>
                <c:pt idx="32">
                  <c:v>350</c:v>
                </c:pt>
                <c:pt idx="33">
                  <c:v>350</c:v>
                </c:pt>
                <c:pt idx="34">
                  <c:v>350</c:v>
                </c:pt>
                <c:pt idx="35">
                  <c:v>350</c:v>
                </c:pt>
                <c:pt idx="36">
                  <c:v>350</c:v>
                </c:pt>
                <c:pt idx="37">
                  <c:v>350</c:v>
                </c:pt>
                <c:pt idx="38">
                  <c:v>350</c:v>
                </c:pt>
                <c:pt idx="39">
                  <c:v>350</c:v>
                </c:pt>
                <c:pt idx="40">
                  <c:v>350</c:v>
                </c:pt>
                <c:pt idx="41">
                  <c:v>350</c:v>
                </c:pt>
                <c:pt idx="42">
                  <c:v>350</c:v>
                </c:pt>
                <c:pt idx="43">
                  <c:v>350</c:v>
                </c:pt>
                <c:pt idx="44">
                  <c:v>350</c:v>
                </c:pt>
                <c:pt idx="45">
                  <c:v>350</c:v>
                </c:pt>
                <c:pt idx="46">
                  <c:v>350</c:v>
                </c:pt>
                <c:pt idx="47">
                  <c:v>350</c:v>
                </c:pt>
                <c:pt idx="48">
                  <c:v>350</c:v>
                </c:pt>
                <c:pt idx="49">
                  <c:v>350</c:v>
                </c:pt>
                <c:pt idx="50">
                  <c:v>350</c:v>
                </c:pt>
                <c:pt idx="51">
                  <c:v>350</c:v>
                </c:pt>
                <c:pt idx="52">
                  <c:v>350</c:v>
                </c:pt>
                <c:pt idx="53">
                  <c:v>350</c:v>
                </c:pt>
                <c:pt idx="54">
                  <c:v>350</c:v>
                </c:pt>
                <c:pt idx="55">
                  <c:v>350</c:v>
                </c:pt>
                <c:pt idx="56">
                  <c:v>350</c:v>
                </c:pt>
                <c:pt idx="57">
                  <c:v>350</c:v>
                </c:pt>
                <c:pt idx="58">
                  <c:v>350</c:v>
                </c:pt>
                <c:pt idx="59">
                  <c:v>350</c:v>
                </c:pt>
                <c:pt idx="60">
                  <c:v>350</c:v>
                </c:pt>
                <c:pt idx="61">
                  <c:v>350</c:v>
                </c:pt>
                <c:pt idx="62">
                  <c:v>350</c:v>
                </c:pt>
                <c:pt idx="63">
                  <c:v>350</c:v>
                </c:pt>
                <c:pt idx="64">
                  <c:v>350</c:v>
                </c:pt>
                <c:pt idx="65">
                  <c:v>350</c:v>
                </c:pt>
                <c:pt idx="66">
                  <c:v>350</c:v>
                </c:pt>
                <c:pt idx="67">
                  <c:v>350</c:v>
                </c:pt>
                <c:pt idx="68">
                  <c:v>350</c:v>
                </c:pt>
                <c:pt idx="69">
                  <c:v>350</c:v>
                </c:pt>
                <c:pt idx="70">
                  <c:v>350</c:v>
                </c:pt>
                <c:pt idx="71">
                  <c:v>350</c:v>
                </c:pt>
                <c:pt idx="72">
                  <c:v>350</c:v>
                </c:pt>
                <c:pt idx="73">
                  <c:v>350</c:v>
                </c:pt>
                <c:pt idx="74">
                  <c:v>350</c:v>
                </c:pt>
                <c:pt idx="75">
                  <c:v>350</c:v>
                </c:pt>
                <c:pt idx="76">
                  <c:v>350</c:v>
                </c:pt>
                <c:pt idx="77">
                  <c:v>350</c:v>
                </c:pt>
                <c:pt idx="78">
                  <c:v>350</c:v>
                </c:pt>
                <c:pt idx="79">
                  <c:v>350</c:v>
                </c:pt>
                <c:pt idx="80">
                  <c:v>350</c:v>
                </c:pt>
                <c:pt idx="81">
                  <c:v>350</c:v>
                </c:pt>
                <c:pt idx="82">
                  <c:v>350</c:v>
                </c:pt>
                <c:pt idx="83">
                  <c:v>350</c:v>
                </c:pt>
                <c:pt idx="84">
                  <c:v>350</c:v>
                </c:pt>
                <c:pt idx="85">
                  <c:v>350</c:v>
                </c:pt>
                <c:pt idx="86">
                  <c:v>350</c:v>
                </c:pt>
                <c:pt idx="87">
                  <c:v>350</c:v>
                </c:pt>
                <c:pt idx="88">
                  <c:v>350</c:v>
                </c:pt>
                <c:pt idx="89">
                  <c:v>350</c:v>
                </c:pt>
                <c:pt idx="90">
                  <c:v>350</c:v>
                </c:pt>
                <c:pt idx="91">
                  <c:v>350</c:v>
                </c:pt>
                <c:pt idx="92">
                  <c:v>350</c:v>
                </c:pt>
                <c:pt idx="93">
                  <c:v>350</c:v>
                </c:pt>
                <c:pt idx="94">
                  <c:v>350</c:v>
                </c:pt>
                <c:pt idx="95">
                  <c:v>350</c:v>
                </c:pt>
                <c:pt idx="96">
                  <c:v>350</c:v>
                </c:pt>
                <c:pt idx="97">
                  <c:v>350</c:v>
                </c:pt>
                <c:pt idx="98">
                  <c:v>350</c:v>
                </c:pt>
                <c:pt idx="99">
                  <c:v>350</c:v>
                </c:pt>
                <c:pt idx="100">
                  <c:v>350</c:v>
                </c:pt>
              </c:numCache>
            </c:numRef>
          </c:val>
          <c:smooth val="0"/>
          <c:extLst>
            <c:ext xmlns:c16="http://schemas.microsoft.com/office/drawing/2014/chart" uri="{C3380CC4-5D6E-409C-BE32-E72D297353CC}">
              <c16:uniqueId val="{00000001-2ED8-4776-BDF1-9199207D88A2}"/>
            </c:ext>
          </c:extLst>
        </c:ser>
        <c:ser>
          <c:idx val="2"/>
          <c:order val="2"/>
          <c:tx>
            <c:v>VIN-max</c:v>
          </c:tx>
          <c:spPr>
            <a:ln>
              <a:solidFill>
                <a:srgbClr val="FF0000"/>
              </a:solidFill>
              <a:prstDash val="solid"/>
            </a:ln>
          </c:spPr>
          <c:marker>
            <c:symbol val="none"/>
          </c:marker>
          <c:cat>
            <c:numRef>
              <c:f>'Calculations - Single'!$AM$5:$AM$105</c:f>
              <c:numCache>
                <c:formatCode>0</c:formatCode>
                <c:ptCount val="101"/>
                <c:pt idx="0">
                  <c:v>1.0000000000000002E-6</c:v>
                </c:pt>
                <c:pt idx="1">
                  <c:v>10</c:v>
                </c:pt>
                <c:pt idx="2">
                  <c:v>20</c:v>
                </c:pt>
                <c:pt idx="3">
                  <c:v>30</c:v>
                </c:pt>
                <c:pt idx="4">
                  <c:v>40</c:v>
                </c:pt>
                <c:pt idx="5">
                  <c:v>50</c:v>
                </c:pt>
                <c:pt idx="6">
                  <c:v>60</c:v>
                </c:pt>
                <c:pt idx="7">
                  <c:v>70</c:v>
                </c:pt>
                <c:pt idx="8">
                  <c:v>80</c:v>
                </c:pt>
                <c:pt idx="9">
                  <c:v>90</c:v>
                </c:pt>
                <c:pt idx="10">
                  <c:v>100</c:v>
                </c:pt>
                <c:pt idx="11">
                  <c:v>110</c:v>
                </c:pt>
                <c:pt idx="12">
                  <c:v>120</c:v>
                </c:pt>
                <c:pt idx="13">
                  <c:v>130</c:v>
                </c:pt>
                <c:pt idx="14">
                  <c:v>140</c:v>
                </c:pt>
                <c:pt idx="15">
                  <c:v>150</c:v>
                </c:pt>
                <c:pt idx="16">
                  <c:v>160</c:v>
                </c:pt>
                <c:pt idx="17">
                  <c:v>170</c:v>
                </c:pt>
                <c:pt idx="18">
                  <c:v>180</c:v>
                </c:pt>
                <c:pt idx="19">
                  <c:v>190</c:v>
                </c:pt>
                <c:pt idx="20">
                  <c:v>200</c:v>
                </c:pt>
                <c:pt idx="21">
                  <c:v>210</c:v>
                </c:pt>
                <c:pt idx="22">
                  <c:v>220</c:v>
                </c:pt>
                <c:pt idx="23">
                  <c:v>230</c:v>
                </c:pt>
                <c:pt idx="24">
                  <c:v>240</c:v>
                </c:pt>
                <c:pt idx="25">
                  <c:v>250</c:v>
                </c:pt>
                <c:pt idx="26">
                  <c:v>260</c:v>
                </c:pt>
                <c:pt idx="27">
                  <c:v>270</c:v>
                </c:pt>
                <c:pt idx="28">
                  <c:v>280</c:v>
                </c:pt>
                <c:pt idx="29">
                  <c:v>290</c:v>
                </c:pt>
                <c:pt idx="30">
                  <c:v>300</c:v>
                </c:pt>
                <c:pt idx="31">
                  <c:v>310</c:v>
                </c:pt>
                <c:pt idx="32">
                  <c:v>320</c:v>
                </c:pt>
                <c:pt idx="33">
                  <c:v>330</c:v>
                </c:pt>
                <c:pt idx="34">
                  <c:v>340</c:v>
                </c:pt>
                <c:pt idx="35">
                  <c:v>350</c:v>
                </c:pt>
                <c:pt idx="36">
                  <c:v>360</c:v>
                </c:pt>
                <c:pt idx="37">
                  <c:v>370</c:v>
                </c:pt>
                <c:pt idx="38">
                  <c:v>380</c:v>
                </c:pt>
                <c:pt idx="39">
                  <c:v>390</c:v>
                </c:pt>
                <c:pt idx="40">
                  <c:v>400</c:v>
                </c:pt>
                <c:pt idx="41">
                  <c:v>410</c:v>
                </c:pt>
                <c:pt idx="42">
                  <c:v>420</c:v>
                </c:pt>
                <c:pt idx="43">
                  <c:v>430</c:v>
                </c:pt>
                <c:pt idx="44">
                  <c:v>440</c:v>
                </c:pt>
                <c:pt idx="45">
                  <c:v>450</c:v>
                </c:pt>
                <c:pt idx="46">
                  <c:v>460</c:v>
                </c:pt>
                <c:pt idx="47">
                  <c:v>470</c:v>
                </c:pt>
                <c:pt idx="48">
                  <c:v>480</c:v>
                </c:pt>
                <c:pt idx="49">
                  <c:v>490</c:v>
                </c:pt>
                <c:pt idx="50">
                  <c:v>500</c:v>
                </c:pt>
                <c:pt idx="51">
                  <c:v>510</c:v>
                </c:pt>
                <c:pt idx="52">
                  <c:v>520</c:v>
                </c:pt>
                <c:pt idx="53">
                  <c:v>530</c:v>
                </c:pt>
                <c:pt idx="54">
                  <c:v>540</c:v>
                </c:pt>
                <c:pt idx="55">
                  <c:v>550</c:v>
                </c:pt>
                <c:pt idx="56">
                  <c:v>560</c:v>
                </c:pt>
                <c:pt idx="57">
                  <c:v>570</c:v>
                </c:pt>
                <c:pt idx="58">
                  <c:v>580</c:v>
                </c:pt>
                <c:pt idx="59">
                  <c:v>590</c:v>
                </c:pt>
                <c:pt idx="60">
                  <c:v>600</c:v>
                </c:pt>
                <c:pt idx="61">
                  <c:v>610</c:v>
                </c:pt>
                <c:pt idx="62">
                  <c:v>620</c:v>
                </c:pt>
                <c:pt idx="63">
                  <c:v>630</c:v>
                </c:pt>
                <c:pt idx="64">
                  <c:v>640</c:v>
                </c:pt>
                <c:pt idx="65">
                  <c:v>650</c:v>
                </c:pt>
                <c:pt idx="66">
                  <c:v>660</c:v>
                </c:pt>
                <c:pt idx="67">
                  <c:v>670</c:v>
                </c:pt>
                <c:pt idx="68">
                  <c:v>680</c:v>
                </c:pt>
                <c:pt idx="69">
                  <c:v>690</c:v>
                </c:pt>
                <c:pt idx="70">
                  <c:v>700</c:v>
                </c:pt>
                <c:pt idx="71">
                  <c:v>710</c:v>
                </c:pt>
                <c:pt idx="72">
                  <c:v>720</c:v>
                </c:pt>
                <c:pt idx="73">
                  <c:v>730</c:v>
                </c:pt>
                <c:pt idx="74">
                  <c:v>740</c:v>
                </c:pt>
                <c:pt idx="75">
                  <c:v>750</c:v>
                </c:pt>
                <c:pt idx="76">
                  <c:v>760</c:v>
                </c:pt>
                <c:pt idx="77">
                  <c:v>770</c:v>
                </c:pt>
                <c:pt idx="78">
                  <c:v>780</c:v>
                </c:pt>
                <c:pt idx="79">
                  <c:v>790</c:v>
                </c:pt>
                <c:pt idx="80">
                  <c:v>800</c:v>
                </c:pt>
                <c:pt idx="81">
                  <c:v>810</c:v>
                </c:pt>
                <c:pt idx="82">
                  <c:v>820</c:v>
                </c:pt>
                <c:pt idx="83">
                  <c:v>830</c:v>
                </c:pt>
                <c:pt idx="84">
                  <c:v>840</c:v>
                </c:pt>
                <c:pt idx="85">
                  <c:v>850</c:v>
                </c:pt>
                <c:pt idx="86">
                  <c:v>860</c:v>
                </c:pt>
                <c:pt idx="87">
                  <c:v>870</c:v>
                </c:pt>
                <c:pt idx="88">
                  <c:v>880</c:v>
                </c:pt>
                <c:pt idx="89">
                  <c:v>890</c:v>
                </c:pt>
                <c:pt idx="90">
                  <c:v>900</c:v>
                </c:pt>
                <c:pt idx="91">
                  <c:v>910</c:v>
                </c:pt>
                <c:pt idx="92">
                  <c:v>920</c:v>
                </c:pt>
                <c:pt idx="93">
                  <c:v>930</c:v>
                </c:pt>
                <c:pt idx="94">
                  <c:v>940</c:v>
                </c:pt>
                <c:pt idx="95">
                  <c:v>950</c:v>
                </c:pt>
                <c:pt idx="96">
                  <c:v>960</c:v>
                </c:pt>
                <c:pt idx="97">
                  <c:v>970</c:v>
                </c:pt>
                <c:pt idx="98">
                  <c:v>980</c:v>
                </c:pt>
                <c:pt idx="99">
                  <c:v>990</c:v>
                </c:pt>
                <c:pt idx="100">
                  <c:v>1000</c:v>
                </c:pt>
              </c:numCache>
            </c:numRef>
          </c:cat>
          <c:val>
            <c:numRef>
              <c:f>'Calculations - Single'!$AN$217:$AN$317</c:f>
              <c:numCache>
                <c:formatCode>0.0</c:formatCode>
                <c:ptCount val="101"/>
                <c:pt idx="0">
                  <c:v>12</c:v>
                </c:pt>
                <c:pt idx="1">
                  <c:v>67.561825444038433</c:v>
                </c:pt>
                <c:pt idx="2">
                  <c:v>135.12365088807687</c:v>
                </c:pt>
                <c:pt idx="3">
                  <c:v>202.68547633211526</c:v>
                </c:pt>
                <c:pt idx="4">
                  <c:v>270.24730177615373</c:v>
                </c:pt>
                <c:pt idx="5">
                  <c:v>337.80912722019218</c:v>
                </c:pt>
                <c:pt idx="6">
                  <c:v>350</c:v>
                </c:pt>
                <c:pt idx="7">
                  <c:v>350</c:v>
                </c:pt>
                <c:pt idx="8">
                  <c:v>350</c:v>
                </c:pt>
                <c:pt idx="9">
                  <c:v>350</c:v>
                </c:pt>
                <c:pt idx="10">
                  <c:v>350</c:v>
                </c:pt>
                <c:pt idx="11">
                  <c:v>350</c:v>
                </c:pt>
                <c:pt idx="12">
                  <c:v>350</c:v>
                </c:pt>
                <c:pt idx="13">
                  <c:v>350</c:v>
                </c:pt>
                <c:pt idx="14">
                  <c:v>350</c:v>
                </c:pt>
                <c:pt idx="15">
                  <c:v>350</c:v>
                </c:pt>
                <c:pt idx="16">
                  <c:v>350</c:v>
                </c:pt>
                <c:pt idx="17">
                  <c:v>350</c:v>
                </c:pt>
                <c:pt idx="18">
                  <c:v>350</c:v>
                </c:pt>
                <c:pt idx="19">
                  <c:v>350</c:v>
                </c:pt>
                <c:pt idx="20">
                  <c:v>350</c:v>
                </c:pt>
                <c:pt idx="21">
                  <c:v>350</c:v>
                </c:pt>
                <c:pt idx="22">
                  <c:v>350</c:v>
                </c:pt>
                <c:pt idx="23">
                  <c:v>350</c:v>
                </c:pt>
                <c:pt idx="24">
                  <c:v>350</c:v>
                </c:pt>
                <c:pt idx="25">
                  <c:v>350</c:v>
                </c:pt>
                <c:pt idx="26">
                  <c:v>350</c:v>
                </c:pt>
                <c:pt idx="27">
                  <c:v>350</c:v>
                </c:pt>
                <c:pt idx="28">
                  <c:v>350</c:v>
                </c:pt>
                <c:pt idx="29">
                  <c:v>350</c:v>
                </c:pt>
                <c:pt idx="30">
                  <c:v>350</c:v>
                </c:pt>
                <c:pt idx="31">
                  <c:v>350</c:v>
                </c:pt>
                <c:pt idx="32">
                  <c:v>350</c:v>
                </c:pt>
                <c:pt idx="33">
                  <c:v>350</c:v>
                </c:pt>
                <c:pt idx="34">
                  <c:v>350</c:v>
                </c:pt>
                <c:pt idx="35">
                  <c:v>350</c:v>
                </c:pt>
                <c:pt idx="36">
                  <c:v>350</c:v>
                </c:pt>
                <c:pt idx="37">
                  <c:v>350</c:v>
                </c:pt>
                <c:pt idx="38">
                  <c:v>350</c:v>
                </c:pt>
                <c:pt idx="39">
                  <c:v>350</c:v>
                </c:pt>
                <c:pt idx="40">
                  <c:v>350</c:v>
                </c:pt>
                <c:pt idx="41">
                  <c:v>350</c:v>
                </c:pt>
                <c:pt idx="42">
                  <c:v>350</c:v>
                </c:pt>
                <c:pt idx="43">
                  <c:v>350</c:v>
                </c:pt>
                <c:pt idx="44">
                  <c:v>350</c:v>
                </c:pt>
                <c:pt idx="45">
                  <c:v>350</c:v>
                </c:pt>
                <c:pt idx="46">
                  <c:v>350</c:v>
                </c:pt>
                <c:pt idx="47">
                  <c:v>350</c:v>
                </c:pt>
                <c:pt idx="48">
                  <c:v>350</c:v>
                </c:pt>
                <c:pt idx="49">
                  <c:v>350</c:v>
                </c:pt>
                <c:pt idx="50">
                  <c:v>350</c:v>
                </c:pt>
                <c:pt idx="51">
                  <c:v>350</c:v>
                </c:pt>
                <c:pt idx="52">
                  <c:v>350</c:v>
                </c:pt>
                <c:pt idx="53">
                  <c:v>350</c:v>
                </c:pt>
                <c:pt idx="54">
                  <c:v>350</c:v>
                </c:pt>
                <c:pt idx="55">
                  <c:v>350</c:v>
                </c:pt>
                <c:pt idx="56">
                  <c:v>350</c:v>
                </c:pt>
                <c:pt idx="57">
                  <c:v>350</c:v>
                </c:pt>
                <c:pt idx="58">
                  <c:v>350</c:v>
                </c:pt>
                <c:pt idx="59">
                  <c:v>350</c:v>
                </c:pt>
                <c:pt idx="60">
                  <c:v>350</c:v>
                </c:pt>
                <c:pt idx="61">
                  <c:v>350</c:v>
                </c:pt>
                <c:pt idx="62">
                  <c:v>350</c:v>
                </c:pt>
                <c:pt idx="63">
                  <c:v>350</c:v>
                </c:pt>
                <c:pt idx="64">
                  <c:v>350</c:v>
                </c:pt>
                <c:pt idx="65">
                  <c:v>350</c:v>
                </c:pt>
                <c:pt idx="66">
                  <c:v>350</c:v>
                </c:pt>
                <c:pt idx="67">
                  <c:v>350</c:v>
                </c:pt>
                <c:pt idx="68">
                  <c:v>350</c:v>
                </c:pt>
                <c:pt idx="69">
                  <c:v>350</c:v>
                </c:pt>
                <c:pt idx="70">
                  <c:v>350</c:v>
                </c:pt>
                <c:pt idx="71">
                  <c:v>350</c:v>
                </c:pt>
                <c:pt idx="72">
                  <c:v>350</c:v>
                </c:pt>
                <c:pt idx="73">
                  <c:v>350</c:v>
                </c:pt>
                <c:pt idx="74">
                  <c:v>350</c:v>
                </c:pt>
                <c:pt idx="75">
                  <c:v>350</c:v>
                </c:pt>
                <c:pt idx="76">
                  <c:v>350</c:v>
                </c:pt>
                <c:pt idx="77">
                  <c:v>350</c:v>
                </c:pt>
                <c:pt idx="78">
                  <c:v>350</c:v>
                </c:pt>
                <c:pt idx="79">
                  <c:v>350</c:v>
                </c:pt>
                <c:pt idx="80">
                  <c:v>350</c:v>
                </c:pt>
                <c:pt idx="81">
                  <c:v>350</c:v>
                </c:pt>
                <c:pt idx="82">
                  <c:v>350</c:v>
                </c:pt>
                <c:pt idx="83">
                  <c:v>350</c:v>
                </c:pt>
                <c:pt idx="84">
                  <c:v>350</c:v>
                </c:pt>
                <c:pt idx="85">
                  <c:v>350</c:v>
                </c:pt>
                <c:pt idx="86">
                  <c:v>350</c:v>
                </c:pt>
                <c:pt idx="87">
                  <c:v>350</c:v>
                </c:pt>
                <c:pt idx="88">
                  <c:v>350</c:v>
                </c:pt>
                <c:pt idx="89">
                  <c:v>350</c:v>
                </c:pt>
                <c:pt idx="90">
                  <c:v>350</c:v>
                </c:pt>
                <c:pt idx="91">
                  <c:v>350</c:v>
                </c:pt>
                <c:pt idx="92">
                  <c:v>350</c:v>
                </c:pt>
                <c:pt idx="93">
                  <c:v>350</c:v>
                </c:pt>
                <c:pt idx="94">
                  <c:v>350</c:v>
                </c:pt>
                <c:pt idx="95">
                  <c:v>350</c:v>
                </c:pt>
                <c:pt idx="96">
                  <c:v>350</c:v>
                </c:pt>
                <c:pt idx="97">
                  <c:v>350</c:v>
                </c:pt>
                <c:pt idx="98">
                  <c:v>350</c:v>
                </c:pt>
                <c:pt idx="99">
                  <c:v>350</c:v>
                </c:pt>
                <c:pt idx="100">
                  <c:v>350</c:v>
                </c:pt>
              </c:numCache>
            </c:numRef>
          </c:val>
          <c:smooth val="0"/>
          <c:extLst>
            <c:ext xmlns:c16="http://schemas.microsoft.com/office/drawing/2014/chart" uri="{C3380CC4-5D6E-409C-BE32-E72D297353CC}">
              <c16:uniqueId val="{00000002-2ED8-4776-BDF1-9199207D88A2}"/>
            </c:ext>
          </c:extLst>
        </c:ser>
        <c:ser>
          <c:idx val="3"/>
          <c:order val="3"/>
          <c:spPr>
            <a:ln>
              <a:noFill/>
            </a:ln>
          </c:spPr>
          <c:marker>
            <c:symbol val="x"/>
            <c:size val="10"/>
            <c:spPr>
              <a:pattFill prst="pct5">
                <a:fgClr>
                  <a:schemeClr val="tx1"/>
                </a:fgClr>
                <a:bgClr>
                  <a:schemeClr val="bg1"/>
                </a:bgClr>
              </a:pattFill>
              <a:ln>
                <a:solidFill>
                  <a:srgbClr val="33CC33"/>
                </a:solidFill>
              </a:ln>
            </c:spPr>
          </c:marker>
          <c:cat>
            <c:numRef>
              <c:f>'Calculations - Single'!$AM$5:$AM$105</c:f>
              <c:numCache>
                <c:formatCode>0</c:formatCode>
                <c:ptCount val="101"/>
                <c:pt idx="0">
                  <c:v>1.0000000000000002E-6</c:v>
                </c:pt>
                <c:pt idx="1">
                  <c:v>10</c:v>
                </c:pt>
                <c:pt idx="2">
                  <c:v>20</c:v>
                </c:pt>
                <c:pt idx="3">
                  <c:v>30</c:v>
                </c:pt>
                <c:pt idx="4">
                  <c:v>40</c:v>
                </c:pt>
                <c:pt idx="5">
                  <c:v>50</c:v>
                </c:pt>
                <c:pt idx="6">
                  <c:v>60</c:v>
                </c:pt>
                <c:pt idx="7">
                  <c:v>70</c:v>
                </c:pt>
                <c:pt idx="8">
                  <c:v>80</c:v>
                </c:pt>
                <c:pt idx="9">
                  <c:v>90</c:v>
                </c:pt>
                <c:pt idx="10">
                  <c:v>100</c:v>
                </c:pt>
                <c:pt idx="11">
                  <c:v>110</c:v>
                </c:pt>
                <c:pt idx="12">
                  <c:v>120</c:v>
                </c:pt>
                <c:pt idx="13">
                  <c:v>130</c:v>
                </c:pt>
                <c:pt idx="14">
                  <c:v>140</c:v>
                </c:pt>
                <c:pt idx="15">
                  <c:v>150</c:v>
                </c:pt>
                <c:pt idx="16">
                  <c:v>160</c:v>
                </c:pt>
                <c:pt idx="17">
                  <c:v>170</c:v>
                </c:pt>
                <c:pt idx="18">
                  <c:v>180</c:v>
                </c:pt>
                <c:pt idx="19">
                  <c:v>190</c:v>
                </c:pt>
                <c:pt idx="20">
                  <c:v>200</c:v>
                </c:pt>
                <c:pt idx="21">
                  <c:v>210</c:v>
                </c:pt>
                <c:pt idx="22">
                  <c:v>220</c:v>
                </c:pt>
                <c:pt idx="23">
                  <c:v>230</c:v>
                </c:pt>
                <c:pt idx="24">
                  <c:v>240</c:v>
                </c:pt>
                <c:pt idx="25">
                  <c:v>250</c:v>
                </c:pt>
                <c:pt idx="26">
                  <c:v>260</c:v>
                </c:pt>
                <c:pt idx="27">
                  <c:v>270</c:v>
                </c:pt>
                <c:pt idx="28">
                  <c:v>280</c:v>
                </c:pt>
                <c:pt idx="29">
                  <c:v>290</c:v>
                </c:pt>
                <c:pt idx="30">
                  <c:v>300</c:v>
                </c:pt>
                <c:pt idx="31">
                  <c:v>310</c:v>
                </c:pt>
                <c:pt idx="32">
                  <c:v>320</c:v>
                </c:pt>
                <c:pt idx="33">
                  <c:v>330</c:v>
                </c:pt>
                <c:pt idx="34">
                  <c:v>340</c:v>
                </c:pt>
                <c:pt idx="35">
                  <c:v>350</c:v>
                </c:pt>
                <c:pt idx="36">
                  <c:v>360</c:v>
                </c:pt>
                <c:pt idx="37">
                  <c:v>370</c:v>
                </c:pt>
                <c:pt idx="38">
                  <c:v>380</c:v>
                </c:pt>
                <c:pt idx="39">
                  <c:v>390</c:v>
                </c:pt>
                <c:pt idx="40">
                  <c:v>400</c:v>
                </c:pt>
                <c:pt idx="41">
                  <c:v>410</c:v>
                </c:pt>
                <c:pt idx="42">
                  <c:v>420</c:v>
                </c:pt>
                <c:pt idx="43">
                  <c:v>430</c:v>
                </c:pt>
                <c:pt idx="44">
                  <c:v>440</c:v>
                </c:pt>
                <c:pt idx="45">
                  <c:v>450</c:v>
                </c:pt>
                <c:pt idx="46">
                  <c:v>460</c:v>
                </c:pt>
                <c:pt idx="47">
                  <c:v>470</c:v>
                </c:pt>
                <c:pt idx="48">
                  <c:v>480</c:v>
                </c:pt>
                <c:pt idx="49">
                  <c:v>490</c:v>
                </c:pt>
                <c:pt idx="50">
                  <c:v>500</c:v>
                </c:pt>
                <c:pt idx="51">
                  <c:v>510</c:v>
                </c:pt>
                <c:pt idx="52">
                  <c:v>520</c:v>
                </c:pt>
                <c:pt idx="53">
                  <c:v>530</c:v>
                </c:pt>
                <c:pt idx="54">
                  <c:v>540</c:v>
                </c:pt>
                <c:pt idx="55">
                  <c:v>550</c:v>
                </c:pt>
                <c:pt idx="56">
                  <c:v>560</c:v>
                </c:pt>
                <c:pt idx="57">
                  <c:v>570</c:v>
                </c:pt>
                <c:pt idx="58">
                  <c:v>580</c:v>
                </c:pt>
                <c:pt idx="59">
                  <c:v>590</c:v>
                </c:pt>
                <c:pt idx="60">
                  <c:v>600</c:v>
                </c:pt>
                <c:pt idx="61">
                  <c:v>610</c:v>
                </c:pt>
                <c:pt idx="62">
                  <c:v>620</c:v>
                </c:pt>
                <c:pt idx="63">
                  <c:v>630</c:v>
                </c:pt>
                <c:pt idx="64">
                  <c:v>640</c:v>
                </c:pt>
                <c:pt idx="65">
                  <c:v>650</c:v>
                </c:pt>
                <c:pt idx="66">
                  <c:v>660</c:v>
                </c:pt>
                <c:pt idx="67">
                  <c:v>670</c:v>
                </c:pt>
                <c:pt idx="68">
                  <c:v>680</c:v>
                </c:pt>
                <c:pt idx="69">
                  <c:v>690</c:v>
                </c:pt>
                <c:pt idx="70">
                  <c:v>700</c:v>
                </c:pt>
                <c:pt idx="71">
                  <c:v>710</c:v>
                </c:pt>
                <c:pt idx="72">
                  <c:v>720</c:v>
                </c:pt>
                <c:pt idx="73">
                  <c:v>730</c:v>
                </c:pt>
                <c:pt idx="74">
                  <c:v>740</c:v>
                </c:pt>
                <c:pt idx="75">
                  <c:v>750</c:v>
                </c:pt>
                <c:pt idx="76">
                  <c:v>760</c:v>
                </c:pt>
                <c:pt idx="77">
                  <c:v>770</c:v>
                </c:pt>
                <c:pt idx="78">
                  <c:v>780</c:v>
                </c:pt>
                <c:pt idx="79">
                  <c:v>790</c:v>
                </c:pt>
                <c:pt idx="80">
                  <c:v>800</c:v>
                </c:pt>
                <c:pt idx="81">
                  <c:v>810</c:v>
                </c:pt>
                <c:pt idx="82">
                  <c:v>820</c:v>
                </c:pt>
                <c:pt idx="83">
                  <c:v>830</c:v>
                </c:pt>
                <c:pt idx="84">
                  <c:v>840</c:v>
                </c:pt>
                <c:pt idx="85">
                  <c:v>850</c:v>
                </c:pt>
                <c:pt idx="86">
                  <c:v>860</c:v>
                </c:pt>
                <c:pt idx="87">
                  <c:v>870</c:v>
                </c:pt>
                <c:pt idx="88">
                  <c:v>880</c:v>
                </c:pt>
                <c:pt idx="89">
                  <c:v>890</c:v>
                </c:pt>
                <c:pt idx="90">
                  <c:v>900</c:v>
                </c:pt>
                <c:pt idx="91">
                  <c:v>910</c:v>
                </c:pt>
                <c:pt idx="92">
                  <c:v>920</c:v>
                </c:pt>
                <c:pt idx="93">
                  <c:v>930</c:v>
                </c:pt>
                <c:pt idx="94">
                  <c:v>940</c:v>
                </c:pt>
                <c:pt idx="95">
                  <c:v>950</c:v>
                </c:pt>
                <c:pt idx="96">
                  <c:v>960</c:v>
                </c:pt>
                <c:pt idx="97">
                  <c:v>970</c:v>
                </c:pt>
                <c:pt idx="98">
                  <c:v>980</c:v>
                </c:pt>
                <c:pt idx="99">
                  <c:v>990</c:v>
                </c:pt>
                <c:pt idx="100">
                  <c:v>1000</c:v>
                </c:pt>
              </c:numCache>
            </c:numRef>
          </c:cat>
          <c:val>
            <c:numRef>
              <c:f>'Calculations - Single'!$CD$110:$CD$210</c:f>
              <c:numCache>
                <c:formatCode>General</c:formatCode>
                <c:ptCount val="10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numCache>
            </c:numRef>
          </c:val>
          <c:smooth val="0"/>
          <c:extLst>
            <c:ext xmlns:c16="http://schemas.microsoft.com/office/drawing/2014/chart" uri="{C3380CC4-5D6E-409C-BE32-E72D297353CC}">
              <c16:uniqueId val="{00000003-2ED8-4776-BDF1-9199207D88A2}"/>
            </c:ext>
          </c:extLst>
        </c:ser>
        <c:ser>
          <c:idx val="4"/>
          <c:order val="4"/>
          <c:spPr>
            <a:ln>
              <a:noFill/>
            </a:ln>
          </c:spPr>
          <c:marker>
            <c:symbol val="x"/>
            <c:size val="10"/>
            <c:spPr>
              <a:pattFill prst="pct5">
                <a:fgClr>
                  <a:schemeClr val="tx1"/>
                </a:fgClr>
                <a:bgClr>
                  <a:schemeClr val="bg1"/>
                </a:bgClr>
              </a:pattFill>
              <a:ln>
                <a:solidFill>
                  <a:srgbClr val="0000FF"/>
                </a:solidFill>
              </a:ln>
            </c:spPr>
          </c:marker>
          <c:cat>
            <c:numRef>
              <c:f>'Calculations - Single'!$AM$5:$AM$105</c:f>
              <c:numCache>
                <c:formatCode>0</c:formatCode>
                <c:ptCount val="101"/>
                <c:pt idx="0">
                  <c:v>1.0000000000000002E-6</c:v>
                </c:pt>
                <c:pt idx="1">
                  <c:v>10</c:v>
                </c:pt>
                <c:pt idx="2">
                  <c:v>20</c:v>
                </c:pt>
                <c:pt idx="3">
                  <c:v>30</c:v>
                </c:pt>
                <c:pt idx="4">
                  <c:v>40</c:v>
                </c:pt>
                <c:pt idx="5">
                  <c:v>50</c:v>
                </c:pt>
                <c:pt idx="6">
                  <c:v>60</c:v>
                </c:pt>
                <c:pt idx="7">
                  <c:v>70</c:v>
                </c:pt>
                <c:pt idx="8">
                  <c:v>80</c:v>
                </c:pt>
                <c:pt idx="9">
                  <c:v>90</c:v>
                </c:pt>
                <c:pt idx="10">
                  <c:v>100</c:v>
                </c:pt>
                <c:pt idx="11">
                  <c:v>110</c:v>
                </c:pt>
                <c:pt idx="12">
                  <c:v>120</c:v>
                </c:pt>
                <c:pt idx="13">
                  <c:v>130</c:v>
                </c:pt>
                <c:pt idx="14">
                  <c:v>140</c:v>
                </c:pt>
                <c:pt idx="15">
                  <c:v>150</c:v>
                </c:pt>
                <c:pt idx="16">
                  <c:v>160</c:v>
                </c:pt>
                <c:pt idx="17">
                  <c:v>170</c:v>
                </c:pt>
                <c:pt idx="18">
                  <c:v>180</c:v>
                </c:pt>
                <c:pt idx="19">
                  <c:v>190</c:v>
                </c:pt>
                <c:pt idx="20">
                  <c:v>200</c:v>
                </c:pt>
                <c:pt idx="21">
                  <c:v>210</c:v>
                </c:pt>
                <c:pt idx="22">
                  <c:v>220</c:v>
                </c:pt>
                <c:pt idx="23">
                  <c:v>230</c:v>
                </c:pt>
                <c:pt idx="24">
                  <c:v>240</c:v>
                </c:pt>
                <c:pt idx="25">
                  <c:v>250</c:v>
                </c:pt>
                <c:pt idx="26">
                  <c:v>260</c:v>
                </c:pt>
                <c:pt idx="27">
                  <c:v>270</c:v>
                </c:pt>
                <c:pt idx="28">
                  <c:v>280</c:v>
                </c:pt>
                <c:pt idx="29">
                  <c:v>290</c:v>
                </c:pt>
                <c:pt idx="30">
                  <c:v>300</c:v>
                </c:pt>
                <c:pt idx="31">
                  <c:v>310</c:v>
                </c:pt>
                <c:pt idx="32">
                  <c:v>320</c:v>
                </c:pt>
                <c:pt idx="33">
                  <c:v>330</c:v>
                </c:pt>
                <c:pt idx="34">
                  <c:v>340</c:v>
                </c:pt>
                <c:pt idx="35">
                  <c:v>350</c:v>
                </c:pt>
                <c:pt idx="36">
                  <c:v>360</c:v>
                </c:pt>
                <c:pt idx="37">
                  <c:v>370</c:v>
                </c:pt>
                <c:pt idx="38">
                  <c:v>380</c:v>
                </c:pt>
                <c:pt idx="39">
                  <c:v>390</c:v>
                </c:pt>
                <c:pt idx="40">
                  <c:v>400</c:v>
                </c:pt>
                <c:pt idx="41">
                  <c:v>410</c:v>
                </c:pt>
                <c:pt idx="42">
                  <c:v>420</c:v>
                </c:pt>
                <c:pt idx="43">
                  <c:v>430</c:v>
                </c:pt>
                <c:pt idx="44">
                  <c:v>440</c:v>
                </c:pt>
                <c:pt idx="45">
                  <c:v>450</c:v>
                </c:pt>
                <c:pt idx="46">
                  <c:v>460</c:v>
                </c:pt>
                <c:pt idx="47">
                  <c:v>470</c:v>
                </c:pt>
                <c:pt idx="48">
                  <c:v>480</c:v>
                </c:pt>
                <c:pt idx="49">
                  <c:v>490</c:v>
                </c:pt>
                <c:pt idx="50">
                  <c:v>500</c:v>
                </c:pt>
                <c:pt idx="51">
                  <c:v>510</c:v>
                </c:pt>
                <c:pt idx="52">
                  <c:v>520</c:v>
                </c:pt>
                <c:pt idx="53">
                  <c:v>530</c:v>
                </c:pt>
                <c:pt idx="54">
                  <c:v>540</c:v>
                </c:pt>
                <c:pt idx="55">
                  <c:v>550</c:v>
                </c:pt>
                <c:pt idx="56">
                  <c:v>560</c:v>
                </c:pt>
                <c:pt idx="57">
                  <c:v>570</c:v>
                </c:pt>
                <c:pt idx="58">
                  <c:v>580</c:v>
                </c:pt>
                <c:pt idx="59">
                  <c:v>590</c:v>
                </c:pt>
                <c:pt idx="60">
                  <c:v>600</c:v>
                </c:pt>
                <c:pt idx="61">
                  <c:v>610</c:v>
                </c:pt>
                <c:pt idx="62">
                  <c:v>620</c:v>
                </c:pt>
                <c:pt idx="63">
                  <c:v>630</c:v>
                </c:pt>
                <c:pt idx="64">
                  <c:v>640</c:v>
                </c:pt>
                <c:pt idx="65">
                  <c:v>650</c:v>
                </c:pt>
                <c:pt idx="66">
                  <c:v>660</c:v>
                </c:pt>
                <c:pt idx="67">
                  <c:v>670</c:v>
                </c:pt>
                <c:pt idx="68">
                  <c:v>680</c:v>
                </c:pt>
                <c:pt idx="69">
                  <c:v>690</c:v>
                </c:pt>
                <c:pt idx="70">
                  <c:v>700</c:v>
                </c:pt>
                <c:pt idx="71">
                  <c:v>710</c:v>
                </c:pt>
                <c:pt idx="72">
                  <c:v>720</c:v>
                </c:pt>
                <c:pt idx="73">
                  <c:v>730</c:v>
                </c:pt>
                <c:pt idx="74">
                  <c:v>740</c:v>
                </c:pt>
                <c:pt idx="75">
                  <c:v>750</c:v>
                </c:pt>
                <c:pt idx="76">
                  <c:v>760</c:v>
                </c:pt>
                <c:pt idx="77">
                  <c:v>770</c:v>
                </c:pt>
                <c:pt idx="78">
                  <c:v>780</c:v>
                </c:pt>
                <c:pt idx="79">
                  <c:v>790</c:v>
                </c:pt>
                <c:pt idx="80">
                  <c:v>800</c:v>
                </c:pt>
                <c:pt idx="81">
                  <c:v>810</c:v>
                </c:pt>
                <c:pt idx="82">
                  <c:v>820</c:v>
                </c:pt>
                <c:pt idx="83">
                  <c:v>830</c:v>
                </c:pt>
                <c:pt idx="84">
                  <c:v>840</c:v>
                </c:pt>
                <c:pt idx="85">
                  <c:v>850</c:v>
                </c:pt>
                <c:pt idx="86">
                  <c:v>860</c:v>
                </c:pt>
                <c:pt idx="87">
                  <c:v>870</c:v>
                </c:pt>
                <c:pt idx="88">
                  <c:v>880</c:v>
                </c:pt>
                <c:pt idx="89">
                  <c:v>890</c:v>
                </c:pt>
                <c:pt idx="90">
                  <c:v>900</c:v>
                </c:pt>
                <c:pt idx="91">
                  <c:v>910</c:v>
                </c:pt>
                <c:pt idx="92">
                  <c:v>920</c:v>
                </c:pt>
                <c:pt idx="93">
                  <c:v>930</c:v>
                </c:pt>
                <c:pt idx="94">
                  <c:v>940</c:v>
                </c:pt>
                <c:pt idx="95">
                  <c:v>950</c:v>
                </c:pt>
                <c:pt idx="96">
                  <c:v>960</c:v>
                </c:pt>
                <c:pt idx="97">
                  <c:v>970</c:v>
                </c:pt>
                <c:pt idx="98">
                  <c:v>980</c:v>
                </c:pt>
                <c:pt idx="99">
                  <c:v>990</c:v>
                </c:pt>
                <c:pt idx="100">
                  <c:v>1000</c:v>
                </c:pt>
              </c:numCache>
            </c:numRef>
          </c:cat>
          <c:val>
            <c:numRef>
              <c:f>'Calculations - Single'!$CD$5:$CD$105</c:f>
              <c:numCache>
                <c:formatCode>General</c:formatCode>
                <c:ptCount val="10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numCache>
            </c:numRef>
          </c:val>
          <c:smooth val="0"/>
          <c:extLst>
            <c:ext xmlns:c16="http://schemas.microsoft.com/office/drawing/2014/chart" uri="{C3380CC4-5D6E-409C-BE32-E72D297353CC}">
              <c16:uniqueId val="{00000004-2ED8-4776-BDF1-9199207D88A2}"/>
            </c:ext>
          </c:extLst>
        </c:ser>
        <c:ser>
          <c:idx val="5"/>
          <c:order val="5"/>
          <c:spPr>
            <a:ln>
              <a:noFill/>
            </a:ln>
          </c:spPr>
          <c:marker>
            <c:symbol val="x"/>
            <c:size val="10"/>
            <c:spPr>
              <a:pattFill prst="pct5">
                <a:fgClr>
                  <a:schemeClr val="tx1"/>
                </a:fgClr>
                <a:bgClr>
                  <a:schemeClr val="bg1"/>
                </a:bgClr>
              </a:pattFill>
              <a:ln>
                <a:solidFill>
                  <a:srgbClr val="FF0000"/>
                </a:solidFill>
              </a:ln>
            </c:spPr>
          </c:marker>
          <c:cat>
            <c:numRef>
              <c:f>'Calculations - Single'!$AM$5:$AM$105</c:f>
              <c:numCache>
                <c:formatCode>0</c:formatCode>
                <c:ptCount val="101"/>
                <c:pt idx="0">
                  <c:v>1.0000000000000002E-6</c:v>
                </c:pt>
                <c:pt idx="1">
                  <c:v>10</c:v>
                </c:pt>
                <c:pt idx="2">
                  <c:v>20</c:v>
                </c:pt>
                <c:pt idx="3">
                  <c:v>30</c:v>
                </c:pt>
                <c:pt idx="4">
                  <c:v>40</c:v>
                </c:pt>
                <c:pt idx="5">
                  <c:v>50</c:v>
                </c:pt>
                <c:pt idx="6">
                  <c:v>60</c:v>
                </c:pt>
                <c:pt idx="7">
                  <c:v>70</c:v>
                </c:pt>
                <c:pt idx="8">
                  <c:v>80</c:v>
                </c:pt>
                <c:pt idx="9">
                  <c:v>90</c:v>
                </c:pt>
                <c:pt idx="10">
                  <c:v>100</c:v>
                </c:pt>
                <c:pt idx="11">
                  <c:v>110</c:v>
                </c:pt>
                <c:pt idx="12">
                  <c:v>120</c:v>
                </c:pt>
                <c:pt idx="13">
                  <c:v>130</c:v>
                </c:pt>
                <c:pt idx="14">
                  <c:v>140</c:v>
                </c:pt>
                <c:pt idx="15">
                  <c:v>150</c:v>
                </c:pt>
                <c:pt idx="16">
                  <c:v>160</c:v>
                </c:pt>
                <c:pt idx="17">
                  <c:v>170</c:v>
                </c:pt>
                <c:pt idx="18">
                  <c:v>180</c:v>
                </c:pt>
                <c:pt idx="19">
                  <c:v>190</c:v>
                </c:pt>
                <c:pt idx="20">
                  <c:v>200</c:v>
                </c:pt>
                <c:pt idx="21">
                  <c:v>210</c:v>
                </c:pt>
                <c:pt idx="22">
                  <c:v>220</c:v>
                </c:pt>
                <c:pt idx="23">
                  <c:v>230</c:v>
                </c:pt>
                <c:pt idx="24">
                  <c:v>240</c:v>
                </c:pt>
                <c:pt idx="25">
                  <c:v>250</c:v>
                </c:pt>
                <c:pt idx="26">
                  <c:v>260</c:v>
                </c:pt>
                <c:pt idx="27">
                  <c:v>270</c:v>
                </c:pt>
                <c:pt idx="28">
                  <c:v>280</c:v>
                </c:pt>
                <c:pt idx="29">
                  <c:v>290</c:v>
                </c:pt>
                <c:pt idx="30">
                  <c:v>300</c:v>
                </c:pt>
                <c:pt idx="31">
                  <c:v>310</c:v>
                </c:pt>
                <c:pt idx="32">
                  <c:v>320</c:v>
                </c:pt>
                <c:pt idx="33">
                  <c:v>330</c:v>
                </c:pt>
                <c:pt idx="34">
                  <c:v>340</c:v>
                </c:pt>
                <c:pt idx="35">
                  <c:v>350</c:v>
                </c:pt>
                <c:pt idx="36">
                  <c:v>360</c:v>
                </c:pt>
                <c:pt idx="37">
                  <c:v>370</c:v>
                </c:pt>
                <c:pt idx="38">
                  <c:v>380</c:v>
                </c:pt>
                <c:pt idx="39">
                  <c:v>390</c:v>
                </c:pt>
                <c:pt idx="40">
                  <c:v>400</c:v>
                </c:pt>
                <c:pt idx="41">
                  <c:v>410</c:v>
                </c:pt>
                <c:pt idx="42">
                  <c:v>420</c:v>
                </c:pt>
                <c:pt idx="43">
                  <c:v>430</c:v>
                </c:pt>
                <c:pt idx="44">
                  <c:v>440</c:v>
                </c:pt>
                <c:pt idx="45">
                  <c:v>450</c:v>
                </c:pt>
                <c:pt idx="46">
                  <c:v>460</c:v>
                </c:pt>
                <c:pt idx="47">
                  <c:v>470</c:v>
                </c:pt>
                <c:pt idx="48">
                  <c:v>480</c:v>
                </c:pt>
                <c:pt idx="49">
                  <c:v>490</c:v>
                </c:pt>
                <c:pt idx="50">
                  <c:v>500</c:v>
                </c:pt>
                <c:pt idx="51">
                  <c:v>510</c:v>
                </c:pt>
                <c:pt idx="52">
                  <c:v>520</c:v>
                </c:pt>
                <c:pt idx="53">
                  <c:v>530</c:v>
                </c:pt>
                <c:pt idx="54">
                  <c:v>540</c:v>
                </c:pt>
                <c:pt idx="55">
                  <c:v>550</c:v>
                </c:pt>
                <c:pt idx="56">
                  <c:v>560</c:v>
                </c:pt>
                <c:pt idx="57">
                  <c:v>570</c:v>
                </c:pt>
                <c:pt idx="58">
                  <c:v>580</c:v>
                </c:pt>
                <c:pt idx="59">
                  <c:v>590</c:v>
                </c:pt>
                <c:pt idx="60">
                  <c:v>600</c:v>
                </c:pt>
                <c:pt idx="61">
                  <c:v>610</c:v>
                </c:pt>
                <c:pt idx="62">
                  <c:v>620</c:v>
                </c:pt>
                <c:pt idx="63">
                  <c:v>630</c:v>
                </c:pt>
                <c:pt idx="64">
                  <c:v>640</c:v>
                </c:pt>
                <c:pt idx="65">
                  <c:v>650</c:v>
                </c:pt>
                <c:pt idx="66">
                  <c:v>660</c:v>
                </c:pt>
                <c:pt idx="67">
                  <c:v>670</c:v>
                </c:pt>
                <c:pt idx="68">
                  <c:v>680</c:v>
                </c:pt>
                <c:pt idx="69">
                  <c:v>690</c:v>
                </c:pt>
                <c:pt idx="70">
                  <c:v>700</c:v>
                </c:pt>
                <c:pt idx="71">
                  <c:v>710</c:v>
                </c:pt>
                <c:pt idx="72">
                  <c:v>720</c:v>
                </c:pt>
                <c:pt idx="73">
                  <c:v>730</c:v>
                </c:pt>
                <c:pt idx="74">
                  <c:v>740</c:v>
                </c:pt>
                <c:pt idx="75">
                  <c:v>750</c:v>
                </c:pt>
                <c:pt idx="76">
                  <c:v>760</c:v>
                </c:pt>
                <c:pt idx="77">
                  <c:v>770</c:v>
                </c:pt>
                <c:pt idx="78">
                  <c:v>780</c:v>
                </c:pt>
                <c:pt idx="79">
                  <c:v>790</c:v>
                </c:pt>
                <c:pt idx="80">
                  <c:v>800</c:v>
                </c:pt>
                <c:pt idx="81">
                  <c:v>810</c:v>
                </c:pt>
                <c:pt idx="82">
                  <c:v>820</c:v>
                </c:pt>
                <c:pt idx="83">
                  <c:v>830</c:v>
                </c:pt>
                <c:pt idx="84">
                  <c:v>840</c:v>
                </c:pt>
                <c:pt idx="85">
                  <c:v>850</c:v>
                </c:pt>
                <c:pt idx="86">
                  <c:v>860</c:v>
                </c:pt>
                <c:pt idx="87">
                  <c:v>870</c:v>
                </c:pt>
                <c:pt idx="88">
                  <c:v>880</c:v>
                </c:pt>
                <c:pt idx="89">
                  <c:v>890</c:v>
                </c:pt>
                <c:pt idx="90">
                  <c:v>900</c:v>
                </c:pt>
                <c:pt idx="91">
                  <c:v>910</c:v>
                </c:pt>
                <c:pt idx="92">
                  <c:v>920</c:v>
                </c:pt>
                <c:pt idx="93">
                  <c:v>930</c:v>
                </c:pt>
                <c:pt idx="94">
                  <c:v>940</c:v>
                </c:pt>
                <c:pt idx="95">
                  <c:v>950</c:v>
                </c:pt>
                <c:pt idx="96">
                  <c:v>960</c:v>
                </c:pt>
                <c:pt idx="97">
                  <c:v>970</c:v>
                </c:pt>
                <c:pt idx="98">
                  <c:v>980</c:v>
                </c:pt>
                <c:pt idx="99">
                  <c:v>990</c:v>
                </c:pt>
                <c:pt idx="100">
                  <c:v>1000</c:v>
                </c:pt>
              </c:numCache>
            </c:numRef>
          </c:cat>
          <c:val>
            <c:numRef>
              <c:f>'Calculations - Single'!$CD$217:$CD$317</c:f>
              <c:numCache>
                <c:formatCode>General</c:formatCode>
                <c:ptCount val="10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numCache>
            </c:numRef>
          </c:val>
          <c:smooth val="0"/>
          <c:extLst>
            <c:ext xmlns:c16="http://schemas.microsoft.com/office/drawing/2014/chart" uri="{C3380CC4-5D6E-409C-BE32-E72D297353CC}">
              <c16:uniqueId val="{00000005-2ED8-4776-BDF1-9199207D88A2}"/>
            </c:ext>
          </c:extLst>
        </c:ser>
        <c:dLbls>
          <c:showLegendKey val="0"/>
          <c:showVal val="0"/>
          <c:showCatName val="0"/>
          <c:showSerName val="0"/>
          <c:showPercent val="0"/>
          <c:showBubbleSize val="0"/>
        </c:dLbls>
        <c:smooth val="0"/>
        <c:axId val="140208384"/>
        <c:axId val="140227328"/>
      </c:lineChart>
      <c:catAx>
        <c:axId val="140208384"/>
        <c:scaling>
          <c:orientation val="minMax"/>
        </c:scaling>
        <c:delete val="0"/>
        <c:axPos val="b"/>
        <c:majorGridlines>
          <c:spPr>
            <a:ln w="15875">
              <a:solidFill>
                <a:srgbClr val="969696"/>
              </a:solidFill>
              <a:prstDash val="sysDash"/>
            </a:ln>
          </c:spPr>
        </c:majorGridlines>
        <c:title>
          <c:tx>
            <c:rich>
              <a:bodyPr/>
              <a:lstStyle/>
              <a:p>
                <a:pPr>
                  <a:defRPr sz="1200" b="1" i="0" u="none" strike="noStrike" baseline="0">
                    <a:solidFill>
                      <a:schemeClr val="tx1"/>
                    </a:solidFill>
                    <a:latin typeface="Arial" pitchFamily="34" charset="0"/>
                    <a:ea typeface="Calibri"/>
                    <a:cs typeface="Arial" pitchFamily="34" charset="0"/>
                  </a:defRPr>
                </a:pPr>
                <a:r>
                  <a:rPr lang="en-US" sz="1200">
                    <a:solidFill>
                      <a:schemeClr val="tx1"/>
                    </a:solidFill>
                    <a:latin typeface="Arial" pitchFamily="34" charset="0"/>
                    <a:cs typeface="Arial" pitchFamily="34" charset="0"/>
                  </a:rPr>
                  <a:t>Load Current (mA)</a:t>
                </a:r>
              </a:p>
            </c:rich>
          </c:tx>
          <c:layout>
            <c:manualLayout>
              <c:xMode val="edge"/>
              <c:yMode val="edge"/>
              <c:x val="0.45424135936496307"/>
              <c:y val="0.9410669161053864"/>
            </c:manualLayout>
          </c:layout>
          <c:overlay val="0"/>
          <c:spPr>
            <a:noFill/>
            <a:ln w="25400">
              <a:noFill/>
            </a:ln>
          </c:spPr>
        </c:title>
        <c:numFmt formatCode="0" sourceLinked="1"/>
        <c:majorTickMark val="in"/>
        <c:minorTickMark val="in"/>
        <c:tickLblPos val="nextTo"/>
        <c:spPr>
          <a:ln w="3175">
            <a:solidFill>
              <a:schemeClr val="tx1"/>
            </a:solidFill>
            <a:prstDash val="solid"/>
          </a:ln>
        </c:spPr>
        <c:txPr>
          <a:bodyPr rot="0" vert="horz"/>
          <a:lstStyle/>
          <a:p>
            <a:pPr>
              <a:defRPr sz="1100" b="1" i="0" u="none" strike="noStrike" baseline="0">
                <a:solidFill>
                  <a:schemeClr val="tx1"/>
                </a:solidFill>
                <a:latin typeface="Arial" pitchFamily="34" charset="0"/>
                <a:ea typeface="Calibri"/>
                <a:cs typeface="Arial" pitchFamily="34" charset="0"/>
              </a:defRPr>
            </a:pPr>
            <a:endParaRPr lang="en-US"/>
          </a:p>
        </c:txPr>
        <c:crossAx val="140227328"/>
        <c:crosses val="autoZero"/>
        <c:auto val="1"/>
        <c:lblAlgn val="ctr"/>
        <c:lblOffset val="100"/>
        <c:tickLblSkip val="20"/>
        <c:tickMarkSkip val="10"/>
        <c:noMultiLvlLbl val="0"/>
      </c:catAx>
      <c:valAx>
        <c:axId val="140227328"/>
        <c:scaling>
          <c:orientation val="minMax"/>
          <c:max val="400"/>
          <c:min val="0"/>
        </c:scaling>
        <c:delete val="0"/>
        <c:axPos val="l"/>
        <c:majorGridlines>
          <c:spPr>
            <a:ln w="15875">
              <a:solidFill>
                <a:srgbClr val="808080"/>
              </a:solidFill>
              <a:prstDash val="solid"/>
            </a:ln>
          </c:spPr>
        </c:majorGridlines>
        <c:title>
          <c:tx>
            <c:rich>
              <a:bodyPr/>
              <a:lstStyle/>
              <a:p>
                <a:pPr>
                  <a:defRPr sz="1400" b="1" i="0" u="none" strike="noStrike" baseline="0">
                    <a:solidFill>
                      <a:schemeClr val="tx1"/>
                    </a:solidFill>
                    <a:latin typeface="Arial" pitchFamily="34" charset="0"/>
                    <a:ea typeface="Calibri"/>
                    <a:cs typeface="Arial" pitchFamily="34" charset="0"/>
                  </a:defRPr>
                </a:pPr>
                <a:r>
                  <a:rPr lang="en-US" sz="1200" b="1">
                    <a:solidFill>
                      <a:schemeClr val="tx1"/>
                    </a:solidFill>
                    <a:latin typeface="Arial" pitchFamily="34" charset="0"/>
                    <a:cs typeface="Arial" pitchFamily="34" charset="0"/>
                  </a:rPr>
                  <a:t>Switching</a:t>
                </a:r>
                <a:r>
                  <a:rPr lang="en-US" sz="1200" b="1" baseline="0">
                    <a:solidFill>
                      <a:schemeClr val="tx1"/>
                    </a:solidFill>
                    <a:latin typeface="Arial" pitchFamily="34" charset="0"/>
                    <a:cs typeface="Arial" pitchFamily="34" charset="0"/>
                  </a:rPr>
                  <a:t> Frquency (kHz)</a:t>
                </a:r>
                <a:endParaRPr lang="en-US" sz="1200" b="1">
                  <a:solidFill>
                    <a:schemeClr val="tx1"/>
                  </a:solidFill>
                  <a:latin typeface="Arial" pitchFamily="34" charset="0"/>
                  <a:cs typeface="Arial" pitchFamily="34" charset="0"/>
                </a:endParaRPr>
              </a:p>
            </c:rich>
          </c:tx>
          <c:layout>
            <c:manualLayout>
              <c:xMode val="edge"/>
              <c:yMode val="edge"/>
              <c:x val="8.5568268367748525E-3"/>
              <c:y val="0.30050661099568304"/>
            </c:manualLayout>
          </c:layout>
          <c:overlay val="0"/>
          <c:spPr>
            <a:noFill/>
            <a:ln w="25400">
              <a:noFill/>
            </a:ln>
          </c:spPr>
        </c:title>
        <c:numFmt formatCode="#,##0" sourceLinked="0"/>
        <c:majorTickMark val="out"/>
        <c:minorTickMark val="in"/>
        <c:tickLblPos val="nextTo"/>
        <c:spPr>
          <a:ln w="3175">
            <a:solidFill>
              <a:srgbClr val="000000"/>
            </a:solidFill>
            <a:prstDash val="solid"/>
          </a:ln>
        </c:spPr>
        <c:txPr>
          <a:bodyPr rot="0" vert="horz"/>
          <a:lstStyle/>
          <a:p>
            <a:pPr>
              <a:defRPr sz="1100" b="1" i="0" u="none" strike="noStrike" baseline="0">
                <a:solidFill>
                  <a:schemeClr val="tx1"/>
                </a:solidFill>
                <a:latin typeface="Arial" pitchFamily="34" charset="0"/>
                <a:ea typeface="Calibri"/>
                <a:cs typeface="Arial" pitchFamily="34" charset="0"/>
              </a:defRPr>
            </a:pPr>
            <a:endParaRPr lang="en-US"/>
          </a:p>
        </c:txPr>
        <c:crossAx val="140208384"/>
        <c:crossesAt val="0"/>
        <c:crossBetween val="between"/>
        <c:majorUnit val="50"/>
        <c:minorUnit val="25"/>
      </c:valAx>
      <c:spPr>
        <a:solidFill>
          <a:srgbClr val="FFFFFF"/>
        </a:solidFill>
        <a:ln w="25400">
          <a:noFill/>
        </a:ln>
      </c:spPr>
    </c:plotArea>
    <c:legend>
      <c:legendPos val="l"/>
      <c:legendEntry>
        <c:idx val="3"/>
        <c:delete val="1"/>
      </c:legendEntry>
      <c:legendEntry>
        <c:idx val="4"/>
        <c:delete val="1"/>
      </c:legendEntry>
      <c:legendEntry>
        <c:idx val="5"/>
        <c:delete val="1"/>
      </c:legendEntry>
      <c:layout>
        <c:manualLayout>
          <c:xMode val="edge"/>
          <c:yMode val="edge"/>
          <c:x val="0.14682981090100111"/>
          <c:y val="0.67041751876868938"/>
          <c:w val="0.13753070632578046"/>
          <c:h val="0.17496836881861302"/>
        </c:manualLayout>
      </c:layout>
      <c:overlay val="0"/>
      <c:spPr>
        <a:solidFill>
          <a:srgbClr val="FFFFFF"/>
        </a:solidFill>
        <a:ln w="25400">
          <a:noFill/>
        </a:ln>
      </c:spPr>
      <c:txPr>
        <a:bodyPr/>
        <a:lstStyle/>
        <a:p>
          <a:pPr>
            <a:defRPr sz="1400" b="0" i="0" u="none" strike="noStrike" baseline="0">
              <a:solidFill>
                <a:srgbClr val="000000"/>
              </a:solidFill>
              <a:latin typeface="Arial" pitchFamily="34" charset="0"/>
              <a:ea typeface="Calibri"/>
              <a:cs typeface="Arial" pitchFamily="34" charset="0"/>
            </a:defRPr>
          </a:pPr>
          <a:endParaRPr lang="en-US"/>
        </a:p>
      </c:txPr>
    </c:legend>
    <c:plotVisOnly val="1"/>
    <c:dispBlanksAs val="gap"/>
    <c:showDLblsOverMax val="0"/>
  </c:chart>
  <c:spPr>
    <a:solidFill>
      <a:srgbClr val="FFFFFF"/>
    </a:solidFill>
    <a:ln w="9525">
      <a:noFill/>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0000000000006" r="0.750000000000006" t="1" header="0.5" footer="0.5"/>
    <c:pageSetup paperSize="5"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93009796772281"/>
          <c:y val="9.6043598935517463E-2"/>
          <c:w val="0.79387547420256122"/>
          <c:h val="0.75083975467433728"/>
        </c:manualLayout>
      </c:layout>
      <c:lineChart>
        <c:grouping val="standard"/>
        <c:varyColors val="0"/>
        <c:ser>
          <c:idx val="9"/>
          <c:order val="9"/>
          <c:tx>
            <c:v>VIN-min</c:v>
          </c:tx>
          <c:spPr>
            <a:ln>
              <a:solidFill>
                <a:srgbClr val="00B050"/>
              </a:solidFill>
              <a:prstDash val="sysDash"/>
            </a:ln>
          </c:spPr>
          <c:marker>
            <c:symbol val="none"/>
          </c:marker>
          <c:cat>
            <c:numRef>
              <c:f>'Calculations - Dual'!$CC$5:$CC$105</c:f>
              <c:numCache>
                <c:formatCode>General</c:formatCode>
                <c:ptCount val="101"/>
                <c:pt idx="0">
                  <c:v>0</c:v>
                </c:pt>
                <c:pt idx="1">
                  <c:v>1</c:v>
                </c:pt>
                <c:pt idx="2">
                  <c:v>2</c:v>
                </c:pt>
                <c:pt idx="3">
                  <c:v>3</c:v>
                </c:pt>
                <c:pt idx="4">
                  <c:v>4</c:v>
                </c:pt>
                <c:pt idx="5">
                  <c:v>5</c:v>
                </c:pt>
                <c:pt idx="6">
                  <c:v>6</c:v>
                </c:pt>
                <c:pt idx="7">
                  <c:v>7.0000000000000009</c:v>
                </c:pt>
                <c:pt idx="8">
                  <c:v>8</c:v>
                </c:pt>
                <c:pt idx="9">
                  <c:v>9</c:v>
                </c:pt>
                <c:pt idx="10">
                  <c:v>10</c:v>
                </c:pt>
                <c:pt idx="11">
                  <c:v>11</c:v>
                </c:pt>
                <c:pt idx="12">
                  <c:v>12</c:v>
                </c:pt>
                <c:pt idx="13">
                  <c:v>13</c:v>
                </c:pt>
                <c:pt idx="14">
                  <c:v>14.000000000000002</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Dual'!$AM$110:$AM$210</c:f>
              <c:numCache>
                <c:formatCode>0.0</c:formatCode>
                <c:ptCount val="101"/>
                <c:pt idx="0">
                  <c:v>10</c:v>
                </c:pt>
                <c:pt idx="1">
                  <c:v>75.444038412509585</c:v>
                </c:pt>
                <c:pt idx="2">
                  <c:v>150.88807682501917</c:v>
                </c:pt>
                <c:pt idx="3">
                  <c:v>226.33211523752871</c:v>
                </c:pt>
                <c:pt idx="4">
                  <c:v>301.77615365003834</c:v>
                </c:pt>
                <c:pt idx="5">
                  <c:v>350</c:v>
                </c:pt>
                <c:pt idx="6">
                  <c:v>350</c:v>
                </c:pt>
                <c:pt idx="7">
                  <c:v>350</c:v>
                </c:pt>
                <c:pt idx="8">
                  <c:v>350</c:v>
                </c:pt>
                <c:pt idx="9">
                  <c:v>350</c:v>
                </c:pt>
                <c:pt idx="10">
                  <c:v>350</c:v>
                </c:pt>
                <c:pt idx="11">
                  <c:v>350</c:v>
                </c:pt>
                <c:pt idx="12">
                  <c:v>350</c:v>
                </c:pt>
                <c:pt idx="13">
                  <c:v>350</c:v>
                </c:pt>
                <c:pt idx="14">
                  <c:v>350</c:v>
                </c:pt>
                <c:pt idx="15">
                  <c:v>350</c:v>
                </c:pt>
                <c:pt idx="16">
                  <c:v>350</c:v>
                </c:pt>
                <c:pt idx="17">
                  <c:v>350</c:v>
                </c:pt>
                <c:pt idx="18">
                  <c:v>350</c:v>
                </c:pt>
                <c:pt idx="19">
                  <c:v>350</c:v>
                </c:pt>
                <c:pt idx="20">
                  <c:v>350</c:v>
                </c:pt>
                <c:pt idx="21">
                  <c:v>350</c:v>
                </c:pt>
                <c:pt idx="22">
                  <c:v>350</c:v>
                </c:pt>
                <c:pt idx="23">
                  <c:v>350</c:v>
                </c:pt>
                <c:pt idx="24">
                  <c:v>350</c:v>
                </c:pt>
                <c:pt idx="25">
                  <c:v>350</c:v>
                </c:pt>
                <c:pt idx="26">
                  <c:v>350</c:v>
                </c:pt>
                <c:pt idx="27">
                  <c:v>350</c:v>
                </c:pt>
                <c:pt idx="28">
                  <c:v>350</c:v>
                </c:pt>
                <c:pt idx="29">
                  <c:v>350</c:v>
                </c:pt>
                <c:pt idx="30">
                  <c:v>350</c:v>
                </c:pt>
                <c:pt idx="31">
                  <c:v>350</c:v>
                </c:pt>
                <c:pt idx="32">
                  <c:v>350</c:v>
                </c:pt>
                <c:pt idx="33">
                  <c:v>350</c:v>
                </c:pt>
                <c:pt idx="34">
                  <c:v>350</c:v>
                </c:pt>
                <c:pt idx="35">
                  <c:v>350</c:v>
                </c:pt>
                <c:pt idx="36">
                  <c:v>350</c:v>
                </c:pt>
                <c:pt idx="37">
                  <c:v>350</c:v>
                </c:pt>
                <c:pt idx="38">
                  <c:v>350</c:v>
                </c:pt>
                <c:pt idx="39">
                  <c:v>350</c:v>
                </c:pt>
                <c:pt idx="40">
                  <c:v>350</c:v>
                </c:pt>
                <c:pt idx="41">
                  <c:v>350</c:v>
                </c:pt>
                <c:pt idx="42">
                  <c:v>350</c:v>
                </c:pt>
                <c:pt idx="43">
                  <c:v>350</c:v>
                </c:pt>
                <c:pt idx="44">
                  <c:v>350</c:v>
                </c:pt>
                <c:pt idx="45">
                  <c:v>350</c:v>
                </c:pt>
                <c:pt idx="46">
                  <c:v>350</c:v>
                </c:pt>
                <c:pt idx="47">
                  <c:v>350</c:v>
                </c:pt>
                <c:pt idx="48">
                  <c:v>350</c:v>
                </c:pt>
                <c:pt idx="49">
                  <c:v>350</c:v>
                </c:pt>
                <c:pt idx="50">
                  <c:v>350</c:v>
                </c:pt>
                <c:pt idx="51">
                  <c:v>350</c:v>
                </c:pt>
                <c:pt idx="52">
                  <c:v>350</c:v>
                </c:pt>
                <c:pt idx="53">
                  <c:v>350</c:v>
                </c:pt>
                <c:pt idx="54">
                  <c:v>350</c:v>
                </c:pt>
                <c:pt idx="55">
                  <c:v>350</c:v>
                </c:pt>
                <c:pt idx="56">
                  <c:v>350</c:v>
                </c:pt>
                <c:pt idx="57">
                  <c:v>350</c:v>
                </c:pt>
                <c:pt idx="58">
                  <c:v>350</c:v>
                </c:pt>
                <c:pt idx="59">
                  <c:v>350</c:v>
                </c:pt>
                <c:pt idx="60">
                  <c:v>350</c:v>
                </c:pt>
                <c:pt idx="61">
                  <c:v>350</c:v>
                </c:pt>
                <c:pt idx="62">
                  <c:v>350</c:v>
                </c:pt>
                <c:pt idx="63">
                  <c:v>350</c:v>
                </c:pt>
                <c:pt idx="64">
                  <c:v>350</c:v>
                </c:pt>
                <c:pt idx="65">
                  <c:v>350</c:v>
                </c:pt>
                <c:pt idx="66">
                  <c:v>350</c:v>
                </c:pt>
                <c:pt idx="67">
                  <c:v>350</c:v>
                </c:pt>
                <c:pt idx="68">
                  <c:v>350</c:v>
                </c:pt>
                <c:pt idx="69">
                  <c:v>350</c:v>
                </c:pt>
                <c:pt idx="70">
                  <c:v>350</c:v>
                </c:pt>
                <c:pt idx="71">
                  <c:v>350</c:v>
                </c:pt>
                <c:pt idx="72">
                  <c:v>350</c:v>
                </c:pt>
                <c:pt idx="73">
                  <c:v>350</c:v>
                </c:pt>
                <c:pt idx="74">
                  <c:v>348.90723676796284</c:v>
                </c:pt>
                <c:pt idx="75">
                  <c:v>344.2551402777234</c:v>
                </c:pt>
                <c:pt idx="76">
                  <c:v>339.72546737933231</c:v>
                </c:pt>
                <c:pt idx="77">
                  <c:v>335.31344832245782</c:v>
                </c:pt>
                <c:pt idx="78">
                  <c:v>331.01455795934936</c:v>
                </c:pt>
                <c:pt idx="79">
                  <c:v>326.82450026366138</c:v>
                </c:pt>
                <c:pt idx="80">
                  <c:v>322.73919401036568</c:v>
                </c:pt>
                <c:pt idx="81">
                  <c:v>318.7547595164105</c:v>
                </c:pt>
                <c:pt idx="82">
                  <c:v>314.86750635157625</c:v>
                </c:pt>
                <c:pt idx="83">
                  <c:v>311.07392193770181</c:v>
                </c:pt>
                <c:pt idx="84">
                  <c:v>307.37066096225306</c:v>
                </c:pt>
                <c:pt idx="85">
                  <c:v>303.75453553916765</c:v>
                </c:pt>
                <c:pt idx="86">
                  <c:v>300.22250605615415</c:v>
                </c:pt>
                <c:pt idx="87">
                  <c:v>296.77167265320981</c:v>
                </c:pt>
                <c:pt idx="88">
                  <c:v>293.39926728215067</c:v>
                </c:pt>
                <c:pt idx="89">
                  <c:v>290.10264630145235</c:v>
                </c:pt>
                <c:pt idx="90">
                  <c:v>286.87928356476948</c:v>
                </c:pt>
                <c:pt idx="91">
                  <c:v>283.72676396515664</c:v>
                </c:pt>
                <c:pt idx="92">
                  <c:v>280.64277740031798</c:v>
                </c:pt>
                <c:pt idx="93">
                  <c:v>277.99259372905385</c:v>
                </c:pt>
                <c:pt idx="94">
                  <c:v>277.05140177070552</c:v>
                </c:pt>
                <c:pt idx="95">
                  <c:v>276.11769626307222</c:v>
                </c:pt>
                <c:pt idx="96">
                  <c:v>275.19138823664792</c:v>
                </c:pt>
                <c:pt idx="97">
                  <c:v>274.27239012612398</c:v>
                </c:pt>
                <c:pt idx="98">
                  <c:v>273.36061574279483</c:v>
                </c:pt>
                <c:pt idx="99">
                  <c:v>272.45598024761273</c:v>
                </c:pt>
                <c:pt idx="100">
                  <c:v>271.55840012487153</c:v>
                </c:pt>
              </c:numCache>
            </c:numRef>
          </c:val>
          <c:smooth val="0"/>
          <c:extLst>
            <c:ext xmlns:c16="http://schemas.microsoft.com/office/drawing/2014/chart" uri="{C3380CC4-5D6E-409C-BE32-E72D297353CC}">
              <c16:uniqueId val="{00000000-E52F-4E5A-966D-051FC0740F73}"/>
            </c:ext>
          </c:extLst>
        </c:ser>
        <c:ser>
          <c:idx val="10"/>
          <c:order val="10"/>
          <c:tx>
            <c:v>VIN-nom</c:v>
          </c:tx>
          <c:spPr>
            <a:ln w="28575">
              <a:solidFill>
                <a:srgbClr val="0000FF"/>
              </a:solidFill>
              <a:prstDash val="lgDash"/>
            </a:ln>
          </c:spPr>
          <c:marker>
            <c:symbol val="none"/>
          </c:marker>
          <c:cat>
            <c:numRef>
              <c:f>'Calculations - Dual'!$CC$5:$CC$105</c:f>
              <c:numCache>
                <c:formatCode>General</c:formatCode>
                <c:ptCount val="101"/>
                <c:pt idx="0">
                  <c:v>0</c:v>
                </c:pt>
                <c:pt idx="1">
                  <c:v>1</c:v>
                </c:pt>
                <c:pt idx="2">
                  <c:v>2</c:v>
                </c:pt>
                <c:pt idx="3">
                  <c:v>3</c:v>
                </c:pt>
                <c:pt idx="4">
                  <c:v>4</c:v>
                </c:pt>
                <c:pt idx="5">
                  <c:v>5</c:v>
                </c:pt>
                <c:pt idx="6">
                  <c:v>6</c:v>
                </c:pt>
                <c:pt idx="7">
                  <c:v>7.0000000000000009</c:v>
                </c:pt>
                <c:pt idx="8">
                  <c:v>8</c:v>
                </c:pt>
                <c:pt idx="9">
                  <c:v>9</c:v>
                </c:pt>
                <c:pt idx="10">
                  <c:v>10</c:v>
                </c:pt>
                <c:pt idx="11">
                  <c:v>11</c:v>
                </c:pt>
                <c:pt idx="12">
                  <c:v>12</c:v>
                </c:pt>
                <c:pt idx="13">
                  <c:v>13</c:v>
                </c:pt>
                <c:pt idx="14">
                  <c:v>14.000000000000002</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Dual'!$AM$5:$AM$105</c:f>
              <c:numCache>
                <c:formatCode>0.0</c:formatCode>
                <c:ptCount val="101"/>
                <c:pt idx="0">
                  <c:v>10</c:v>
                </c:pt>
                <c:pt idx="1">
                  <c:v>75.444038412509585</c:v>
                </c:pt>
                <c:pt idx="2">
                  <c:v>150.88807682501917</c:v>
                </c:pt>
                <c:pt idx="3">
                  <c:v>226.33211523752871</c:v>
                </c:pt>
                <c:pt idx="4">
                  <c:v>301.77615365003834</c:v>
                </c:pt>
                <c:pt idx="5">
                  <c:v>350</c:v>
                </c:pt>
                <c:pt idx="6">
                  <c:v>350</c:v>
                </c:pt>
                <c:pt idx="7">
                  <c:v>350</c:v>
                </c:pt>
                <c:pt idx="8">
                  <c:v>350</c:v>
                </c:pt>
                <c:pt idx="9">
                  <c:v>350</c:v>
                </c:pt>
                <c:pt idx="10">
                  <c:v>350</c:v>
                </c:pt>
                <c:pt idx="11">
                  <c:v>350</c:v>
                </c:pt>
                <c:pt idx="12">
                  <c:v>350</c:v>
                </c:pt>
                <c:pt idx="13">
                  <c:v>350</c:v>
                </c:pt>
                <c:pt idx="14">
                  <c:v>350</c:v>
                </c:pt>
                <c:pt idx="15">
                  <c:v>350</c:v>
                </c:pt>
                <c:pt idx="16">
                  <c:v>350</c:v>
                </c:pt>
                <c:pt idx="17">
                  <c:v>350</c:v>
                </c:pt>
                <c:pt idx="18">
                  <c:v>350</c:v>
                </c:pt>
                <c:pt idx="19">
                  <c:v>350</c:v>
                </c:pt>
                <c:pt idx="20">
                  <c:v>350</c:v>
                </c:pt>
                <c:pt idx="21">
                  <c:v>350</c:v>
                </c:pt>
                <c:pt idx="22">
                  <c:v>350</c:v>
                </c:pt>
                <c:pt idx="23">
                  <c:v>350</c:v>
                </c:pt>
                <c:pt idx="24">
                  <c:v>350</c:v>
                </c:pt>
                <c:pt idx="25">
                  <c:v>350</c:v>
                </c:pt>
                <c:pt idx="26">
                  <c:v>350</c:v>
                </c:pt>
                <c:pt idx="27">
                  <c:v>350</c:v>
                </c:pt>
                <c:pt idx="28">
                  <c:v>350</c:v>
                </c:pt>
                <c:pt idx="29">
                  <c:v>350</c:v>
                </c:pt>
                <c:pt idx="30">
                  <c:v>350</c:v>
                </c:pt>
                <c:pt idx="31">
                  <c:v>350</c:v>
                </c:pt>
                <c:pt idx="32">
                  <c:v>350</c:v>
                </c:pt>
                <c:pt idx="33">
                  <c:v>350</c:v>
                </c:pt>
                <c:pt idx="34">
                  <c:v>350</c:v>
                </c:pt>
                <c:pt idx="35">
                  <c:v>350</c:v>
                </c:pt>
                <c:pt idx="36">
                  <c:v>350</c:v>
                </c:pt>
                <c:pt idx="37">
                  <c:v>350</c:v>
                </c:pt>
                <c:pt idx="38">
                  <c:v>350</c:v>
                </c:pt>
                <c:pt idx="39">
                  <c:v>350</c:v>
                </c:pt>
                <c:pt idx="40">
                  <c:v>350</c:v>
                </c:pt>
                <c:pt idx="41">
                  <c:v>350</c:v>
                </c:pt>
                <c:pt idx="42">
                  <c:v>350</c:v>
                </c:pt>
                <c:pt idx="43">
                  <c:v>350</c:v>
                </c:pt>
                <c:pt idx="44">
                  <c:v>350</c:v>
                </c:pt>
                <c:pt idx="45">
                  <c:v>350</c:v>
                </c:pt>
                <c:pt idx="46">
                  <c:v>350</c:v>
                </c:pt>
                <c:pt idx="47">
                  <c:v>350</c:v>
                </c:pt>
                <c:pt idx="48">
                  <c:v>350</c:v>
                </c:pt>
                <c:pt idx="49">
                  <c:v>350</c:v>
                </c:pt>
                <c:pt idx="50">
                  <c:v>350</c:v>
                </c:pt>
                <c:pt idx="51">
                  <c:v>350</c:v>
                </c:pt>
                <c:pt idx="52">
                  <c:v>350</c:v>
                </c:pt>
                <c:pt idx="53">
                  <c:v>350</c:v>
                </c:pt>
                <c:pt idx="54">
                  <c:v>350</c:v>
                </c:pt>
                <c:pt idx="55">
                  <c:v>350</c:v>
                </c:pt>
                <c:pt idx="56">
                  <c:v>350</c:v>
                </c:pt>
                <c:pt idx="57">
                  <c:v>350</c:v>
                </c:pt>
                <c:pt idx="58">
                  <c:v>350</c:v>
                </c:pt>
                <c:pt idx="59">
                  <c:v>350</c:v>
                </c:pt>
                <c:pt idx="60">
                  <c:v>350</c:v>
                </c:pt>
                <c:pt idx="61">
                  <c:v>350</c:v>
                </c:pt>
                <c:pt idx="62">
                  <c:v>350</c:v>
                </c:pt>
                <c:pt idx="63">
                  <c:v>350</c:v>
                </c:pt>
                <c:pt idx="64">
                  <c:v>350</c:v>
                </c:pt>
                <c:pt idx="65">
                  <c:v>350</c:v>
                </c:pt>
                <c:pt idx="66">
                  <c:v>350</c:v>
                </c:pt>
                <c:pt idx="67">
                  <c:v>350</c:v>
                </c:pt>
                <c:pt idx="68">
                  <c:v>350</c:v>
                </c:pt>
                <c:pt idx="69">
                  <c:v>350</c:v>
                </c:pt>
                <c:pt idx="70">
                  <c:v>350</c:v>
                </c:pt>
                <c:pt idx="71">
                  <c:v>350</c:v>
                </c:pt>
                <c:pt idx="72">
                  <c:v>350</c:v>
                </c:pt>
                <c:pt idx="73">
                  <c:v>350</c:v>
                </c:pt>
                <c:pt idx="74">
                  <c:v>350</c:v>
                </c:pt>
                <c:pt idx="75">
                  <c:v>350</c:v>
                </c:pt>
                <c:pt idx="76">
                  <c:v>350</c:v>
                </c:pt>
                <c:pt idx="77">
                  <c:v>350</c:v>
                </c:pt>
                <c:pt idx="78">
                  <c:v>350</c:v>
                </c:pt>
                <c:pt idx="79">
                  <c:v>350</c:v>
                </c:pt>
                <c:pt idx="80">
                  <c:v>350</c:v>
                </c:pt>
                <c:pt idx="81">
                  <c:v>350</c:v>
                </c:pt>
                <c:pt idx="82">
                  <c:v>350</c:v>
                </c:pt>
                <c:pt idx="83">
                  <c:v>350</c:v>
                </c:pt>
                <c:pt idx="84">
                  <c:v>350</c:v>
                </c:pt>
                <c:pt idx="85">
                  <c:v>350</c:v>
                </c:pt>
                <c:pt idx="86">
                  <c:v>350</c:v>
                </c:pt>
                <c:pt idx="87">
                  <c:v>350</c:v>
                </c:pt>
                <c:pt idx="88">
                  <c:v>350</c:v>
                </c:pt>
                <c:pt idx="89">
                  <c:v>350</c:v>
                </c:pt>
                <c:pt idx="90">
                  <c:v>350</c:v>
                </c:pt>
                <c:pt idx="91">
                  <c:v>350</c:v>
                </c:pt>
                <c:pt idx="92">
                  <c:v>350</c:v>
                </c:pt>
                <c:pt idx="93">
                  <c:v>350</c:v>
                </c:pt>
                <c:pt idx="94">
                  <c:v>350</c:v>
                </c:pt>
                <c:pt idx="95">
                  <c:v>350</c:v>
                </c:pt>
                <c:pt idx="96">
                  <c:v>350</c:v>
                </c:pt>
                <c:pt idx="97">
                  <c:v>350</c:v>
                </c:pt>
                <c:pt idx="98">
                  <c:v>350</c:v>
                </c:pt>
                <c:pt idx="99">
                  <c:v>346.9946686846194</c:v>
                </c:pt>
                <c:pt idx="100">
                  <c:v>343.52472199777316</c:v>
                </c:pt>
              </c:numCache>
            </c:numRef>
          </c:val>
          <c:smooth val="0"/>
          <c:extLst>
            <c:ext xmlns:c16="http://schemas.microsoft.com/office/drawing/2014/chart" uri="{C3380CC4-5D6E-409C-BE32-E72D297353CC}">
              <c16:uniqueId val="{00000001-E52F-4E5A-966D-051FC0740F73}"/>
            </c:ext>
          </c:extLst>
        </c:ser>
        <c:ser>
          <c:idx val="11"/>
          <c:order val="11"/>
          <c:tx>
            <c:v>VIN-max</c:v>
          </c:tx>
          <c:spPr>
            <a:ln>
              <a:solidFill>
                <a:srgbClr val="FF0000"/>
              </a:solidFill>
              <a:prstDash val="solid"/>
            </a:ln>
          </c:spPr>
          <c:marker>
            <c:symbol val="none"/>
          </c:marker>
          <c:cat>
            <c:numRef>
              <c:f>'Calculations - Dual'!$CC$5:$CC$105</c:f>
              <c:numCache>
                <c:formatCode>General</c:formatCode>
                <c:ptCount val="101"/>
                <c:pt idx="0">
                  <c:v>0</c:v>
                </c:pt>
                <c:pt idx="1">
                  <c:v>1</c:v>
                </c:pt>
                <c:pt idx="2">
                  <c:v>2</c:v>
                </c:pt>
                <c:pt idx="3">
                  <c:v>3</c:v>
                </c:pt>
                <c:pt idx="4">
                  <c:v>4</c:v>
                </c:pt>
                <c:pt idx="5">
                  <c:v>5</c:v>
                </c:pt>
                <c:pt idx="6">
                  <c:v>6</c:v>
                </c:pt>
                <c:pt idx="7">
                  <c:v>7.0000000000000009</c:v>
                </c:pt>
                <c:pt idx="8">
                  <c:v>8</c:v>
                </c:pt>
                <c:pt idx="9">
                  <c:v>9</c:v>
                </c:pt>
                <c:pt idx="10">
                  <c:v>10</c:v>
                </c:pt>
                <c:pt idx="11">
                  <c:v>11</c:v>
                </c:pt>
                <c:pt idx="12">
                  <c:v>12</c:v>
                </c:pt>
                <c:pt idx="13">
                  <c:v>13</c:v>
                </c:pt>
                <c:pt idx="14">
                  <c:v>14.000000000000002</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Dual'!$AM$218:$AM$318</c:f>
              <c:numCache>
                <c:formatCode>0.0</c:formatCode>
                <c:ptCount val="101"/>
                <c:pt idx="0">
                  <c:v>10</c:v>
                </c:pt>
                <c:pt idx="1">
                  <c:v>75.444038412509585</c:v>
                </c:pt>
                <c:pt idx="2">
                  <c:v>150.88807682501917</c:v>
                </c:pt>
                <c:pt idx="3">
                  <c:v>226.33211523752871</c:v>
                </c:pt>
                <c:pt idx="4">
                  <c:v>301.77615365003834</c:v>
                </c:pt>
                <c:pt idx="5">
                  <c:v>350</c:v>
                </c:pt>
                <c:pt idx="6">
                  <c:v>350</c:v>
                </c:pt>
                <c:pt idx="7">
                  <c:v>350</c:v>
                </c:pt>
                <c:pt idx="8">
                  <c:v>350</c:v>
                </c:pt>
                <c:pt idx="9">
                  <c:v>350</c:v>
                </c:pt>
                <c:pt idx="10">
                  <c:v>350</c:v>
                </c:pt>
                <c:pt idx="11">
                  <c:v>350</c:v>
                </c:pt>
                <c:pt idx="12">
                  <c:v>350</c:v>
                </c:pt>
                <c:pt idx="13">
                  <c:v>350</c:v>
                </c:pt>
                <c:pt idx="14">
                  <c:v>350</c:v>
                </c:pt>
                <c:pt idx="15">
                  <c:v>350</c:v>
                </c:pt>
                <c:pt idx="16">
                  <c:v>350</c:v>
                </c:pt>
                <c:pt idx="17">
                  <c:v>350</c:v>
                </c:pt>
                <c:pt idx="18">
                  <c:v>350</c:v>
                </c:pt>
                <c:pt idx="19">
                  <c:v>350</c:v>
                </c:pt>
                <c:pt idx="20">
                  <c:v>350</c:v>
                </c:pt>
                <c:pt idx="21">
                  <c:v>350</c:v>
                </c:pt>
                <c:pt idx="22">
                  <c:v>350</c:v>
                </c:pt>
                <c:pt idx="23">
                  <c:v>350</c:v>
                </c:pt>
                <c:pt idx="24">
                  <c:v>350</c:v>
                </c:pt>
                <c:pt idx="25">
                  <c:v>350</c:v>
                </c:pt>
                <c:pt idx="26">
                  <c:v>350</c:v>
                </c:pt>
                <c:pt idx="27">
                  <c:v>350</c:v>
                </c:pt>
                <c:pt idx="28">
                  <c:v>350</c:v>
                </c:pt>
                <c:pt idx="29">
                  <c:v>350</c:v>
                </c:pt>
                <c:pt idx="30">
                  <c:v>350</c:v>
                </c:pt>
                <c:pt idx="31">
                  <c:v>350</c:v>
                </c:pt>
                <c:pt idx="32">
                  <c:v>350</c:v>
                </c:pt>
                <c:pt idx="33">
                  <c:v>350</c:v>
                </c:pt>
                <c:pt idx="34">
                  <c:v>350</c:v>
                </c:pt>
                <c:pt idx="35">
                  <c:v>350</c:v>
                </c:pt>
                <c:pt idx="36">
                  <c:v>350</c:v>
                </c:pt>
                <c:pt idx="37">
                  <c:v>350</c:v>
                </c:pt>
                <c:pt idx="38">
                  <c:v>350</c:v>
                </c:pt>
                <c:pt idx="39">
                  <c:v>350</c:v>
                </c:pt>
                <c:pt idx="40">
                  <c:v>350</c:v>
                </c:pt>
                <c:pt idx="41">
                  <c:v>350</c:v>
                </c:pt>
                <c:pt idx="42">
                  <c:v>350</c:v>
                </c:pt>
                <c:pt idx="43">
                  <c:v>350</c:v>
                </c:pt>
                <c:pt idx="44">
                  <c:v>350</c:v>
                </c:pt>
                <c:pt idx="45">
                  <c:v>350</c:v>
                </c:pt>
                <c:pt idx="46">
                  <c:v>350</c:v>
                </c:pt>
                <c:pt idx="47">
                  <c:v>350</c:v>
                </c:pt>
                <c:pt idx="48">
                  <c:v>350</c:v>
                </c:pt>
                <c:pt idx="49">
                  <c:v>350</c:v>
                </c:pt>
                <c:pt idx="50">
                  <c:v>350</c:v>
                </c:pt>
                <c:pt idx="51">
                  <c:v>350</c:v>
                </c:pt>
                <c:pt idx="52">
                  <c:v>350</c:v>
                </c:pt>
                <c:pt idx="53">
                  <c:v>350</c:v>
                </c:pt>
                <c:pt idx="54">
                  <c:v>350</c:v>
                </c:pt>
                <c:pt idx="55">
                  <c:v>350</c:v>
                </c:pt>
                <c:pt idx="56">
                  <c:v>350</c:v>
                </c:pt>
                <c:pt idx="57">
                  <c:v>350</c:v>
                </c:pt>
                <c:pt idx="58">
                  <c:v>350</c:v>
                </c:pt>
                <c:pt idx="59">
                  <c:v>350</c:v>
                </c:pt>
                <c:pt idx="60">
                  <c:v>350</c:v>
                </c:pt>
                <c:pt idx="61">
                  <c:v>350</c:v>
                </c:pt>
                <c:pt idx="62">
                  <c:v>350</c:v>
                </c:pt>
                <c:pt idx="63">
                  <c:v>350</c:v>
                </c:pt>
                <c:pt idx="64">
                  <c:v>350</c:v>
                </c:pt>
                <c:pt idx="65">
                  <c:v>350</c:v>
                </c:pt>
                <c:pt idx="66">
                  <c:v>350</c:v>
                </c:pt>
                <c:pt idx="67">
                  <c:v>350</c:v>
                </c:pt>
                <c:pt idx="68">
                  <c:v>350</c:v>
                </c:pt>
                <c:pt idx="69">
                  <c:v>350</c:v>
                </c:pt>
                <c:pt idx="70">
                  <c:v>350</c:v>
                </c:pt>
                <c:pt idx="71">
                  <c:v>350</c:v>
                </c:pt>
                <c:pt idx="72">
                  <c:v>350</c:v>
                </c:pt>
                <c:pt idx="73">
                  <c:v>350</c:v>
                </c:pt>
                <c:pt idx="74">
                  <c:v>350</c:v>
                </c:pt>
                <c:pt idx="75">
                  <c:v>350</c:v>
                </c:pt>
                <c:pt idx="76">
                  <c:v>350</c:v>
                </c:pt>
                <c:pt idx="77">
                  <c:v>350</c:v>
                </c:pt>
                <c:pt idx="78">
                  <c:v>350</c:v>
                </c:pt>
                <c:pt idx="79">
                  <c:v>350</c:v>
                </c:pt>
                <c:pt idx="80">
                  <c:v>350</c:v>
                </c:pt>
                <c:pt idx="81">
                  <c:v>350</c:v>
                </c:pt>
                <c:pt idx="82">
                  <c:v>350</c:v>
                </c:pt>
                <c:pt idx="83">
                  <c:v>350</c:v>
                </c:pt>
                <c:pt idx="84">
                  <c:v>350</c:v>
                </c:pt>
                <c:pt idx="85">
                  <c:v>350</c:v>
                </c:pt>
                <c:pt idx="86">
                  <c:v>350</c:v>
                </c:pt>
                <c:pt idx="87">
                  <c:v>350</c:v>
                </c:pt>
                <c:pt idx="88">
                  <c:v>350</c:v>
                </c:pt>
                <c:pt idx="89">
                  <c:v>350</c:v>
                </c:pt>
                <c:pt idx="90">
                  <c:v>350</c:v>
                </c:pt>
                <c:pt idx="91">
                  <c:v>350</c:v>
                </c:pt>
                <c:pt idx="92">
                  <c:v>350</c:v>
                </c:pt>
                <c:pt idx="93">
                  <c:v>350</c:v>
                </c:pt>
                <c:pt idx="94">
                  <c:v>350</c:v>
                </c:pt>
                <c:pt idx="95">
                  <c:v>350</c:v>
                </c:pt>
                <c:pt idx="96">
                  <c:v>350</c:v>
                </c:pt>
                <c:pt idx="97">
                  <c:v>350</c:v>
                </c:pt>
                <c:pt idx="98">
                  <c:v>350</c:v>
                </c:pt>
                <c:pt idx="99">
                  <c:v>350</c:v>
                </c:pt>
                <c:pt idx="100">
                  <c:v>350</c:v>
                </c:pt>
              </c:numCache>
            </c:numRef>
          </c:val>
          <c:smooth val="0"/>
          <c:extLst>
            <c:ext xmlns:c16="http://schemas.microsoft.com/office/drawing/2014/chart" uri="{C3380CC4-5D6E-409C-BE32-E72D297353CC}">
              <c16:uniqueId val="{00000002-E52F-4E5A-966D-051FC0740F73}"/>
            </c:ext>
          </c:extLst>
        </c:ser>
        <c:ser>
          <c:idx val="12"/>
          <c:order val="12"/>
          <c:spPr>
            <a:ln>
              <a:noFill/>
            </a:ln>
          </c:spPr>
          <c:marker>
            <c:symbol val="none"/>
          </c:marker>
          <c:cat>
            <c:numRef>
              <c:f>'Calculations - Dual'!$CC$5:$CC$105</c:f>
              <c:numCache>
                <c:formatCode>General</c:formatCode>
                <c:ptCount val="101"/>
                <c:pt idx="0">
                  <c:v>0</c:v>
                </c:pt>
                <c:pt idx="1">
                  <c:v>1</c:v>
                </c:pt>
                <c:pt idx="2">
                  <c:v>2</c:v>
                </c:pt>
                <c:pt idx="3">
                  <c:v>3</c:v>
                </c:pt>
                <c:pt idx="4">
                  <c:v>4</c:v>
                </c:pt>
                <c:pt idx="5">
                  <c:v>5</c:v>
                </c:pt>
                <c:pt idx="6">
                  <c:v>6</c:v>
                </c:pt>
                <c:pt idx="7">
                  <c:v>7.0000000000000009</c:v>
                </c:pt>
                <c:pt idx="8">
                  <c:v>8</c:v>
                </c:pt>
                <c:pt idx="9">
                  <c:v>9</c:v>
                </c:pt>
                <c:pt idx="10">
                  <c:v>10</c:v>
                </c:pt>
                <c:pt idx="11">
                  <c:v>11</c:v>
                </c:pt>
                <c:pt idx="12">
                  <c:v>12</c:v>
                </c:pt>
                <c:pt idx="13">
                  <c:v>13</c:v>
                </c:pt>
                <c:pt idx="14">
                  <c:v>14.000000000000002</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Dual'!$CE$110:$CE$210</c:f>
              <c:numCache>
                <c:formatCode>General</c:formatCode>
                <c:ptCount val="10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277.99259372905385</c:v>
                </c:pt>
                <c:pt idx="94">
                  <c:v>-50</c:v>
                </c:pt>
                <c:pt idx="95">
                  <c:v>-50</c:v>
                </c:pt>
                <c:pt idx="96">
                  <c:v>-50</c:v>
                </c:pt>
                <c:pt idx="97">
                  <c:v>-50</c:v>
                </c:pt>
                <c:pt idx="98">
                  <c:v>-50</c:v>
                </c:pt>
                <c:pt idx="99">
                  <c:v>-50</c:v>
                </c:pt>
                <c:pt idx="100">
                  <c:v>-50</c:v>
                </c:pt>
              </c:numCache>
            </c:numRef>
          </c:val>
          <c:smooth val="0"/>
          <c:extLst>
            <c:ext xmlns:c16="http://schemas.microsoft.com/office/drawing/2014/chart" uri="{C3380CC4-5D6E-409C-BE32-E72D297353CC}">
              <c16:uniqueId val="{00000003-E52F-4E5A-966D-051FC0740F73}"/>
            </c:ext>
          </c:extLst>
        </c:ser>
        <c:ser>
          <c:idx val="13"/>
          <c:order val="13"/>
          <c:spPr>
            <a:ln>
              <a:noFill/>
            </a:ln>
          </c:spPr>
          <c:marker>
            <c:symbol val="none"/>
          </c:marker>
          <c:cat>
            <c:numRef>
              <c:f>'Calculations - Dual'!$CC$5:$CC$105</c:f>
              <c:numCache>
                <c:formatCode>General</c:formatCode>
                <c:ptCount val="101"/>
                <c:pt idx="0">
                  <c:v>0</c:v>
                </c:pt>
                <c:pt idx="1">
                  <c:v>1</c:v>
                </c:pt>
                <c:pt idx="2">
                  <c:v>2</c:v>
                </c:pt>
                <c:pt idx="3">
                  <c:v>3</c:v>
                </c:pt>
                <c:pt idx="4">
                  <c:v>4</c:v>
                </c:pt>
                <c:pt idx="5">
                  <c:v>5</c:v>
                </c:pt>
                <c:pt idx="6">
                  <c:v>6</c:v>
                </c:pt>
                <c:pt idx="7">
                  <c:v>7.0000000000000009</c:v>
                </c:pt>
                <c:pt idx="8">
                  <c:v>8</c:v>
                </c:pt>
                <c:pt idx="9">
                  <c:v>9</c:v>
                </c:pt>
                <c:pt idx="10">
                  <c:v>10</c:v>
                </c:pt>
                <c:pt idx="11">
                  <c:v>11</c:v>
                </c:pt>
                <c:pt idx="12">
                  <c:v>12</c:v>
                </c:pt>
                <c:pt idx="13">
                  <c:v>13</c:v>
                </c:pt>
                <c:pt idx="14">
                  <c:v>14.000000000000002</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Dual'!$CE$5:$CE$105</c:f>
              <c:numCache>
                <c:formatCode>General</c:formatCode>
                <c:ptCount val="10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numCache>
            </c:numRef>
          </c:val>
          <c:smooth val="0"/>
          <c:extLst>
            <c:ext xmlns:c16="http://schemas.microsoft.com/office/drawing/2014/chart" uri="{C3380CC4-5D6E-409C-BE32-E72D297353CC}">
              <c16:uniqueId val="{00000004-E52F-4E5A-966D-051FC0740F73}"/>
            </c:ext>
          </c:extLst>
        </c:ser>
        <c:ser>
          <c:idx val="14"/>
          <c:order val="14"/>
          <c:spPr>
            <a:ln>
              <a:noFill/>
            </a:ln>
          </c:spPr>
          <c:marker>
            <c:symbol val="none"/>
          </c:marker>
          <c:cat>
            <c:numRef>
              <c:f>'Calculations - Dual'!$CC$5:$CC$105</c:f>
              <c:numCache>
                <c:formatCode>General</c:formatCode>
                <c:ptCount val="101"/>
                <c:pt idx="0">
                  <c:v>0</c:v>
                </c:pt>
                <c:pt idx="1">
                  <c:v>1</c:v>
                </c:pt>
                <c:pt idx="2">
                  <c:v>2</c:v>
                </c:pt>
                <c:pt idx="3">
                  <c:v>3</c:v>
                </c:pt>
                <c:pt idx="4">
                  <c:v>4</c:v>
                </c:pt>
                <c:pt idx="5">
                  <c:v>5</c:v>
                </c:pt>
                <c:pt idx="6">
                  <c:v>6</c:v>
                </c:pt>
                <c:pt idx="7">
                  <c:v>7.0000000000000009</c:v>
                </c:pt>
                <c:pt idx="8">
                  <c:v>8</c:v>
                </c:pt>
                <c:pt idx="9">
                  <c:v>9</c:v>
                </c:pt>
                <c:pt idx="10">
                  <c:v>10</c:v>
                </c:pt>
                <c:pt idx="11">
                  <c:v>11</c:v>
                </c:pt>
                <c:pt idx="12">
                  <c:v>12</c:v>
                </c:pt>
                <c:pt idx="13">
                  <c:v>13</c:v>
                </c:pt>
                <c:pt idx="14">
                  <c:v>14.000000000000002</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Dual'!$CE$218:$CE$318</c:f>
              <c:numCache>
                <c:formatCode>General</c:formatCode>
                <c:ptCount val="10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numCache>
            </c:numRef>
          </c:val>
          <c:smooth val="0"/>
          <c:extLst>
            <c:ext xmlns:c16="http://schemas.microsoft.com/office/drawing/2014/chart" uri="{C3380CC4-5D6E-409C-BE32-E72D297353CC}">
              <c16:uniqueId val="{00000005-E52F-4E5A-966D-051FC0740F73}"/>
            </c:ext>
          </c:extLst>
        </c:ser>
        <c:ser>
          <c:idx val="15"/>
          <c:order val="15"/>
          <c:tx>
            <c:v>D1</c:v>
          </c:tx>
          <c:spPr>
            <a:ln w="25400">
              <a:solidFill>
                <a:srgbClr val="0000FF"/>
              </a:solidFill>
              <a:prstDash val="lgDash"/>
            </a:ln>
          </c:spPr>
          <c:marker>
            <c:symbol val="none"/>
          </c:marker>
          <c:val>
            <c:numRef>
              <c:f>'Calculations - Dual'!$AU$5:$AU$105</c:f>
              <c:numCache>
                <c:formatCode>0.000</c:formatCode>
                <c:ptCount val="101"/>
                <c:pt idx="0">
                  <c:v>3.8266666666666662E-3</c:v>
                </c:pt>
                <c:pt idx="1">
                  <c:v>2.8869918699186998E-2</c:v>
                </c:pt>
                <c:pt idx="2">
                  <c:v>5.7739837398373996E-2</c:v>
                </c:pt>
                <c:pt idx="3">
                  <c:v>8.6609756097560969E-2</c:v>
                </c:pt>
                <c:pt idx="4">
                  <c:v>0.11547967479674799</c:v>
                </c:pt>
                <c:pt idx="5">
                  <c:v>0.13505143053255261</c:v>
                </c:pt>
                <c:pt idx="6">
                  <c:v>0.14794142985204201</c:v>
                </c:pt>
                <c:pt idx="7">
                  <c:v>0.15979500757046336</c:v>
                </c:pt>
                <c:pt idx="8">
                  <c:v>0.17082804869874915</c:v>
                </c:pt>
                <c:pt idx="9">
                  <c:v>0.18119050747762699</c:v>
                </c:pt>
                <c:pt idx="10">
                  <c:v>0.1909915646770238</c:v>
                </c:pt>
                <c:pt idx="11">
                  <c:v>0.20031364295912432</c:v>
                </c:pt>
                <c:pt idx="12">
                  <c:v>0.20922077653362561</c:v>
                </c:pt>
                <c:pt idx="13">
                  <c:v>0.21776388844597516</c:v>
                </c:pt>
                <c:pt idx="14">
                  <c:v>0.2259842669056607</c:v>
                </c:pt>
                <c:pt idx="15">
                  <c:v>0.23391593931723995</c:v>
                </c:pt>
                <c:pt idx="16">
                  <c:v>0.24158734330350262</c:v>
                </c:pt>
                <c:pt idx="17">
                  <c:v>0.24902253356317419</c:v>
                </c:pt>
                <c:pt idx="18">
                  <c:v>0.25624207304812374</c:v>
                </c:pt>
                <c:pt idx="19">
                  <c:v>0.2632637038746089</c:v>
                </c:pt>
                <c:pt idx="20">
                  <c:v>0.27010286106510523</c:v>
                </c:pt>
                <c:pt idx="21">
                  <c:v>0.27677307190789591</c:v>
                </c:pt>
                <c:pt idx="22">
                  <c:v>0.28328627060115547</c:v>
                </c:pt>
                <c:pt idx="23">
                  <c:v>0.28965304916207746</c:v>
                </c:pt>
                <c:pt idx="24">
                  <c:v>0.29588285970408401</c:v>
                </c:pt>
                <c:pt idx="25">
                  <c:v>0.30198417912937831</c:v>
                </c:pt>
                <c:pt idx="26">
                  <c:v>0.30796464443539978</c:v>
                </c:pt>
                <c:pt idx="27">
                  <c:v>0.31383116480043849</c:v>
                </c:pt>
                <c:pt idx="28">
                  <c:v>0.31959001514092672</c:v>
                </c:pt>
                <c:pt idx="29">
                  <c:v>0.32524691475178596</c:v>
                </c:pt>
                <c:pt idx="30">
                  <c:v>0.33080709383768264</c:v>
                </c:pt>
                <c:pt idx="31">
                  <c:v>0.33627535013900606</c:v>
                </c:pt>
                <c:pt idx="32">
                  <c:v>0.3416560973974983</c:v>
                </c:pt>
                <c:pt idx="33">
                  <c:v>0.34695340705441513</c:v>
                </c:pt>
                <c:pt idx="34">
                  <c:v>0.35217104430155016</c:v>
                </c:pt>
                <c:pt idx="35">
                  <c:v>0.35731249939264947</c:v>
                </c:pt>
                <c:pt idx="36">
                  <c:v>0.36238101495525399</c:v>
                </c:pt>
                <c:pt idx="37">
                  <c:v>0.36737960991020957</c:v>
                </c:pt>
                <c:pt idx="38">
                  <c:v>0.37231110050004629</c:v>
                </c:pt>
                <c:pt idx="39">
                  <c:v>0.37717811884219016</c:v>
                </c:pt>
                <c:pt idx="40">
                  <c:v>0.3819831293540476</c:v>
                </c:pt>
                <c:pt idx="41">
                  <c:v>0.38672844334091705</c:v>
                </c:pt>
                <c:pt idx="42">
                  <c:v>0.39141623199181025</c:v>
                </c:pt>
                <c:pt idx="43">
                  <c:v>0.39604853799054029</c:v>
                </c:pt>
                <c:pt idx="44">
                  <c:v>0.40062728591824864</c:v>
                </c:pt>
                <c:pt idx="45">
                  <c:v>0.40515429159765781</c:v>
                </c:pt>
                <c:pt idx="46">
                  <c:v>0.4096312705077309</c:v>
                </c:pt>
                <c:pt idx="47">
                  <c:v>0.41405984537933099</c:v>
                </c:pt>
                <c:pt idx="48">
                  <c:v>0.41844155306725123</c:v>
                </c:pt>
                <c:pt idx="49">
                  <c:v>0.42277785078112962</c:v>
                </c:pt>
                <c:pt idx="50">
                  <c:v>0.42707012174687287</c:v>
                </c:pt>
                <c:pt idx="51">
                  <c:v>0.43131968036094365</c:v>
                </c:pt>
                <c:pt idx="52">
                  <c:v>0.43552777689195032</c:v>
                </c:pt>
                <c:pt idx="53">
                  <c:v>0.43969560177720929</c:v>
                </c:pt>
                <c:pt idx="54">
                  <c:v>0.44382428955612607</c:v>
                </c:pt>
                <c:pt idx="55">
                  <c:v>0.44791492247722425</c:v>
                </c:pt>
                <c:pt idx="56">
                  <c:v>0.4519685338113214</c:v>
                </c:pt>
                <c:pt idx="57">
                  <c:v>0.45598611089959007</c:v>
                </c:pt>
                <c:pt idx="58">
                  <c:v>0.45996859796198164</c:v>
                </c:pt>
                <c:pt idx="59">
                  <c:v>0.46391689868864316</c:v>
                </c:pt>
                <c:pt idx="60">
                  <c:v>0.46783187863447989</c:v>
                </c:pt>
                <c:pt idx="61">
                  <c:v>0.4717143674348328</c:v>
                </c:pt>
                <c:pt idx="62">
                  <c:v>0.47556516085834355</c:v>
                </c:pt>
                <c:pt idx="63">
                  <c:v>0.47938502271139</c:v>
                </c:pt>
                <c:pt idx="64">
                  <c:v>0.48317468660700524</c:v>
                </c:pt>
                <c:pt idx="65">
                  <c:v>0.48693485760988142</c:v>
                </c:pt>
                <c:pt idx="66">
                  <c:v>0.49066621376790692</c:v>
                </c:pt>
                <c:pt idx="67">
                  <c:v>0.49436940753965658</c:v>
                </c:pt>
                <c:pt idx="68">
                  <c:v>0.49804506712634838</c:v>
                </c:pt>
                <c:pt idx="69">
                  <c:v>0.50169379771596401</c:v>
                </c:pt>
                <c:pt idx="70">
                  <c:v>0.50531618264651335</c:v>
                </c:pt>
                <c:pt idx="71">
                  <c:v>0.50891278449477195</c:v>
                </c:pt>
                <c:pt idx="72">
                  <c:v>0.51248414609624748</c:v>
                </c:pt>
                <c:pt idx="73">
                  <c:v>0.51603079150160958</c:v>
                </c:pt>
                <c:pt idx="74">
                  <c:v>0.51955322687435546</c:v>
                </c:pt>
                <c:pt idx="75">
                  <c:v>0.52305194133406419</c:v>
                </c:pt>
                <c:pt idx="76">
                  <c:v>0.5265274077492178</c:v>
                </c:pt>
                <c:pt idx="77">
                  <c:v>0.52998008348322756</c:v>
                </c:pt>
                <c:pt idx="78">
                  <c:v>0.53341041109699627</c:v>
                </c:pt>
                <c:pt idx="79">
                  <c:v>0.5368188190110742</c:v>
                </c:pt>
                <c:pt idx="80">
                  <c:v>0.54020572213021045</c:v>
                </c:pt>
                <c:pt idx="81">
                  <c:v>0.54357152243288098</c:v>
                </c:pt>
                <c:pt idx="82">
                  <c:v>0.5469166095281599</c:v>
                </c:pt>
                <c:pt idx="83">
                  <c:v>0.55024136118212297</c:v>
                </c:pt>
                <c:pt idx="84">
                  <c:v>0.55354614381579181</c:v>
                </c:pt>
                <c:pt idx="85">
                  <c:v>0.55683131297648036</c:v>
                </c:pt>
                <c:pt idx="86">
                  <c:v>0.56009721378425803</c:v>
                </c:pt>
                <c:pt idx="87">
                  <c:v>0.56334418135511677</c:v>
                </c:pt>
                <c:pt idx="88">
                  <c:v>0.56657254120231093</c:v>
                </c:pt>
                <c:pt idx="89">
                  <c:v>0.56978260961723126</c:v>
                </c:pt>
                <c:pt idx="90">
                  <c:v>0.57297469403107137</c:v>
                </c:pt>
                <c:pt idx="91">
                  <c:v>0.57614909335846198</c:v>
                </c:pt>
                <c:pt idx="92">
                  <c:v>0.57930609832415492</c:v>
                </c:pt>
                <c:pt idx="93">
                  <c:v>0.58244599177377232</c:v>
                </c:pt>
                <c:pt idx="94">
                  <c:v>0.58556904896955664</c:v>
                </c:pt>
                <c:pt idx="95">
                  <c:v>0.58867553787200033</c:v>
                </c:pt>
                <c:pt idx="96">
                  <c:v>0.59176571940816802</c:v>
                </c:pt>
                <c:pt idx="97">
                  <c:v>0.59483984772747389</c:v>
                </c:pt>
                <c:pt idx="98">
                  <c:v>0.61296190371105963</c:v>
                </c:pt>
                <c:pt idx="99">
                  <c:v>0.61389961389961401</c:v>
                </c:pt>
                <c:pt idx="100">
                  <c:v>0.61389961389961389</c:v>
                </c:pt>
              </c:numCache>
            </c:numRef>
          </c:val>
          <c:smooth val="0"/>
          <c:extLst>
            <c:ext xmlns:c16="http://schemas.microsoft.com/office/drawing/2014/chart" uri="{C3380CC4-5D6E-409C-BE32-E72D297353CC}">
              <c16:uniqueId val="{00000006-E52F-4E5A-966D-051FC0740F73}"/>
            </c:ext>
          </c:extLst>
        </c:ser>
        <c:ser>
          <c:idx val="16"/>
          <c:order val="16"/>
          <c:spPr>
            <a:ln w="25400">
              <a:solidFill>
                <a:srgbClr val="00B050"/>
              </a:solidFill>
              <a:prstDash val="dash"/>
            </a:ln>
          </c:spPr>
          <c:marker>
            <c:symbol val="none"/>
          </c:marker>
          <c:val>
            <c:numRef>
              <c:f>'Calculations - Dual'!$AU$110:$AU$210</c:f>
              <c:numCache>
                <c:formatCode>0.000</c:formatCode>
                <c:ptCount val="101"/>
                <c:pt idx="0">
                  <c:v>4.7833333333333321E-3</c:v>
                </c:pt>
                <c:pt idx="1">
                  <c:v>3.6087398373983746E-2</c:v>
                </c:pt>
                <c:pt idx="2">
                  <c:v>7.2174796747967493E-2</c:v>
                </c:pt>
                <c:pt idx="3">
                  <c:v>0.1082621951219512</c:v>
                </c:pt>
                <c:pt idx="4">
                  <c:v>0.14434959349593499</c:v>
                </c:pt>
                <c:pt idx="5">
                  <c:v>0.16881428816569077</c:v>
                </c:pt>
                <c:pt idx="6">
                  <c:v>0.18492678731505247</c:v>
                </c:pt>
                <c:pt idx="7">
                  <c:v>0.19974375946307918</c:v>
                </c:pt>
                <c:pt idx="8">
                  <c:v>0.21353506087343643</c:v>
                </c:pt>
                <c:pt idx="9">
                  <c:v>0.22648813434703371</c:v>
                </c:pt>
                <c:pt idx="10">
                  <c:v>0.23873945584627979</c:v>
                </c:pt>
                <c:pt idx="11">
                  <c:v>0.25039205369890538</c:v>
                </c:pt>
                <c:pt idx="12">
                  <c:v>0.26152597066703204</c:v>
                </c:pt>
                <c:pt idx="13">
                  <c:v>0.27220486055746895</c:v>
                </c:pt>
                <c:pt idx="14">
                  <c:v>0.28248033363207586</c:v>
                </c:pt>
                <c:pt idx="15">
                  <c:v>0.29239492414654988</c:v>
                </c:pt>
                <c:pt idx="16">
                  <c:v>0.30198417912937825</c:v>
                </c:pt>
                <c:pt idx="17">
                  <c:v>0.31127816695396776</c:v>
                </c:pt>
                <c:pt idx="18">
                  <c:v>0.32030259131015471</c:v>
                </c:pt>
                <c:pt idx="19">
                  <c:v>0.32907962984326106</c:v>
                </c:pt>
                <c:pt idx="20">
                  <c:v>0.33762857633138155</c:v>
                </c:pt>
                <c:pt idx="21">
                  <c:v>0.34596633988486991</c:v>
                </c:pt>
                <c:pt idx="22">
                  <c:v>0.35410783825144437</c:v>
                </c:pt>
                <c:pt idx="23">
                  <c:v>0.36206631145259682</c:v>
                </c:pt>
                <c:pt idx="24">
                  <c:v>0.36985357463010493</c:v>
                </c:pt>
                <c:pt idx="25">
                  <c:v>0.37748022391172287</c:v>
                </c:pt>
                <c:pt idx="26">
                  <c:v>0.38495580554424974</c:v>
                </c:pt>
                <c:pt idx="27">
                  <c:v>0.39228895600054814</c:v>
                </c:pt>
                <c:pt idx="28">
                  <c:v>0.39948751892615836</c:v>
                </c:pt>
                <c:pt idx="29">
                  <c:v>0.40655864343973247</c:v>
                </c:pt>
                <c:pt idx="30">
                  <c:v>0.41350886729710323</c:v>
                </c:pt>
                <c:pt idx="31">
                  <c:v>0.42034418767375759</c:v>
                </c:pt>
                <c:pt idx="32">
                  <c:v>0.42707012174687287</c:v>
                </c:pt>
                <c:pt idx="33">
                  <c:v>0.4336917588180188</c:v>
                </c:pt>
                <c:pt idx="34">
                  <c:v>0.44021380537693777</c:v>
                </c:pt>
                <c:pt idx="35">
                  <c:v>0.44664062424081191</c:v>
                </c:pt>
                <c:pt idx="36">
                  <c:v>0.45297626869406743</c:v>
                </c:pt>
                <c:pt idx="37">
                  <c:v>0.45922451238776191</c:v>
                </c:pt>
                <c:pt idx="38">
                  <c:v>0.46538887562505782</c:v>
                </c:pt>
                <c:pt idx="39">
                  <c:v>0.47147264855273768</c:v>
                </c:pt>
                <c:pt idx="40">
                  <c:v>0.47747891169255957</c:v>
                </c:pt>
                <c:pt idx="41">
                  <c:v>0.48341055417614631</c:v>
                </c:pt>
                <c:pt idx="42">
                  <c:v>0.48927028998976291</c:v>
                </c:pt>
                <c:pt idx="43">
                  <c:v>0.49506067248817537</c:v>
                </c:pt>
                <c:pt idx="44">
                  <c:v>0.50078410739781076</c:v>
                </c:pt>
                <c:pt idx="45">
                  <c:v>0.50644286449707232</c:v>
                </c:pt>
                <c:pt idx="46">
                  <c:v>0.51203908813466359</c:v>
                </c:pt>
                <c:pt idx="47">
                  <c:v>0.51757480672416378</c:v>
                </c:pt>
                <c:pt idx="48">
                  <c:v>0.52305194133406407</c:v>
                </c:pt>
                <c:pt idx="49">
                  <c:v>0.5284723134764121</c:v>
                </c:pt>
                <c:pt idx="50">
                  <c:v>0.53383765218359114</c:v>
                </c:pt>
                <c:pt idx="51">
                  <c:v>0.53914960045117954</c:v>
                </c:pt>
                <c:pt idx="52">
                  <c:v>0.54440972111493791</c:v>
                </c:pt>
                <c:pt idx="53">
                  <c:v>0.54961950222151157</c:v>
                </c:pt>
                <c:pt idx="54">
                  <c:v>0.55478036194515756</c:v>
                </c:pt>
                <c:pt idx="55">
                  <c:v>0.55989365309653027</c:v>
                </c:pt>
                <c:pt idx="56">
                  <c:v>0.56496066726415173</c:v>
                </c:pt>
                <c:pt idx="57">
                  <c:v>0.56998263862448761</c:v>
                </c:pt>
                <c:pt idx="58">
                  <c:v>0.57496074745247705</c:v>
                </c:pt>
                <c:pt idx="59">
                  <c:v>0.57989612336080398</c:v>
                </c:pt>
                <c:pt idx="60">
                  <c:v>0.58478984829309977</c:v>
                </c:pt>
                <c:pt idx="61">
                  <c:v>0.58964295929354105</c:v>
                </c:pt>
                <c:pt idx="62">
                  <c:v>0.59445645107292944</c:v>
                </c:pt>
                <c:pt idx="63">
                  <c:v>0.59923127838923751</c:v>
                </c:pt>
                <c:pt idx="64">
                  <c:v>0.6039683582587565</c:v>
                </c:pt>
                <c:pt idx="65">
                  <c:v>0.60866857201235181</c:v>
                </c:pt>
                <c:pt idx="66">
                  <c:v>0.61333276720988361</c:v>
                </c:pt>
                <c:pt idx="67">
                  <c:v>0.61796175942457066</c:v>
                </c:pt>
                <c:pt idx="68">
                  <c:v>0.62255633390793552</c:v>
                </c:pt>
                <c:pt idx="69">
                  <c:v>0.62711724714495509</c:v>
                </c:pt>
                <c:pt idx="70">
                  <c:v>0.63164522830814174</c:v>
                </c:pt>
                <c:pt idx="71">
                  <c:v>0.63614098061846491</c:v>
                </c:pt>
                <c:pt idx="72">
                  <c:v>0.64060518262030941</c:v>
                </c:pt>
                <c:pt idx="73">
                  <c:v>0.64503848937701214</c:v>
                </c:pt>
                <c:pt idx="74">
                  <c:v>0.66527196652719656</c:v>
                </c:pt>
                <c:pt idx="75">
                  <c:v>0.66527196652719656</c:v>
                </c:pt>
                <c:pt idx="76">
                  <c:v>0.66527196652719678</c:v>
                </c:pt>
                <c:pt idx="77">
                  <c:v>0.66527196652719656</c:v>
                </c:pt>
                <c:pt idx="78">
                  <c:v>0.66527196652719667</c:v>
                </c:pt>
                <c:pt idx="79">
                  <c:v>0.66527196652719656</c:v>
                </c:pt>
                <c:pt idx="80">
                  <c:v>0.66527196652719667</c:v>
                </c:pt>
                <c:pt idx="81">
                  <c:v>0.66527196652719656</c:v>
                </c:pt>
                <c:pt idx="82">
                  <c:v>0.66527196652719667</c:v>
                </c:pt>
                <c:pt idx="83">
                  <c:v>0.66527196652719656</c:v>
                </c:pt>
                <c:pt idx="84">
                  <c:v>0.66527196652719667</c:v>
                </c:pt>
                <c:pt idx="85">
                  <c:v>0.66527196652719667</c:v>
                </c:pt>
                <c:pt idx="86">
                  <c:v>0.66527196652719667</c:v>
                </c:pt>
                <c:pt idx="87">
                  <c:v>0.66527196652719667</c:v>
                </c:pt>
                <c:pt idx="88">
                  <c:v>0.66527196652719678</c:v>
                </c:pt>
                <c:pt idx="89">
                  <c:v>0.66527196652719667</c:v>
                </c:pt>
                <c:pt idx="90">
                  <c:v>0.66527196652719656</c:v>
                </c:pt>
                <c:pt idx="91">
                  <c:v>0.66527196652719678</c:v>
                </c:pt>
                <c:pt idx="92">
                  <c:v>0.66527196652719678</c:v>
                </c:pt>
                <c:pt idx="93">
                  <c:v>0.66486562000198712</c:v>
                </c:pt>
                <c:pt idx="94">
                  <c:v>0.66261460256827065</c:v>
                </c:pt>
                <c:pt idx="95">
                  <c:v>0.66038149022918102</c:v>
                </c:pt>
                <c:pt idx="96">
                  <c:v>0.65816607019931628</c:v>
                </c:pt>
                <c:pt idx="97">
                  <c:v>0.65596813305164647</c:v>
                </c:pt>
                <c:pt idx="98">
                  <c:v>0.65378747265151771</c:v>
                </c:pt>
                <c:pt idx="99">
                  <c:v>0.65162388609220712</c:v>
                </c:pt>
                <c:pt idx="100">
                  <c:v>0.64947717363198432</c:v>
                </c:pt>
              </c:numCache>
            </c:numRef>
          </c:val>
          <c:smooth val="0"/>
          <c:extLst>
            <c:ext xmlns:c16="http://schemas.microsoft.com/office/drawing/2014/chart" uri="{C3380CC4-5D6E-409C-BE32-E72D297353CC}">
              <c16:uniqueId val="{00000007-E52F-4E5A-966D-051FC0740F73}"/>
            </c:ext>
          </c:extLst>
        </c:ser>
        <c:ser>
          <c:idx val="17"/>
          <c:order val="17"/>
          <c:spPr>
            <a:ln w="25400">
              <a:solidFill>
                <a:srgbClr val="FF0000"/>
              </a:solidFill>
            </a:ln>
          </c:spPr>
          <c:marker>
            <c:symbol val="none"/>
          </c:marker>
          <c:val>
            <c:numRef>
              <c:f>'Calculations - Dual'!$AU$218:$AU$318</c:f>
              <c:numCache>
                <c:formatCode>0.000</c:formatCode>
                <c:ptCount val="101"/>
                <c:pt idx="0">
                  <c:v>3.3764705882352937E-3</c:v>
                </c:pt>
                <c:pt idx="1">
                  <c:v>2.5473457675753233E-2</c:v>
                </c:pt>
                <c:pt idx="2">
                  <c:v>5.0946915351506465E-2</c:v>
                </c:pt>
                <c:pt idx="3">
                  <c:v>7.642037302725968E-2</c:v>
                </c:pt>
                <c:pt idx="4">
                  <c:v>0.10189383070301293</c:v>
                </c:pt>
                <c:pt idx="5">
                  <c:v>0.1191630269404876</c:v>
                </c:pt>
                <c:pt idx="6">
                  <c:v>0.13053655575180176</c:v>
                </c:pt>
                <c:pt idx="7">
                  <c:v>0.14099559491511474</c:v>
                </c:pt>
                <c:pt idx="8">
                  <c:v>0.15073063120477867</c:v>
                </c:pt>
                <c:pt idx="9">
                  <c:v>0.15987397718614144</c:v>
                </c:pt>
                <c:pt idx="10">
                  <c:v>0.16852196883266807</c:v>
                </c:pt>
                <c:pt idx="11">
                  <c:v>0.17674733202275672</c:v>
                </c:pt>
                <c:pt idx="12">
                  <c:v>0.18460656752966967</c:v>
                </c:pt>
                <c:pt idx="13">
                  <c:v>0.19214460745233103</c:v>
                </c:pt>
                <c:pt idx="14">
                  <c:v>0.19939788256381824</c:v>
                </c:pt>
                <c:pt idx="15">
                  <c:v>0.20639641704462344</c:v>
                </c:pt>
                <c:pt idx="16">
                  <c:v>0.21316530291485525</c:v>
                </c:pt>
                <c:pt idx="17">
                  <c:v>0.21972576490868309</c:v>
                </c:pt>
                <c:pt idx="18">
                  <c:v>0.22609594680716802</c:v>
                </c:pt>
                <c:pt idx="19">
                  <c:v>0.2322915034187725</c:v>
                </c:pt>
                <c:pt idx="20">
                  <c:v>0.23832605388097519</c:v>
                </c:pt>
                <c:pt idx="21">
                  <c:v>0.2442115340363788</c:v>
                </c:pt>
                <c:pt idx="22">
                  <c:v>0.24995847405984306</c:v>
                </c:pt>
                <c:pt idx="23">
                  <c:v>0.25557621984889189</c:v>
                </c:pt>
                <c:pt idx="24">
                  <c:v>0.26107311150360352</c:v>
                </c:pt>
                <c:pt idx="25">
                  <c:v>0.26645662864356912</c:v>
                </c:pt>
                <c:pt idx="26">
                  <c:v>0.27173350979594102</c:v>
                </c:pt>
                <c:pt idx="27">
                  <c:v>0.27690985129450463</c:v>
                </c:pt>
                <c:pt idx="28">
                  <c:v>0.28199118983022947</c:v>
                </c:pt>
                <c:pt idx="29">
                  <c:v>0.28698257183981118</c:v>
                </c:pt>
                <c:pt idx="30">
                  <c:v>0.29188861220971996</c:v>
                </c:pt>
                <c:pt idx="31">
                  <c:v>0.2967135442402995</c:v>
                </c:pt>
                <c:pt idx="32">
                  <c:v>0.30146126240955734</c:v>
                </c:pt>
                <c:pt idx="33">
                  <c:v>0.30613535916566031</c:v>
                </c:pt>
                <c:pt idx="34">
                  <c:v>0.31073915673666191</c:v>
                </c:pt>
                <c:pt idx="35">
                  <c:v>0.31527573475822018</c:v>
                </c:pt>
                <c:pt idx="36">
                  <c:v>0.31974795437228287</c:v>
                </c:pt>
                <c:pt idx="37">
                  <c:v>0.32415847933253783</c:v>
                </c:pt>
                <c:pt idx="38">
                  <c:v>0.32850979455886431</c:v>
                </c:pt>
                <c:pt idx="39">
                  <c:v>0.33280422250781488</c:v>
                </c:pt>
                <c:pt idx="40">
                  <c:v>0.33704393766533614</c:v>
                </c:pt>
                <c:pt idx="41">
                  <c:v>0.3412309794184562</c:v>
                </c:pt>
                <c:pt idx="42">
                  <c:v>0.3453672635221855</c:v>
                </c:pt>
                <c:pt idx="43">
                  <c:v>0.34945459234459442</c:v>
                </c:pt>
                <c:pt idx="44">
                  <c:v>0.35349466404551344</c:v>
                </c:pt>
                <c:pt idx="45">
                  <c:v>0.35748908082146286</c:v>
                </c:pt>
                <c:pt idx="46">
                  <c:v>0.36143935633035074</c:v>
                </c:pt>
                <c:pt idx="47">
                  <c:v>0.36534692239352734</c:v>
                </c:pt>
                <c:pt idx="48">
                  <c:v>0.36921313505933934</c:v>
                </c:pt>
                <c:pt idx="49">
                  <c:v>0.37303928010099668</c:v>
                </c:pt>
                <c:pt idx="50">
                  <c:v>0.37682657801194674</c:v>
                </c:pt>
                <c:pt idx="51">
                  <c:v>0.38057618855377384</c:v>
                </c:pt>
                <c:pt idx="52">
                  <c:v>0.38428921490466206</c:v>
                </c:pt>
                <c:pt idx="53">
                  <c:v>0.38796670745047873</c:v>
                </c:pt>
                <c:pt idx="54">
                  <c:v>0.3916096672554053</c:v>
                </c:pt>
                <c:pt idx="55">
                  <c:v>0.39521904924460965</c:v>
                </c:pt>
                <c:pt idx="56">
                  <c:v>0.39879576512763648</c:v>
                </c:pt>
                <c:pt idx="57">
                  <c:v>0.40234068608787354</c:v>
                </c:pt>
                <c:pt idx="58">
                  <c:v>0.40585464526057208</c:v>
                </c:pt>
                <c:pt idx="59">
                  <c:v>0.40933844001939101</c:v>
                </c:pt>
                <c:pt idx="60">
                  <c:v>0.41279283408924689</c:v>
                </c:pt>
                <c:pt idx="61">
                  <c:v>0.41621855950132308</c:v>
                </c:pt>
                <c:pt idx="62">
                  <c:v>0.41961631840442082</c:v>
                </c:pt>
                <c:pt idx="63">
                  <c:v>0.42298678474534412</c:v>
                </c:pt>
                <c:pt idx="64">
                  <c:v>0.4263306058297105</c:v>
                </c:pt>
                <c:pt idx="65">
                  <c:v>0.42964840377342484</c:v>
                </c:pt>
                <c:pt idx="66">
                  <c:v>0.43294077685403559</c:v>
                </c:pt>
                <c:pt idx="67">
                  <c:v>0.43620830077028522</c:v>
                </c:pt>
                <c:pt idx="68">
                  <c:v>0.43945152981736618</c:v>
                </c:pt>
                <c:pt idx="69">
                  <c:v>0.44267099798467419</c:v>
                </c:pt>
                <c:pt idx="70">
                  <c:v>0.44586721998221768</c:v>
                </c:pt>
                <c:pt idx="71">
                  <c:v>0.44904069220126935</c:v>
                </c:pt>
                <c:pt idx="72">
                  <c:v>0.45219189361433604</c:v>
                </c:pt>
                <c:pt idx="73">
                  <c:v>0.45532128661906734</c:v>
                </c:pt>
                <c:pt idx="74">
                  <c:v>0.45842931783031371</c:v>
                </c:pt>
                <c:pt idx="75">
                  <c:v>0.46151641882417432</c:v>
                </c:pt>
                <c:pt idx="76">
                  <c:v>0.464583006837545</c:v>
                </c:pt>
                <c:pt idx="77">
                  <c:v>0.46762948542637722</c:v>
                </c:pt>
                <c:pt idx="78">
                  <c:v>0.47065624508558501</c:v>
                </c:pt>
                <c:pt idx="79">
                  <c:v>0.47366366383330077</c:v>
                </c:pt>
                <c:pt idx="80">
                  <c:v>0.47665210776195038</c:v>
                </c:pt>
                <c:pt idx="81">
                  <c:v>0.47962193155842442</c:v>
                </c:pt>
                <c:pt idx="82">
                  <c:v>0.48257347899543518</c:v>
                </c:pt>
                <c:pt idx="83">
                  <c:v>0.4855070833959908</c:v>
                </c:pt>
                <c:pt idx="84">
                  <c:v>0.48842306807275759</c:v>
                </c:pt>
                <c:pt idx="85">
                  <c:v>0.49132174674395335</c:v>
                </c:pt>
                <c:pt idx="86">
                  <c:v>0.4942034239272865</c:v>
                </c:pt>
                <c:pt idx="87">
                  <c:v>0.49706839531333824</c:v>
                </c:pt>
                <c:pt idx="88">
                  <c:v>0.49991694811968612</c:v>
                </c:pt>
                <c:pt idx="89">
                  <c:v>0.5027493614269688</c:v>
                </c:pt>
                <c:pt idx="90">
                  <c:v>0.50556590649800415</c:v>
                </c:pt>
                <c:pt idx="91">
                  <c:v>0.50836684708099589</c:v>
                </c:pt>
                <c:pt idx="92">
                  <c:v>0.51115243969778379</c:v>
                </c:pt>
                <c:pt idx="93">
                  <c:v>0.51392293391803445</c:v>
                </c:pt>
                <c:pt idx="94">
                  <c:v>0.51667857262019712</c:v>
                </c:pt>
                <c:pt idx="95">
                  <c:v>0.51941959224000023</c:v>
                </c:pt>
                <c:pt idx="96">
                  <c:v>0.52214622300720703</c:v>
                </c:pt>
                <c:pt idx="97">
                  <c:v>0.52485868917130052</c:v>
                </c:pt>
                <c:pt idx="98">
                  <c:v>0.52755720921672533</c:v>
                </c:pt>
                <c:pt idx="99">
                  <c:v>0.53024199606827038</c:v>
                </c:pt>
                <c:pt idx="100">
                  <c:v>0.53291325728713823</c:v>
                </c:pt>
              </c:numCache>
            </c:numRef>
          </c:val>
          <c:smooth val="0"/>
          <c:extLst>
            <c:ext xmlns:c16="http://schemas.microsoft.com/office/drawing/2014/chart" uri="{C3380CC4-5D6E-409C-BE32-E72D297353CC}">
              <c16:uniqueId val="{00000008-E52F-4E5A-966D-051FC0740F73}"/>
            </c:ext>
          </c:extLst>
        </c:ser>
        <c:ser>
          <c:idx val="1"/>
          <c:order val="0"/>
          <c:tx>
            <c:v>VIN-min</c:v>
          </c:tx>
          <c:spPr>
            <a:ln>
              <a:solidFill>
                <a:srgbClr val="00B050"/>
              </a:solidFill>
              <a:prstDash val="sysDash"/>
            </a:ln>
          </c:spPr>
          <c:marker>
            <c:symbol val="none"/>
          </c:marker>
          <c:cat>
            <c:numRef>
              <c:f>'Calculations - Dual'!$CC$5:$CC$105</c:f>
              <c:numCache>
                <c:formatCode>General</c:formatCode>
                <c:ptCount val="101"/>
                <c:pt idx="0">
                  <c:v>0</c:v>
                </c:pt>
                <c:pt idx="1">
                  <c:v>1</c:v>
                </c:pt>
                <c:pt idx="2">
                  <c:v>2</c:v>
                </c:pt>
                <c:pt idx="3">
                  <c:v>3</c:v>
                </c:pt>
                <c:pt idx="4">
                  <c:v>4</c:v>
                </c:pt>
                <c:pt idx="5">
                  <c:v>5</c:v>
                </c:pt>
                <c:pt idx="6">
                  <c:v>6</c:v>
                </c:pt>
                <c:pt idx="7">
                  <c:v>7.0000000000000009</c:v>
                </c:pt>
                <c:pt idx="8">
                  <c:v>8</c:v>
                </c:pt>
                <c:pt idx="9">
                  <c:v>9</c:v>
                </c:pt>
                <c:pt idx="10">
                  <c:v>10</c:v>
                </c:pt>
                <c:pt idx="11">
                  <c:v>11</c:v>
                </c:pt>
                <c:pt idx="12">
                  <c:v>12</c:v>
                </c:pt>
                <c:pt idx="13">
                  <c:v>13</c:v>
                </c:pt>
                <c:pt idx="14">
                  <c:v>14.000000000000002</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Dual'!$AM$110:$AM$210</c:f>
              <c:numCache>
                <c:formatCode>0.0</c:formatCode>
                <c:ptCount val="101"/>
                <c:pt idx="0">
                  <c:v>10</c:v>
                </c:pt>
                <c:pt idx="1">
                  <c:v>75.444038412509585</c:v>
                </c:pt>
                <c:pt idx="2">
                  <c:v>150.88807682501917</c:v>
                </c:pt>
                <c:pt idx="3">
                  <c:v>226.33211523752871</c:v>
                </c:pt>
                <c:pt idx="4">
                  <c:v>301.77615365003834</c:v>
                </c:pt>
                <c:pt idx="5">
                  <c:v>350</c:v>
                </c:pt>
                <c:pt idx="6">
                  <c:v>350</c:v>
                </c:pt>
                <c:pt idx="7">
                  <c:v>350</c:v>
                </c:pt>
                <c:pt idx="8">
                  <c:v>350</c:v>
                </c:pt>
                <c:pt idx="9">
                  <c:v>350</c:v>
                </c:pt>
                <c:pt idx="10">
                  <c:v>350</c:v>
                </c:pt>
                <c:pt idx="11">
                  <c:v>350</c:v>
                </c:pt>
                <c:pt idx="12">
                  <c:v>350</c:v>
                </c:pt>
                <c:pt idx="13">
                  <c:v>350</c:v>
                </c:pt>
                <c:pt idx="14">
                  <c:v>350</c:v>
                </c:pt>
                <c:pt idx="15">
                  <c:v>350</c:v>
                </c:pt>
                <c:pt idx="16">
                  <c:v>350</c:v>
                </c:pt>
                <c:pt idx="17">
                  <c:v>350</c:v>
                </c:pt>
                <c:pt idx="18">
                  <c:v>350</c:v>
                </c:pt>
                <c:pt idx="19">
                  <c:v>350</c:v>
                </c:pt>
                <c:pt idx="20">
                  <c:v>350</c:v>
                </c:pt>
                <c:pt idx="21">
                  <c:v>350</c:v>
                </c:pt>
                <c:pt idx="22">
                  <c:v>350</c:v>
                </c:pt>
                <c:pt idx="23">
                  <c:v>350</c:v>
                </c:pt>
                <c:pt idx="24">
                  <c:v>350</c:v>
                </c:pt>
                <c:pt idx="25">
                  <c:v>350</c:v>
                </c:pt>
                <c:pt idx="26">
                  <c:v>350</c:v>
                </c:pt>
                <c:pt idx="27">
                  <c:v>350</c:v>
                </c:pt>
                <c:pt idx="28">
                  <c:v>350</c:v>
                </c:pt>
                <c:pt idx="29">
                  <c:v>350</c:v>
                </c:pt>
                <c:pt idx="30">
                  <c:v>350</c:v>
                </c:pt>
                <c:pt idx="31">
                  <c:v>350</c:v>
                </c:pt>
                <c:pt idx="32">
                  <c:v>350</c:v>
                </c:pt>
                <c:pt idx="33">
                  <c:v>350</c:v>
                </c:pt>
                <c:pt idx="34">
                  <c:v>350</c:v>
                </c:pt>
                <c:pt idx="35">
                  <c:v>350</c:v>
                </c:pt>
                <c:pt idx="36">
                  <c:v>350</c:v>
                </c:pt>
                <c:pt idx="37">
                  <c:v>350</c:v>
                </c:pt>
                <c:pt idx="38">
                  <c:v>350</c:v>
                </c:pt>
                <c:pt idx="39">
                  <c:v>350</c:v>
                </c:pt>
                <c:pt idx="40">
                  <c:v>350</c:v>
                </c:pt>
                <c:pt idx="41">
                  <c:v>350</c:v>
                </c:pt>
                <c:pt idx="42">
                  <c:v>350</c:v>
                </c:pt>
                <c:pt idx="43">
                  <c:v>350</c:v>
                </c:pt>
                <c:pt idx="44">
                  <c:v>350</c:v>
                </c:pt>
                <c:pt idx="45">
                  <c:v>350</c:v>
                </c:pt>
                <c:pt idx="46">
                  <c:v>350</c:v>
                </c:pt>
                <c:pt idx="47">
                  <c:v>350</c:v>
                </c:pt>
                <c:pt idx="48">
                  <c:v>350</c:v>
                </c:pt>
                <c:pt idx="49">
                  <c:v>350</c:v>
                </c:pt>
                <c:pt idx="50">
                  <c:v>350</c:v>
                </c:pt>
                <c:pt idx="51">
                  <c:v>350</c:v>
                </c:pt>
                <c:pt idx="52">
                  <c:v>350</c:v>
                </c:pt>
                <c:pt idx="53">
                  <c:v>350</c:v>
                </c:pt>
                <c:pt idx="54">
                  <c:v>350</c:v>
                </c:pt>
                <c:pt idx="55">
                  <c:v>350</c:v>
                </c:pt>
                <c:pt idx="56">
                  <c:v>350</c:v>
                </c:pt>
                <c:pt idx="57">
                  <c:v>350</c:v>
                </c:pt>
                <c:pt idx="58">
                  <c:v>350</c:v>
                </c:pt>
                <c:pt idx="59">
                  <c:v>350</c:v>
                </c:pt>
                <c:pt idx="60">
                  <c:v>350</c:v>
                </c:pt>
                <c:pt idx="61">
                  <c:v>350</c:v>
                </c:pt>
                <c:pt idx="62">
                  <c:v>350</c:v>
                </c:pt>
                <c:pt idx="63">
                  <c:v>350</c:v>
                </c:pt>
                <c:pt idx="64">
                  <c:v>350</c:v>
                </c:pt>
                <c:pt idx="65">
                  <c:v>350</c:v>
                </c:pt>
                <c:pt idx="66">
                  <c:v>350</c:v>
                </c:pt>
                <c:pt idx="67">
                  <c:v>350</c:v>
                </c:pt>
                <c:pt idx="68">
                  <c:v>350</c:v>
                </c:pt>
                <c:pt idx="69">
                  <c:v>350</c:v>
                </c:pt>
                <c:pt idx="70">
                  <c:v>350</c:v>
                </c:pt>
                <c:pt idx="71">
                  <c:v>350</c:v>
                </c:pt>
                <c:pt idx="72">
                  <c:v>350</c:v>
                </c:pt>
                <c:pt idx="73">
                  <c:v>350</c:v>
                </c:pt>
                <c:pt idx="74">
                  <c:v>348.90723676796284</c:v>
                </c:pt>
                <c:pt idx="75">
                  <c:v>344.2551402777234</c:v>
                </c:pt>
                <c:pt idx="76">
                  <c:v>339.72546737933231</c:v>
                </c:pt>
                <c:pt idx="77">
                  <c:v>335.31344832245782</c:v>
                </c:pt>
                <c:pt idx="78">
                  <c:v>331.01455795934936</c:v>
                </c:pt>
                <c:pt idx="79">
                  <c:v>326.82450026366138</c:v>
                </c:pt>
                <c:pt idx="80">
                  <c:v>322.73919401036568</c:v>
                </c:pt>
                <c:pt idx="81">
                  <c:v>318.7547595164105</c:v>
                </c:pt>
                <c:pt idx="82">
                  <c:v>314.86750635157625</c:v>
                </c:pt>
                <c:pt idx="83">
                  <c:v>311.07392193770181</c:v>
                </c:pt>
                <c:pt idx="84">
                  <c:v>307.37066096225306</c:v>
                </c:pt>
                <c:pt idx="85">
                  <c:v>303.75453553916765</c:v>
                </c:pt>
                <c:pt idx="86">
                  <c:v>300.22250605615415</c:v>
                </c:pt>
                <c:pt idx="87">
                  <c:v>296.77167265320981</c:v>
                </c:pt>
                <c:pt idx="88">
                  <c:v>293.39926728215067</c:v>
                </c:pt>
                <c:pt idx="89">
                  <c:v>290.10264630145235</c:v>
                </c:pt>
                <c:pt idx="90">
                  <c:v>286.87928356476948</c:v>
                </c:pt>
                <c:pt idx="91">
                  <c:v>283.72676396515664</c:v>
                </c:pt>
                <c:pt idx="92">
                  <c:v>280.64277740031798</c:v>
                </c:pt>
                <c:pt idx="93">
                  <c:v>277.99259372905385</c:v>
                </c:pt>
                <c:pt idx="94">
                  <c:v>277.05140177070552</c:v>
                </c:pt>
                <c:pt idx="95">
                  <c:v>276.11769626307222</c:v>
                </c:pt>
                <c:pt idx="96">
                  <c:v>275.19138823664792</c:v>
                </c:pt>
                <c:pt idx="97">
                  <c:v>274.27239012612398</c:v>
                </c:pt>
                <c:pt idx="98">
                  <c:v>273.36061574279483</c:v>
                </c:pt>
                <c:pt idx="99">
                  <c:v>272.45598024761273</c:v>
                </c:pt>
                <c:pt idx="100">
                  <c:v>271.55840012487153</c:v>
                </c:pt>
              </c:numCache>
            </c:numRef>
          </c:val>
          <c:smooth val="0"/>
          <c:extLst>
            <c:ext xmlns:c16="http://schemas.microsoft.com/office/drawing/2014/chart" uri="{C3380CC4-5D6E-409C-BE32-E72D297353CC}">
              <c16:uniqueId val="{00000009-E52F-4E5A-966D-051FC0740F73}"/>
            </c:ext>
          </c:extLst>
        </c:ser>
        <c:ser>
          <c:idx val="0"/>
          <c:order val="1"/>
          <c:tx>
            <c:v>VIN-nom</c:v>
          </c:tx>
          <c:spPr>
            <a:ln w="28575">
              <a:solidFill>
                <a:srgbClr val="0000FF"/>
              </a:solidFill>
              <a:prstDash val="lgDash"/>
            </a:ln>
          </c:spPr>
          <c:marker>
            <c:symbol val="none"/>
          </c:marker>
          <c:cat>
            <c:numRef>
              <c:f>'Calculations - Dual'!$CC$5:$CC$105</c:f>
              <c:numCache>
                <c:formatCode>General</c:formatCode>
                <c:ptCount val="101"/>
                <c:pt idx="0">
                  <c:v>0</c:v>
                </c:pt>
                <c:pt idx="1">
                  <c:v>1</c:v>
                </c:pt>
                <c:pt idx="2">
                  <c:v>2</c:v>
                </c:pt>
                <c:pt idx="3">
                  <c:v>3</c:v>
                </c:pt>
                <c:pt idx="4">
                  <c:v>4</c:v>
                </c:pt>
                <c:pt idx="5">
                  <c:v>5</c:v>
                </c:pt>
                <c:pt idx="6">
                  <c:v>6</c:v>
                </c:pt>
                <c:pt idx="7">
                  <c:v>7.0000000000000009</c:v>
                </c:pt>
                <c:pt idx="8">
                  <c:v>8</c:v>
                </c:pt>
                <c:pt idx="9">
                  <c:v>9</c:v>
                </c:pt>
                <c:pt idx="10">
                  <c:v>10</c:v>
                </c:pt>
                <c:pt idx="11">
                  <c:v>11</c:v>
                </c:pt>
                <c:pt idx="12">
                  <c:v>12</c:v>
                </c:pt>
                <c:pt idx="13">
                  <c:v>13</c:v>
                </c:pt>
                <c:pt idx="14">
                  <c:v>14.000000000000002</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Dual'!$AM$5:$AM$105</c:f>
              <c:numCache>
                <c:formatCode>0.0</c:formatCode>
                <c:ptCount val="101"/>
                <c:pt idx="0">
                  <c:v>10</c:v>
                </c:pt>
                <c:pt idx="1">
                  <c:v>75.444038412509585</c:v>
                </c:pt>
                <c:pt idx="2">
                  <c:v>150.88807682501917</c:v>
                </c:pt>
                <c:pt idx="3">
                  <c:v>226.33211523752871</c:v>
                </c:pt>
                <c:pt idx="4">
                  <c:v>301.77615365003834</c:v>
                </c:pt>
                <c:pt idx="5">
                  <c:v>350</c:v>
                </c:pt>
                <c:pt idx="6">
                  <c:v>350</c:v>
                </c:pt>
                <c:pt idx="7">
                  <c:v>350</c:v>
                </c:pt>
                <c:pt idx="8">
                  <c:v>350</c:v>
                </c:pt>
                <c:pt idx="9">
                  <c:v>350</c:v>
                </c:pt>
                <c:pt idx="10">
                  <c:v>350</c:v>
                </c:pt>
                <c:pt idx="11">
                  <c:v>350</c:v>
                </c:pt>
                <c:pt idx="12">
                  <c:v>350</c:v>
                </c:pt>
                <c:pt idx="13">
                  <c:v>350</c:v>
                </c:pt>
                <c:pt idx="14">
                  <c:v>350</c:v>
                </c:pt>
                <c:pt idx="15">
                  <c:v>350</c:v>
                </c:pt>
                <c:pt idx="16">
                  <c:v>350</c:v>
                </c:pt>
                <c:pt idx="17">
                  <c:v>350</c:v>
                </c:pt>
                <c:pt idx="18">
                  <c:v>350</c:v>
                </c:pt>
                <c:pt idx="19">
                  <c:v>350</c:v>
                </c:pt>
                <c:pt idx="20">
                  <c:v>350</c:v>
                </c:pt>
                <c:pt idx="21">
                  <c:v>350</c:v>
                </c:pt>
                <c:pt idx="22">
                  <c:v>350</c:v>
                </c:pt>
                <c:pt idx="23">
                  <c:v>350</c:v>
                </c:pt>
                <c:pt idx="24">
                  <c:v>350</c:v>
                </c:pt>
                <c:pt idx="25">
                  <c:v>350</c:v>
                </c:pt>
                <c:pt idx="26">
                  <c:v>350</c:v>
                </c:pt>
                <c:pt idx="27">
                  <c:v>350</c:v>
                </c:pt>
                <c:pt idx="28">
                  <c:v>350</c:v>
                </c:pt>
                <c:pt idx="29">
                  <c:v>350</c:v>
                </c:pt>
                <c:pt idx="30">
                  <c:v>350</c:v>
                </c:pt>
                <c:pt idx="31">
                  <c:v>350</c:v>
                </c:pt>
                <c:pt idx="32">
                  <c:v>350</c:v>
                </c:pt>
                <c:pt idx="33">
                  <c:v>350</c:v>
                </c:pt>
                <c:pt idx="34">
                  <c:v>350</c:v>
                </c:pt>
                <c:pt idx="35">
                  <c:v>350</c:v>
                </c:pt>
                <c:pt idx="36">
                  <c:v>350</c:v>
                </c:pt>
                <c:pt idx="37">
                  <c:v>350</c:v>
                </c:pt>
                <c:pt idx="38">
                  <c:v>350</c:v>
                </c:pt>
                <c:pt idx="39">
                  <c:v>350</c:v>
                </c:pt>
                <c:pt idx="40">
                  <c:v>350</c:v>
                </c:pt>
                <c:pt idx="41">
                  <c:v>350</c:v>
                </c:pt>
                <c:pt idx="42">
                  <c:v>350</c:v>
                </c:pt>
                <c:pt idx="43">
                  <c:v>350</c:v>
                </c:pt>
                <c:pt idx="44">
                  <c:v>350</c:v>
                </c:pt>
                <c:pt idx="45">
                  <c:v>350</c:v>
                </c:pt>
                <c:pt idx="46">
                  <c:v>350</c:v>
                </c:pt>
                <c:pt idx="47">
                  <c:v>350</c:v>
                </c:pt>
                <c:pt idx="48">
                  <c:v>350</c:v>
                </c:pt>
                <c:pt idx="49">
                  <c:v>350</c:v>
                </c:pt>
                <c:pt idx="50">
                  <c:v>350</c:v>
                </c:pt>
                <c:pt idx="51">
                  <c:v>350</c:v>
                </c:pt>
                <c:pt idx="52">
                  <c:v>350</c:v>
                </c:pt>
                <c:pt idx="53">
                  <c:v>350</c:v>
                </c:pt>
                <c:pt idx="54">
                  <c:v>350</c:v>
                </c:pt>
                <c:pt idx="55">
                  <c:v>350</c:v>
                </c:pt>
                <c:pt idx="56">
                  <c:v>350</c:v>
                </c:pt>
                <c:pt idx="57">
                  <c:v>350</c:v>
                </c:pt>
                <c:pt idx="58">
                  <c:v>350</c:v>
                </c:pt>
                <c:pt idx="59">
                  <c:v>350</c:v>
                </c:pt>
                <c:pt idx="60">
                  <c:v>350</c:v>
                </c:pt>
                <c:pt idx="61">
                  <c:v>350</c:v>
                </c:pt>
                <c:pt idx="62">
                  <c:v>350</c:v>
                </c:pt>
                <c:pt idx="63">
                  <c:v>350</c:v>
                </c:pt>
                <c:pt idx="64">
                  <c:v>350</c:v>
                </c:pt>
                <c:pt idx="65">
                  <c:v>350</c:v>
                </c:pt>
                <c:pt idx="66">
                  <c:v>350</c:v>
                </c:pt>
                <c:pt idx="67">
                  <c:v>350</c:v>
                </c:pt>
                <c:pt idx="68">
                  <c:v>350</c:v>
                </c:pt>
                <c:pt idx="69">
                  <c:v>350</c:v>
                </c:pt>
                <c:pt idx="70">
                  <c:v>350</c:v>
                </c:pt>
                <c:pt idx="71">
                  <c:v>350</c:v>
                </c:pt>
                <c:pt idx="72">
                  <c:v>350</c:v>
                </c:pt>
                <c:pt idx="73">
                  <c:v>350</c:v>
                </c:pt>
                <c:pt idx="74">
                  <c:v>350</c:v>
                </c:pt>
                <c:pt idx="75">
                  <c:v>350</c:v>
                </c:pt>
                <c:pt idx="76">
                  <c:v>350</c:v>
                </c:pt>
                <c:pt idx="77">
                  <c:v>350</c:v>
                </c:pt>
                <c:pt idx="78">
                  <c:v>350</c:v>
                </c:pt>
                <c:pt idx="79">
                  <c:v>350</c:v>
                </c:pt>
                <c:pt idx="80">
                  <c:v>350</c:v>
                </c:pt>
                <c:pt idx="81">
                  <c:v>350</c:v>
                </c:pt>
                <c:pt idx="82">
                  <c:v>350</c:v>
                </c:pt>
                <c:pt idx="83">
                  <c:v>350</c:v>
                </c:pt>
                <c:pt idx="84">
                  <c:v>350</c:v>
                </c:pt>
                <c:pt idx="85">
                  <c:v>350</c:v>
                </c:pt>
                <c:pt idx="86">
                  <c:v>350</c:v>
                </c:pt>
                <c:pt idx="87">
                  <c:v>350</c:v>
                </c:pt>
                <c:pt idx="88">
                  <c:v>350</c:v>
                </c:pt>
                <c:pt idx="89">
                  <c:v>350</c:v>
                </c:pt>
                <c:pt idx="90">
                  <c:v>350</c:v>
                </c:pt>
                <c:pt idx="91">
                  <c:v>350</c:v>
                </c:pt>
                <c:pt idx="92">
                  <c:v>350</c:v>
                </c:pt>
                <c:pt idx="93">
                  <c:v>350</c:v>
                </c:pt>
                <c:pt idx="94">
                  <c:v>350</c:v>
                </c:pt>
                <c:pt idx="95">
                  <c:v>350</c:v>
                </c:pt>
                <c:pt idx="96">
                  <c:v>350</c:v>
                </c:pt>
                <c:pt idx="97">
                  <c:v>350</c:v>
                </c:pt>
                <c:pt idx="98">
                  <c:v>350</c:v>
                </c:pt>
                <c:pt idx="99">
                  <c:v>346.9946686846194</c:v>
                </c:pt>
                <c:pt idx="100">
                  <c:v>343.52472199777316</c:v>
                </c:pt>
              </c:numCache>
            </c:numRef>
          </c:val>
          <c:smooth val="0"/>
          <c:extLst>
            <c:ext xmlns:c16="http://schemas.microsoft.com/office/drawing/2014/chart" uri="{C3380CC4-5D6E-409C-BE32-E72D297353CC}">
              <c16:uniqueId val="{0000000A-E52F-4E5A-966D-051FC0740F73}"/>
            </c:ext>
          </c:extLst>
        </c:ser>
        <c:ser>
          <c:idx val="2"/>
          <c:order val="2"/>
          <c:tx>
            <c:v>VIN-max</c:v>
          </c:tx>
          <c:spPr>
            <a:ln>
              <a:solidFill>
                <a:srgbClr val="FF0000"/>
              </a:solidFill>
              <a:prstDash val="solid"/>
            </a:ln>
          </c:spPr>
          <c:marker>
            <c:symbol val="none"/>
          </c:marker>
          <c:cat>
            <c:numRef>
              <c:f>'Calculations - Dual'!$CC$5:$CC$105</c:f>
              <c:numCache>
                <c:formatCode>General</c:formatCode>
                <c:ptCount val="101"/>
                <c:pt idx="0">
                  <c:v>0</c:v>
                </c:pt>
                <c:pt idx="1">
                  <c:v>1</c:v>
                </c:pt>
                <c:pt idx="2">
                  <c:v>2</c:v>
                </c:pt>
                <c:pt idx="3">
                  <c:v>3</c:v>
                </c:pt>
                <c:pt idx="4">
                  <c:v>4</c:v>
                </c:pt>
                <c:pt idx="5">
                  <c:v>5</c:v>
                </c:pt>
                <c:pt idx="6">
                  <c:v>6</c:v>
                </c:pt>
                <c:pt idx="7">
                  <c:v>7.0000000000000009</c:v>
                </c:pt>
                <c:pt idx="8">
                  <c:v>8</c:v>
                </c:pt>
                <c:pt idx="9">
                  <c:v>9</c:v>
                </c:pt>
                <c:pt idx="10">
                  <c:v>10</c:v>
                </c:pt>
                <c:pt idx="11">
                  <c:v>11</c:v>
                </c:pt>
                <c:pt idx="12">
                  <c:v>12</c:v>
                </c:pt>
                <c:pt idx="13">
                  <c:v>13</c:v>
                </c:pt>
                <c:pt idx="14">
                  <c:v>14.000000000000002</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Dual'!$AM$218:$AM$318</c:f>
              <c:numCache>
                <c:formatCode>0.0</c:formatCode>
                <c:ptCount val="101"/>
                <c:pt idx="0">
                  <c:v>10</c:v>
                </c:pt>
                <c:pt idx="1">
                  <c:v>75.444038412509585</c:v>
                </c:pt>
                <c:pt idx="2">
                  <c:v>150.88807682501917</c:v>
                </c:pt>
                <c:pt idx="3">
                  <c:v>226.33211523752871</c:v>
                </c:pt>
                <c:pt idx="4">
                  <c:v>301.77615365003834</c:v>
                </c:pt>
                <c:pt idx="5">
                  <c:v>350</c:v>
                </c:pt>
                <c:pt idx="6">
                  <c:v>350</c:v>
                </c:pt>
                <c:pt idx="7">
                  <c:v>350</c:v>
                </c:pt>
                <c:pt idx="8">
                  <c:v>350</c:v>
                </c:pt>
                <c:pt idx="9">
                  <c:v>350</c:v>
                </c:pt>
                <c:pt idx="10">
                  <c:v>350</c:v>
                </c:pt>
                <c:pt idx="11">
                  <c:v>350</c:v>
                </c:pt>
                <c:pt idx="12">
                  <c:v>350</c:v>
                </c:pt>
                <c:pt idx="13">
                  <c:v>350</c:v>
                </c:pt>
                <c:pt idx="14">
                  <c:v>350</c:v>
                </c:pt>
                <c:pt idx="15">
                  <c:v>350</c:v>
                </c:pt>
                <c:pt idx="16">
                  <c:v>350</c:v>
                </c:pt>
                <c:pt idx="17">
                  <c:v>350</c:v>
                </c:pt>
                <c:pt idx="18">
                  <c:v>350</c:v>
                </c:pt>
                <c:pt idx="19">
                  <c:v>350</c:v>
                </c:pt>
                <c:pt idx="20">
                  <c:v>350</c:v>
                </c:pt>
                <c:pt idx="21">
                  <c:v>350</c:v>
                </c:pt>
                <c:pt idx="22">
                  <c:v>350</c:v>
                </c:pt>
                <c:pt idx="23">
                  <c:v>350</c:v>
                </c:pt>
                <c:pt idx="24">
                  <c:v>350</c:v>
                </c:pt>
                <c:pt idx="25">
                  <c:v>350</c:v>
                </c:pt>
                <c:pt idx="26">
                  <c:v>350</c:v>
                </c:pt>
                <c:pt idx="27">
                  <c:v>350</c:v>
                </c:pt>
                <c:pt idx="28">
                  <c:v>350</c:v>
                </c:pt>
                <c:pt idx="29">
                  <c:v>350</c:v>
                </c:pt>
                <c:pt idx="30">
                  <c:v>350</c:v>
                </c:pt>
                <c:pt idx="31">
                  <c:v>350</c:v>
                </c:pt>
                <c:pt idx="32">
                  <c:v>350</c:v>
                </c:pt>
                <c:pt idx="33">
                  <c:v>350</c:v>
                </c:pt>
                <c:pt idx="34">
                  <c:v>350</c:v>
                </c:pt>
                <c:pt idx="35">
                  <c:v>350</c:v>
                </c:pt>
                <c:pt idx="36">
                  <c:v>350</c:v>
                </c:pt>
                <c:pt idx="37">
                  <c:v>350</c:v>
                </c:pt>
                <c:pt idx="38">
                  <c:v>350</c:v>
                </c:pt>
                <c:pt idx="39">
                  <c:v>350</c:v>
                </c:pt>
                <c:pt idx="40">
                  <c:v>350</c:v>
                </c:pt>
                <c:pt idx="41">
                  <c:v>350</c:v>
                </c:pt>
                <c:pt idx="42">
                  <c:v>350</c:v>
                </c:pt>
                <c:pt idx="43">
                  <c:v>350</c:v>
                </c:pt>
                <c:pt idx="44">
                  <c:v>350</c:v>
                </c:pt>
                <c:pt idx="45">
                  <c:v>350</c:v>
                </c:pt>
                <c:pt idx="46">
                  <c:v>350</c:v>
                </c:pt>
                <c:pt idx="47">
                  <c:v>350</c:v>
                </c:pt>
                <c:pt idx="48">
                  <c:v>350</c:v>
                </c:pt>
                <c:pt idx="49">
                  <c:v>350</c:v>
                </c:pt>
                <c:pt idx="50">
                  <c:v>350</c:v>
                </c:pt>
                <c:pt idx="51">
                  <c:v>350</c:v>
                </c:pt>
                <c:pt idx="52">
                  <c:v>350</c:v>
                </c:pt>
                <c:pt idx="53">
                  <c:v>350</c:v>
                </c:pt>
                <c:pt idx="54">
                  <c:v>350</c:v>
                </c:pt>
                <c:pt idx="55">
                  <c:v>350</c:v>
                </c:pt>
                <c:pt idx="56">
                  <c:v>350</c:v>
                </c:pt>
                <c:pt idx="57">
                  <c:v>350</c:v>
                </c:pt>
                <c:pt idx="58">
                  <c:v>350</c:v>
                </c:pt>
                <c:pt idx="59">
                  <c:v>350</c:v>
                </c:pt>
                <c:pt idx="60">
                  <c:v>350</c:v>
                </c:pt>
                <c:pt idx="61">
                  <c:v>350</c:v>
                </c:pt>
                <c:pt idx="62">
                  <c:v>350</c:v>
                </c:pt>
                <c:pt idx="63">
                  <c:v>350</c:v>
                </c:pt>
                <c:pt idx="64">
                  <c:v>350</c:v>
                </c:pt>
                <c:pt idx="65">
                  <c:v>350</c:v>
                </c:pt>
                <c:pt idx="66">
                  <c:v>350</c:v>
                </c:pt>
                <c:pt idx="67">
                  <c:v>350</c:v>
                </c:pt>
                <c:pt idx="68">
                  <c:v>350</c:v>
                </c:pt>
                <c:pt idx="69">
                  <c:v>350</c:v>
                </c:pt>
                <c:pt idx="70">
                  <c:v>350</c:v>
                </c:pt>
                <c:pt idx="71">
                  <c:v>350</c:v>
                </c:pt>
                <c:pt idx="72">
                  <c:v>350</c:v>
                </c:pt>
                <c:pt idx="73">
                  <c:v>350</c:v>
                </c:pt>
                <c:pt idx="74">
                  <c:v>350</c:v>
                </c:pt>
                <c:pt idx="75">
                  <c:v>350</c:v>
                </c:pt>
                <c:pt idx="76">
                  <c:v>350</c:v>
                </c:pt>
                <c:pt idx="77">
                  <c:v>350</c:v>
                </c:pt>
                <c:pt idx="78">
                  <c:v>350</c:v>
                </c:pt>
                <c:pt idx="79">
                  <c:v>350</c:v>
                </c:pt>
                <c:pt idx="80">
                  <c:v>350</c:v>
                </c:pt>
                <c:pt idx="81">
                  <c:v>350</c:v>
                </c:pt>
                <c:pt idx="82">
                  <c:v>350</c:v>
                </c:pt>
                <c:pt idx="83">
                  <c:v>350</c:v>
                </c:pt>
                <c:pt idx="84">
                  <c:v>350</c:v>
                </c:pt>
                <c:pt idx="85">
                  <c:v>350</c:v>
                </c:pt>
                <c:pt idx="86">
                  <c:v>350</c:v>
                </c:pt>
                <c:pt idx="87">
                  <c:v>350</c:v>
                </c:pt>
                <c:pt idx="88">
                  <c:v>350</c:v>
                </c:pt>
                <c:pt idx="89">
                  <c:v>350</c:v>
                </c:pt>
                <c:pt idx="90">
                  <c:v>350</c:v>
                </c:pt>
                <c:pt idx="91">
                  <c:v>350</c:v>
                </c:pt>
                <c:pt idx="92">
                  <c:v>350</c:v>
                </c:pt>
                <c:pt idx="93">
                  <c:v>350</c:v>
                </c:pt>
                <c:pt idx="94">
                  <c:v>350</c:v>
                </c:pt>
                <c:pt idx="95">
                  <c:v>350</c:v>
                </c:pt>
                <c:pt idx="96">
                  <c:v>350</c:v>
                </c:pt>
                <c:pt idx="97">
                  <c:v>350</c:v>
                </c:pt>
                <c:pt idx="98">
                  <c:v>350</c:v>
                </c:pt>
                <c:pt idx="99">
                  <c:v>350</c:v>
                </c:pt>
                <c:pt idx="100">
                  <c:v>350</c:v>
                </c:pt>
              </c:numCache>
            </c:numRef>
          </c:val>
          <c:smooth val="0"/>
          <c:extLst>
            <c:ext xmlns:c16="http://schemas.microsoft.com/office/drawing/2014/chart" uri="{C3380CC4-5D6E-409C-BE32-E72D297353CC}">
              <c16:uniqueId val="{0000000B-E52F-4E5A-966D-051FC0740F73}"/>
            </c:ext>
          </c:extLst>
        </c:ser>
        <c:ser>
          <c:idx val="3"/>
          <c:order val="3"/>
          <c:spPr>
            <a:ln>
              <a:noFill/>
            </a:ln>
          </c:spPr>
          <c:marker>
            <c:symbol val="x"/>
            <c:size val="10"/>
            <c:spPr>
              <a:pattFill prst="pct5">
                <a:fgClr>
                  <a:schemeClr val="tx1"/>
                </a:fgClr>
                <a:bgClr>
                  <a:schemeClr val="bg1"/>
                </a:bgClr>
              </a:pattFill>
              <a:ln>
                <a:solidFill>
                  <a:srgbClr val="33CC33"/>
                </a:solidFill>
              </a:ln>
            </c:spPr>
          </c:marker>
          <c:cat>
            <c:numRef>
              <c:f>'Calculations - Dual'!$CC$5:$CC$105</c:f>
              <c:numCache>
                <c:formatCode>General</c:formatCode>
                <c:ptCount val="101"/>
                <c:pt idx="0">
                  <c:v>0</c:v>
                </c:pt>
                <c:pt idx="1">
                  <c:v>1</c:v>
                </c:pt>
                <c:pt idx="2">
                  <c:v>2</c:v>
                </c:pt>
                <c:pt idx="3">
                  <c:v>3</c:v>
                </c:pt>
                <c:pt idx="4">
                  <c:v>4</c:v>
                </c:pt>
                <c:pt idx="5">
                  <c:v>5</c:v>
                </c:pt>
                <c:pt idx="6">
                  <c:v>6</c:v>
                </c:pt>
                <c:pt idx="7">
                  <c:v>7.0000000000000009</c:v>
                </c:pt>
                <c:pt idx="8">
                  <c:v>8</c:v>
                </c:pt>
                <c:pt idx="9">
                  <c:v>9</c:v>
                </c:pt>
                <c:pt idx="10">
                  <c:v>10</c:v>
                </c:pt>
                <c:pt idx="11">
                  <c:v>11</c:v>
                </c:pt>
                <c:pt idx="12">
                  <c:v>12</c:v>
                </c:pt>
                <c:pt idx="13">
                  <c:v>13</c:v>
                </c:pt>
                <c:pt idx="14">
                  <c:v>14.000000000000002</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Dual'!$CE$110:$CE$210</c:f>
              <c:numCache>
                <c:formatCode>General</c:formatCode>
                <c:ptCount val="10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277.99259372905385</c:v>
                </c:pt>
                <c:pt idx="94">
                  <c:v>-50</c:v>
                </c:pt>
                <c:pt idx="95">
                  <c:v>-50</c:v>
                </c:pt>
                <c:pt idx="96">
                  <c:v>-50</c:v>
                </c:pt>
                <c:pt idx="97">
                  <c:v>-50</c:v>
                </c:pt>
                <c:pt idx="98">
                  <c:v>-50</c:v>
                </c:pt>
                <c:pt idx="99">
                  <c:v>-50</c:v>
                </c:pt>
                <c:pt idx="100">
                  <c:v>-50</c:v>
                </c:pt>
              </c:numCache>
            </c:numRef>
          </c:val>
          <c:smooth val="0"/>
          <c:extLst>
            <c:ext xmlns:c16="http://schemas.microsoft.com/office/drawing/2014/chart" uri="{C3380CC4-5D6E-409C-BE32-E72D297353CC}">
              <c16:uniqueId val="{0000000C-E52F-4E5A-966D-051FC0740F73}"/>
            </c:ext>
          </c:extLst>
        </c:ser>
        <c:ser>
          <c:idx val="4"/>
          <c:order val="4"/>
          <c:spPr>
            <a:ln>
              <a:noFill/>
            </a:ln>
          </c:spPr>
          <c:marker>
            <c:symbol val="x"/>
            <c:size val="10"/>
            <c:spPr>
              <a:pattFill prst="pct5">
                <a:fgClr>
                  <a:schemeClr val="tx1"/>
                </a:fgClr>
                <a:bgClr>
                  <a:schemeClr val="bg1"/>
                </a:bgClr>
              </a:pattFill>
              <a:ln>
                <a:solidFill>
                  <a:srgbClr val="0000FF"/>
                </a:solidFill>
              </a:ln>
            </c:spPr>
          </c:marker>
          <c:cat>
            <c:numRef>
              <c:f>'Calculations - Dual'!$CC$5:$CC$105</c:f>
              <c:numCache>
                <c:formatCode>General</c:formatCode>
                <c:ptCount val="101"/>
                <c:pt idx="0">
                  <c:v>0</c:v>
                </c:pt>
                <c:pt idx="1">
                  <c:v>1</c:v>
                </c:pt>
                <c:pt idx="2">
                  <c:v>2</c:v>
                </c:pt>
                <c:pt idx="3">
                  <c:v>3</c:v>
                </c:pt>
                <c:pt idx="4">
                  <c:v>4</c:v>
                </c:pt>
                <c:pt idx="5">
                  <c:v>5</c:v>
                </c:pt>
                <c:pt idx="6">
                  <c:v>6</c:v>
                </c:pt>
                <c:pt idx="7">
                  <c:v>7.0000000000000009</c:v>
                </c:pt>
                <c:pt idx="8">
                  <c:v>8</c:v>
                </c:pt>
                <c:pt idx="9">
                  <c:v>9</c:v>
                </c:pt>
                <c:pt idx="10">
                  <c:v>10</c:v>
                </c:pt>
                <c:pt idx="11">
                  <c:v>11</c:v>
                </c:pt>
                <c:pt idx="12">
                  <c:v>12</c:v>
                </c:pt>
                <c:pt idx="13">
                  <c:v>13</c:v>
                </c:pt>
                <c:pt idx="14">
                  <c:v>14.000000000000002</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Dual'!$CE$5:$CE$105</c:f>
              <c:numCache>
                <c:formatCode>General</c:formatCode>
                <c:ptCount val="10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numCache>
            </c:numRef>
          </c:val>
          <c:smooth val="0"/>
          <c:extLst>
            <c:ext xmlns:c16="http://schemas.microsoft.com/office/drawing/2014/chart" uri="{C3380CC4-5D6E-409C-BE32-E72D297353CC}">
              <c16:uniqueId val="{0000000D-E52F-4E5A-966D-051FC0740F73}"/>
            </c:ext>
          </c:extLst>
        </c:ser>
        <c:ser>
          <c:idx val="5"/>
          <c:order val="5"/>
          <c:spPr>
            <a:ln>
              <a:noFill/>
            </a:ln>
          </c:spPr>
          <c:marker>
            <c:symbol val="x"/>
            <c:size val="10"/>
            <c:spPr>
              <a:pattFill prst="pct5">
                <a:fgClr>
                  <a:schemeClr val="tx1"/>
                </a:fgClr>
                <a:bgClr>
                  <a:schemeClr val="bg1"/>
                </a:bgClr>
              </a:pattFill>
              <a:ln>
                <a:solidFill>
                  <a:srgbClr val="FF0000"/>
                </a:solidFill>
              </a:ln>
            </c:spPr>
          </c:marker>
          <c:cat>
            <c:numRef>
              <c:f>'Calculations - Dual'!$CC$5:$CC$105</c:f>
              <c:numCache>
                <c:formatCode>General</c:formatCode>
                <c:ptCount val="101"/>
                <c:pt idx="0">
                  <c:v>0</c:v>
                </c:pt>
                <c:pt idx="1">
                  <c:v>1</c:v>
                </c:pt>
                <c:pt idx="2">
                  <c:v>2</c:v>
                </c:pt>
                <c:pt idx="3">
                  <c:v>3</c:v>
                </c:pt>
                <c:pt idx="4">
                  <c:v>4</c:v>
                </c:pt>
                <c:pt idx="5">
                  <c:v>5</c:v>
                </c:pt>
                <c:pt idx="6">
                  <c:v>6</c:v>
                </c:pt>
                <c:pt idx="7">
                  <c:v>7.0000000000000009</c:v>
                </c:pt>
                <c:pt idx="8">
                  <c:v>8</c:v>
                </c:pt>
                <c:pt idx="9">
                  <c:v>9</c:v>
                </c:pt>
                <c:pt idx="10">
                  <c:v>10</c:v>
                </c:pt>
                <c:pt idx="11">
                  <c:v>11</c:v>
                </c:pt>
                <c:pt idx="12">
                  <c:v>12</c:v>
                </c:pt>
                <c:pt idx="13">
                  <c:v>13</c:v>
                </c:pt>
                <c:pt idx="14">
                  <c:v>14.000000000000002</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Dual'!$CE$218:$CE$318</c:f>
              <c:numCache>
                <c:formatCode>General</c:formatCode>
                <c:ptCount val="10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numCache>
            </c:numRef>
          </c:val>
          <c:smooth val="0"/>
          <c:extLst>
            <c:ext xmlns:c16="http://schemas.microsoft.com/office/drawing/2014/chart" uri="{C3380CC4-5D6E-409C-BE32-E72D297353CC}">
              <c16:uniqueId val="{0000000E-E52F-4E5A-966D-051FC0740F73}"/>
            </c:ext>
          </c:extLst>
        </c:ser>
        <c:dLbls>
          <c:showLegendKey val="0"/>
          <c:showVal val="0"/>
          <c:showCatName val="0"/>
          <c:showSerName val="0"/>
          <c:showPercent val="0"/>
          <c:showBubbleSize val="0"/>
        </c:dLbls>
        <c:marker val="1"/>
        <c:smooth val="0"/>
        <c:axId val="141686656"/>
        <c:axId val="141381632"/>
      </c:lineChart>
      <c:lineChart>
        <c:grouping val="standard"/>
        <c:varyColors val="0"/>
        <c:ser>
          <c:idx val="6"/>
          <c:order val="6"/>
          <c:tx>
            <c:v>D1</c:v>
          </c:tx>
          <c:spPr>
            <a:ln w="25400">
              <a:solidFill>
                <a:srgbClr val="0000FF"/>
              </a:solidFill>
              <a:prstDash val="lgDash"/>
            </a:ln>
          </c:spPr>
          <c:marker>
            <c:symbol val="none"/>
          </c:marker>
          <c:val>
            <c:numRef>
              <c:f>'Calculations - Dual'!$AU$5:$AU$105</c:f>
              <c:numCache>
                <c:formatCode>0.000</c:formatCode>
                <c:ptCount val="101"/>
                <c:pt idx="0">
                  <c:v>3.8266666666666662E-3</c:v>
                </c:pt>
                <c:pt idx="1">
                  <c:v>2.8869918699186998E-2</c:v>
                </c:pt>
                <c:pt idx="2">
                  <c:v>5.7739837398373996E-2</c:v>
                </c:pt>
                <c:pt idx="3">
                  <c:v>8.6609756097560969E-2</c:v>
                </c:pt>
                <c:pt idx="4">
                  <c:v>0.11547967479674799</c:v>
                </c:pt>
                <c:pt idx="5">
                  <c:v>0.13505143053255261</c:v>
                </c:pt>
                <c:pt idx="6">
                  <c:v>0.14794142985204201</c:v>
                </c:pt>
                <c:pt idx="7">
                  <c:v>0.15979500757046336</c:v>
                </c:pt>
                <c:pt idx="8">
                  <c:v>0.17082804869874915</c:v>
                </c:pt>
                <c:pt idx="9">
                  <c:v>0.18119050747762699</c:v>
                </c:pt>
                <c:pt idx="10">
                  <c:v>0.1909915646770238</c:v>
                </c:pt>
                <c:pt idx="11">
                  <c:v>0.20031364295912432</c:v>
                </c:pt>
                <c:pt idx="12">
                  <c:v>0.20922077653362561</c:v>
                </c:pt>
                <c:pt idx="13">
                  <c:v>0.21776388844597516</c:v>
                </c:pt>
                <c:pt idx="14">
                  <c:v>0.2259842669056607</c:v>
                </c:pt>
                <c:pt idx="15">
                  <c:v>0.23391593931723995</c:v>
                </c:pt>
                <c:pt idx="16">
                  <c:v>0.24158734330350262</c:v>
                </c:pt>
                <c:pt idx="17">
                  <c:v>0.24902253356317419</c:v>
                </c:pt>
                <c:pt idx="18">
                  <c:v>0.25624207304812374</c:v>
                </c:pt>
                <c:pt idx="19">
                  <c:v>0.2632637038746089</c:v>
                </c:pt>
                <c:pt idx="20">
                  <c:v>0.27010286106510523</c:v>
                </c:pt>
                <c:pt idx="21">
                  <c:v>0.27677307190789591</c:v>
                </c:pt>
                <c:pt idx="22">
                  <c:v>0.28328627060115547</c:v>
                </c:pt>
                <c:pt idx="23">
                  <c:v>0.28965304916207746</c:v>
                </c:pt>
                <c:pt idx="24">
                  <c:v>0.29588285970408401</c:v>
                </c:pt>
                <c:pt idx="25">
                  <c:v>0.30198417912937831</c:v>
                </c:pt>
                <c:pt idx="26">
                  <c:v>0.30796464443539978</c:v>
                </c:pt>
                <c:pt idx="27">
                  <c:v>0.31383116480043849</c:v>
                </c:pt>
                <c:pt idx="28">
                  <c:v>0.31959001514092672</c:v>
                </c:pt>
                <c:pt idx="29">
                  <c:v>0.32524691475178596</c:v>
                </c:pt>
                <c:pt idx="30">
                  <c:v>0.33080709383768264</c:v>
                </c:pt>
                <c:pt idx="31">
                  <c:v>0.33627535013900606</c:v>
                </c:pt>
                <c:pt idx="32">
                  <c:v>0.3416560973974983</c:v>
                </c:pt>
                <c:pt idx="33">
                  <c:v>0.34695340705441513</c:v>
                </c:pt>
                <c:pt idx="34">
                  <c:v>0.35217104430155016</c:v>
                </c:pt>
                <c:pt idx="35">
                  <c:v>0.35731249939264947</c:v>
                </c:pt>
                <c:pt idx="36">
                  <c:v>0.36238101495525399</c:v>
                </c:pt>
                <c:pt idx="37">
                  <c:v>0.36737960991020957</c:v>
                </c:pt>
                <c:pt idx="38">
                  <c:v>0.37231110050004629</c:v>
                </c:pt>
                <c:pt idx="39">
                  <c:v>0.37717811884219016</c:v>
                </c:pt>
                <c:pt idx="40">
                  <c:v>0.3819831293540476</c:v>
                </c:pt>
                <c:pt idx="41">
                  <c:v>0.38672844334091705</c:v>
                </c:pt>
                <c:pt idx="42">
                  <c:v>0.39141623199181025</c:v>
                </c:pt>
                <c:pt idx="43">
                  <c:v>0.39604853799054029</c:v>
                </c:pt>
                <c:pt idx="44">
                  <c:v>0.40062728591824864</c:v>
                </c:pt>
                <c:pt idx="45">
                  <c:v>0.40515429159765781</c:v>
                </c:pt>
                <c:pt idx="46">
                  <c:v>0.4096312705077309</c:v>
                </c:pt>
                <c:pt idx="47">
                  <c:v>0.41405984537933099</c:v>
                </c:pt>
                <c:pt idx="48">
                  <c:v>0.41844155306725123</c:v>
                </c:pt>
                <c:pt idx="49">
                  <c:v>0.42277785078112962</c:v>
                </c:pt>
                <c:pt idx="50">
                  <c:v>0.42707012174687287</c:v>
                </c:pt>
                <c:pt idx="51">
                  <c:v>0.43131968036094365</c:v>
                </c:pt>
                <c:pt idx="52">
                  <c:v>0.43552777689195032</c:v>
                </c:pt>
                <c:pt idx="53">
                  <c:v>0.43969560177720929</c:v>
                </c:pt>
                <c:pt idx="54">
                  <c:v>0.44382428955612607</c:v>
                </c:pt>
                <c:pt idx="55">
                  <c:v>0.44791492247722425</c:v>
                </c:pt>
                <c:pt idx="56">
                  <c:v>0.4519685338113214</c:v>
                </c:pt>
                <c:pt idx="57">
                  <c:v>0.45598611089959007</c:v>
                </c:pt>
                <c:pt idx="58">
                  <c:v>0.45996859796198164</c:v>
                </c:pt>
                <c:pt idx="59">
                  <c:v>0.46391689868864316</c:v>
                </c:pt>
                <c:pt idx="60">
                  <c:v>0.46783187863447989</c:v>
                </c:pt>
                <c:pt idx="61">
                  <c:v>0.4717143674348328</c:v>
                </c:pt>
                <c:pt idx="62">
                  <c:v>0.47556516085834355</c:v>
                </c:pt>
                <c:pt idx="63">
                  <c:v>0.47938502271139</c:v>
                </c:pt>
                <c:pt idx="64">
                  <c:v>0.48317468660700524</c:v>
                </c:pt>
                <c:pt idx="65">
                  <c:v>0.48693485760988142</c:v>
                </c:pt>
                <c:pt idx="66">
                  <c:v>0.49066621376790692</c:v>
                </c:pt>
                <c:pt idx="67">
                  <c:v>0.49436940753965658</c:v>
                </c:pt>
                <c:pt idx="68">
                  <c:v>0.49804506712634838</c:v>
                </c:pt>
                <c:pt idx="69">
                  <c:v>0.50169379771596401</c:v>
                </c:pt>
                <c:pt idx="70">
                  <c:v>0.50531618264651335</c:v>
                </c:pt>
                <c:pt idx="71">
                  <c:v>0.50891278449477195</c:v>
                </c:pt>
                <c:pt idx="72">
                  <c:v>0.51248414609624748</c:v>
                </c:pt>
                <c:pt idx="73">
                  <c:v>0.51603079150160958</c:v>
                </c:pt>
                <c:pt idx="74">
                  <c:v>0.51955322687435546</c:v>
                </c:pt>
                <c:pt idx="75">
                  <c:v>0.52305194133406419</c:v>
                </c:pt>
                <c:pt idx="76">
                  <c:v>0.5265274077492178</c:v>
                </c:pt>
                <c:pt idx="77">
                  <c:v>0.52998008348322756</c:v>
                </c:pt>
                <c:pt idx="78">
                  <c:v>0.53341041109699627</c:v>
                </c:pt>
                <c:pt idx="79">
                  <c:v>0.5368188190110742</c:v>
                </c:pt>
                <c:pt idx="80">
                  <c:v>0.54020572213021045</c:v>
                </c:pt>
                <c:pt idx="81">
                  <c:v>0.54357152243288098</c:v>
                </c:pt>
                <c:pt idx="82">
                  <c:v>0.5469166095281599</c:v>
                </c:pt>
                <c:pt idx="83">
                  <c:v>0.55024136118212297</c:v>
                </c:pt>
                <c:pt idx="84">
                  <c:v>0.55354614381579181</c:v>
                </c:pt>
                <c:pt idx="85">
                  <c:v>0.55683131297648036</c:v>
                </c:pt>
                <c:pt idx="86">
                  <c:v>0.56009721378425803</c:v>
                </c:pt>
                <c:pt idx="87">
                  <c:v>0.56334418135511677</c:v>
                </c:pt>
                <c:pt idx="88">
                  <c:v>0.56657254120231093</c:v>
                </c:pt>
                <c:pt idx="89">
                  <c:v>0.56978260961723126</c:v>
                </c:pt>
                <c:pt idx="90">
                  <c:v>0.57297469403107137</c:v>
                </c:pt>
                <c:pt idx="91">
                  <c:v>0.57614909335846198</c:v>
                </c:pt>
                <c:pt idx="92">
                  <c:v>0.57930609832415492</c:v>
                </c:pt>
                <c:pt idx="93">
                  <c:v>0.58244599177377232</c:v>
                </c:pt>
                <c:pt idx="94">
                  <c:v>0.58556904896955664</c:v>
                </c:pt>
                <c:pt idx="95">
                  <c:v>0.58867553787200033</c:v>
                </c:pt>
                <c:pt idx="96">
                  <c:v>0.59176571940816802</c:v>
                </c:pt>
                <c:pt idx="97">
                  <c:v>0.59483984772747389</c:v>
                </c:pt>
                <c:pt idx="98">
                  <c:v>0.61296190371105963</c:v>
                </c:pt>
                <c:pt idx="99">
                  <c:v>0.61389961389961401</c:v>
                </c:pt>
                <c:pt idx="100">
                  <c:v>0.61389961389961389</c:v>
                </c:pt>
              </c:numCache>
            </c:numRef>
          </c:val>
          <c:smooth val="0"/>
          <c:extLst>
            <c:ext xmlns:c16="http://schemas.microsoft.com/office/drawing/2014/chart" uri="{C3380CC4-5D6E-409C-BE32-E72D297353CC}">
              <c16:uniqueId val="{0000000F-E52F-4E5A-966D-051FC0740F73}"/>
            </c:ext>
          </c:extLst>
        </c:ser>
        <c:ser>
          <c:idx val="7"/>
          <c:order val="7"/>
          <c:spPr>
            <a:ln w="25400">
              <a:solidFill>
                <a:srgbClr val="00B050"/>
              </a:solidFill>
              <a:prstDash val="dash"/>
            </a:ln>
          </c:spPr>
          <c:marker>
            <c:symbol val="none"/>
          </c:marker>
          <c:val>
            <c:numRef>
              <c:f>'Calculations - Dual'!$AU$110:$AU$210</c:f>
              <c:numCache>
                <c:formatCode>0.000</c:formatCode>
                <c:ptCount val="101"/>
                <c:pt idx="0">
                  <c:v>4.7833333333333321E-3</c:v>
                </c:pt>
                <c:pt idx="1">
                  <c:v>3.6087398373983746E-2</c:v>
                </c:pt>
                <c:pt idx="2">
                  <c:v>7.2174796747967493E-2</c:v>
                </c:pt>
                <c:pt idx="3">
                  <c:v>0.1082621951219512</c:v>
                </c:pt>
                <c:pt idx="4">
                  <c:v>0.14434959349593499</c:v>
                </c:pt>
                <c:pt idx="5">
                  <c:v>0.16881428816569077</c:v>
                </c:pt>
                <c:pt idx="6">
                  <c:v>0.18492678731505247</c:v>
                </c:pt>
                <c:pt idx="7">
                  <c:v>0.19974375946307918</c:v>
                </c:pt>
                <c:pt idx="8">
                  <c:v>0.21353506087343643</c:v>
                </c:pt>
                <c:pt idx="9">
                  <c:v>0.22648813434703371</c:v>
                </c:pt>
                <c:pt idx="10">
                  <c:v>0.23873945584627979</c:v>
                </c:pt>
                <c:pt idx="11">
                  <c:v>0.25039205369890538</c:v>
                </c:pt>
                <c:pt idx="12">
                  <c:v>0.26152597066703204</c:v>
                </c:pt>
                <c:pt idx="13">
                  <c:v>0.27220486055746895</c:v>
                </c:pt>
                <c:pt idx="14">
                  <c:v>0.28248033363207586</c:v>
                </c:pt>
                <c:pt idx="15">
                  <c:v>0.29239492414654988</c:v>
                </c:pt>
                <c:pt idx="16">
                  <c:v>0.30198417912937825</c:v>
                </c:pt>
                <c:pt idx="17">
                  <c:v>0.31127816695396776</c:v>
                </c:pt>
                <c:pt idx="18">
                  <c:v>0.32030259131015471</c:v>
                </c:pt>
                <c:pt idx="19">
                  <c:v>0.32907962984326106</c:v>
                </c:pt>
                <c:pt idx="20">
                  <c:v>0.33762857633138155</c:v>
                </c:pt>
                <c:pt idx="21">
                  <c:v>0.34596633988486991</c:v>
                </c:pt>
                <c:pt idx="22">
                  <c:v>0.35410783825144437</c:v>
                </c:pt>
                <c:pt idx="23">
                  <c:v>0.36206631145259682</c:v>
                </c:pt>
                <c:pt idx="24">
                  <c:v>0.36985357463010493</c:v>
                </c:pt>
                <c:pt idx="25">
                  <c:v>0.37748022391172287</c:v>
                </c:pt>
                <c:pt idx="26">
                  <c:v>0.38495580554424974</c:v>
                </c:pt>
                <c:pt idx="27">
                  <c:v>0.39228895600054814</c:v>
                </c:pt>
                <c:pt idx="28">
                  <c:v>0.39948751892615836</c:v>
                </c:pt>
                <c:pt idx="29">
                  <c:v>0.40655864343973247</c:v>
                </c:pt>
                <c:pt idx="30">
                  <c:v>0.41350886729710323</c:v>
                </c:pt>
                <c:pt idx="31">
                  <c:v>0.42034418767375759</c:v>
                </c:pt>
                <c:pt idx="32">
                  <c:v>0.42707012174687287</c:v>
                </c:pt>
                <c:pt idx="33">
                  <c:v>0.4336917588180188</c:v>
                </c:pt>
                <c:pt idx="34">
                  <c:v>0.44021380537693777</c:v>
                </c:pt>
                <c:pt idx="35">
                  <c:v>0.44664062424081191</c:v>
                </c:pt>
                <c:pt idx="36">
                  <c:v>0.45297626869406743</c:v>
                </c:pt>
                <c:pt idx="37">
                  <c:v>0.45922451238776191</c:v>
                </c:pt>
                <c:pt idx="38">
                  <c:v>0.46538887562505782</c:v>
                </c:pt>
                <c:pt idx="39">
                  <c:v>0.47147264855273768</c:v>
                </c:pt>
                <c:pt idx="40">
                  <c:v>0.47747891169255957</c:v>
                </c:pt>
                <c:pt idx="41">
                  <c:v>0.48341055417614631</c:v>
                </c:pt>
                <c:pt idx="42">
                  <c:v>0.48927028998976291</c:v>
                </c:pt>
                <c:pt idx="43">
                  <c:v>0.49506067248817537</c:v>
                </c:pt>
                <c:pt idx="44">
                  <c:v>0.50078410739781076</c:v>
                </c:pt>
                <c:pt idx="45">
                  <c:v>0.50644286449707232</c:v>
                </c:pt>
                <c:pt idx="46">
                  <c:v>0.51203908813466359</c:v>
                </c:pt>
                <c:pt idx="47">
                  <c:v>0.51757480672416378</c:v>
                </c:pt>
                <c:pt idx="48">
                  <c:v>0.52305194133406407</c:v>
                </c:pt>
                <c:pt idx="49">
                  <c:v>0.5284723134764121</c:v>
                </c:pt>
                <c:pt idx="50">
                  <c:v>0.53383765218359114</c:v>
                </c:pt>
                <c:pt idx="51">
                  <c:v>0.53914960045117954</c:v>
                </c:pt>
                <c:pt idx="52">
                  <c:v>0.54440972111493791</c:v>
                </c:pt>
                <c:pt idx="53">
                  <c:v>0.54961950222151157</c:v>
                </c:pt>
                <c:pt idx="54">
                  <c:v>0.55478036194515756</c:v>
                </c:pt>
                <c:pt idx="55">
                  <c:v>0.55989365309653027</c:v>
                </c:pt>
                <c:pt idx="56">
                  <c:v>0.56496066726415173</c:v>
                </c:pt>
                <c:pt idx="57">
                  <c:v>0.56998263862448761</c:v>
                </c:pt>
                <c:pt idx="58">
                  <c:v>0.57496074745247705</c:v>
                </c:pt>
                <c:pt idx="59">
                  <c:v>0.57989612336080398</c:v>
                </c:pt>
                <c:pt idx="60">
                  <c:v>0.58478984829309977</c:v>
                </c:pt>
                <c:pt idx="61">
                  <c:v>0.58964295929354105</c:v>
                </c:pt>
                <c:pt idx="62">
                  <c:v>0.59445645107292944</c:v>
                </c:pt>
                <c:pt idx="63">
                  <c:v>0.59923127838923751</c:v>
                </c:pt>
                <c:pt idx="64">
                  <c:v>0.6039683582587565</c:v>
                </c:pt>
                <c:pt idx="65">
                  <c:v>0.60866857201235181</c:v>
                </c:pt>
                <c:pt idx="66">
                  <c:v>0.61333276720988361</c:v>
                </c:pt>
                <c:pt idx="67">
                  <c:v>0.61796175942457066</c:v>
                </c:pt>
                <c:pt idx="68">
                  <c:v>0.62255633390793552</c:v>
                </c:pt>
                <c:pt idx="69">
                  <c:v>0.62711724714495509</c:v>
                </c:pt>
                <c:pt idx="70">
                  <c:v>0.63164522830814174</c:v>
                </c:pt>
                <c:pt idx="71">
                  <c:v>0.63614098061846491</c:v>
                </c:pt>
                <c:pt idx="72">
                  <c:v>0.64060518262030941</c:v>
                </c:pt>
                <c:pt idx="73">
                  <c:v>0.64503848937701214</c:v>
                </c:pt>
                <c:pt idx="74">
                  <c:v>0.66527196652719656</c:v>
                </c:pt>
                <c:pt idx="75">
                  <c:v>0.66527196652719656</c:v>
                </c:pt>
                <c:pt idx="76">
                  <c:v>0.66527196652719678</c:v>
                </c:pt>
                <c:pt idx="77">
                  <c:v>0.66527196652719656</c:v>
                </c:pt>
                <c:pt idx="78">
                  <c:v>0.66527196652719667</c:v>
                </c:pt>
                <c:pt idx="79">
                  <c:v>0.66527196652719656</c:v>
                </c:pt>
                <c:pt idx="80">
                  <c:v>0.66527196652719667</c:v>
                </c:pt>
                <c:pt idx="81">
                  <c:v>0.66527196652719656</c:v>
                </c:pt>
                <c:pt idx="82">
                  <c:v>0.66527196652719667</c:v>
                </c:pt>
                <c:pt idx="83">
                  <c:v>0.66527196652719656</c:v>
                </c:pt>
                <c:pt idx="84">
                  <c:v>0.66527196652719667</c:v>
                </c:pt>
                <c:pt idx="85">
                  <c:v>0.66527196652719667</c:v>
                </c:pt>
                <c:pt idx="86">
                  <c:v>0.66527196652719667</c:v>
                </c:pt>
                <c:pt idx="87">
                  <c:v>0.66527196652719667</c:v>
                </c:pt>
                <c:pt idx="88">
                  <c:v>0.66527196652719678</c:v>
                </c:pt>
                <c:pt idx="89">
                  <c:v>0.66527196652719667</c:v>
                </c:pt>
                <c:pt idx="90">
                  <c:v>0.66527196652719656</c:v>
                </c:pt>
                <c:pt idx="91">
                  <c:v>0.66527196652719678</c:v>
                </c:pt>
                <c:pt idx="92">
                  <c:v>0.66527196652719678</c:v>
                </c:pt>
                <c:pt idx="93">
                  <c:v>0.66486562000198712</c:v>
                </c:pt>
                <c:pt idx="94">
                  <c:v>0.66261460256827065</c:v>
                </c:pt>
                <c:pt idx="95">
                  <c:v>0.66038149022918102</c:v>
                </c:pt>
                <c:pt idx="96">
                  <c:v>0.65816607019931628</c:v>
                </c:pt>
                <c:pt idx="97">
                  <c:v>0.65596813305164647</c:v>
                </c:pt>
                <c:pt idx="98">
                  <c:v>0.65378747265151771</c:v>
                </c:pt>
                <c:pt idx="99">
                  <c:v>0.65162388609220712</c:v>
                </c:pt>
                <c:pt idx="100">
                  <c:v>0.64947717363198432</c:v>
                </c:pt>
              </c:numCache>
            </c:numRef>
          </c:val>
          <c:smooth val="0"/>
          <c:extLst>
            <c:ext xmlns:c16="http://schemas.microsoft.com/office/drawing/2014/chart" uri="{C3380CC4-5D6E-409C-BE32-E72D297353CC}">
              <c16:uniqueId val="{00000010-E52F-4E5A-966D-051FC0740F73}"/>
            </c:ext>
          </c:extLst>
        </c:ser>
        <c:ser>
          <c:idx val="8"/>
          <c:order val="8"/>
          <c:spPr>
            <a:ln w="25400">
              <a:solidFill>
                <a:srgbClr val="FF0000"/>
              </a:solidFill>
            </a:ln>
          </c:spPr>
          <c:marker>
            <c:symbol val="none"/>
          </c:marker>
          <c:val>
            <c:numRef>
              <c:f>'Calculations - Dual'!$AU$218:$AU$318</c:f>
              <c:numCache>
                <c:formatCode>0.000</c:formatCode>
                <c:ptCount val="101"/>
                <c:pt idx="0">
                  <c:v>3.3764705882352937E-3</c:v>
                </c:pt>
                <c:pt idx="1">
                  <c:v>2.5473457675753233E-2</c:v>
                </c:pt>
                <c:pt idx="2">
                  <c:v>5.0946915351506465E-2</c:v>
                </c:pt>
                <c:pt idx="3">
                  <c:v>7.642037302725968E-2</c:v>
                </c:pt>
                <c:pt idx="4">
                  <c:v>0.10189383070301293</c:v>
                </c:pt>
                <c:pt idx="5">
                  <c:v>0.1191630269404876</c:v>
                </c:pt>
                <c:pt idx="6">
                  <c:v>0.13053655575180176</c:v>
                </c:pt>
                <c:pt idx="7">
                  <c:v>0.14099559491511474</c:v>
                </c:pt>
                <c:pt idx="8">
                  <c:v>0.15073063120477867</c:v>
                </c:pt>
                <c:pt idx="9">
                  <c:v>0.15987397718614144</c:v>
                </c:pt>
                <c:pt idx="10">
                  <c:v>0.16852196883266807</c:v>
                </c:pt>
                <c:pt idx="11">
                  <c:v>0.17674733202275672</c:v>
                </c:pt>
                <c:pt idx="12">
                  <c:v>0.18460656752966967</c:v>
                </c:pt>
                <c:pt idx="13">
                  <c:v>0.19214460745233103</c:v>
                </c:pt>
                <c:pt idx="14">
                  <c:v>0.19939788256381824</c:v>
                </c:pt>
                <c:pt idx="15">
                  <c:v>0.20639641704462344</c:v>
                </c:pt>
                <c:pt idx="16">
                  <c:v>0.21316530291485525</c:v>
                </c:pt>
                <c:pt idx="17">
                  <c:v>0.21972576490868309</c:v>
                </c:pt>
                <c:pt idx="18">
                  <c:v>0.22609594680716802</c:v>
                </c:pt>
                <c:pt idx="19">
                  <c:v>0.2322915034187725</c:v>
                </c:pt>
                <c:pt idx="20">
                  <c:v>0.23832605388097519</c:v>
                </c:pt>
                <c:pt idx="21">
                  <c:v>0.2442115340363788</c:v>
                </c:pt>
                <c:pt idx="22">
                  <c:v>0.24995847405984306</c:v>
                </c:pt>
                <c:pt idx="23">
                  <c:v>0.25557621984889189</c:v>
                </c:pt>
                <c:pt idx="24">
                  <c:v>0.26107311150360352</c:v>
                </c:pt>
                <c:pt idx="25">
                  <c:v>0.26645662864356912</c:v>
                </c:pt>
                <c:pt idx="26">
                  <c:v>0.27173350979594102</c:v>
                </c:pt>
                <c:pt idx="27">
                  <c:v>0.27690985129450463</c:v>
                </c:pt>
                <c:pt idx="28">
                  <c:v>0.28199118983022947</c:v>
                </c:pt>
                <c:pt idx="29">
                  <c:v>0.28698257183981118</c:v>
                </c:pt>
                <c:pt idx="30">
                  <c:v>0.29188861220971996</c:v>
                </c:pt>
                <c:pt idx="31">
                  <c:v>0.2967135442402995</c:v>
                </c:pt>
                <c:pt idx="32">
                  <c:v>0.30146126240955734</c:v>
                </c:pt>
                <c:pt idx="33">
                  <c:v>0.30613535916566031</c:v>
                </c:pt>
                <c:pt idx="34">
                  <c:v>0.31073915673666191</c:v>
                </c:pt>
                <c:pt idx="35">
                  <c:v>0.31527573475822018</c:v>
                </c:pt>
                <c:pt idx="36">
                  <c:v>0.31974795437228287</c:v>
                </c:pt>
                <c:pt idx="37">
                  <c:v>0.32415847933253783</c:v>
                </c:pt>
                <c:pt idx="38">
                  <c:v>0.32850979455886431</c:v>
                </c:pt>
                <c:pt idx="39">
                  <c:v>0.33280422250781488</c:v>
                </c:pt>
                <c:pt idx="40">
                  <c:v>0.33704393766533614</c:v>
                </c:pt>
                <c:pt idx="41">
                  <c:v>0.3412309794184562</c:v>
                </c:pt>
                <c:pt idx="42">
                  <c:v>0.3453672635221855</c:v>
                </c:pt>
                <c:pt idx="43">
                  <c:v>0.34945459234459442</c:v>
                </c:pt>
                <c:pt idx="44">
                  <c:v>0.35349466404551344</c:v>
                </c:pt>
                <c:pt idx="45">
                  <c:v>0.35748908082146286</c:v>
                </c:pt>
                <c:pt idx="46">
                  <c:v>0.36143935633035074</c:v>
                </c:pt>
                <c:pt idx="47">
                  <c:v>0.36534692239352734</c:v>
                </c:pt>
                <c:pt idx="48">
                  <c:v>0.36921313505933934</c:v>
                </c:pt>
                <c:pt idx="49">
                  <c:v>0.37303928010099668</c:v>
                </c:pt>
                <c:pt idx="50">
                  <c:v>0.37682657801194674</c:v>
                </c:pt>
                <c:pt idx="51">
                  <c:v>0.38057618855377384</c:v>
                </c:pt>
                <c:pt idx="52">
                  <c:v>0.38428921490466206</c:v>
                </c:pt>
                <c:pt idx="53">
                  <c:v>0.38796670745047873</c:v>
                </c:pt>
                <c:pt idx="54">
                  <c:v>0.3916096672554053</c:v>
                </c:pt>
                <c:pt idx="55">
                  <c:v>0.39521904924460965</c:v>
                </c:pt>
                <c:pt idx="56">
                  <c:v>0.39879576512763648</c:v>
                </c:pt>
                <c:pt idx="57">
                  <c:v>0.40234068608787354</c:v>
                </c:pt>
                <c:pt idx="58">
                  <c:v>0.40585464526057208</c:v>
                </c:pt>
                <c:pt idx="59">
                  <c:v>0.40933844001939101</c:v>
                </c:pt>
                <c:pt idx="60">
                  <c:v>0.41279283408924689</c:v>
                </c:pt>
                <c:pt idx="61">
                  <c:v>0.41621855950132308</c:v>
                </c:pt>
                <c:pt idx="62">
                  <c:v>0.41961631840442082</c:v>
                </c:pt>
                <c:pt idx="63">
                  <c:v>0.42298678474534412</c:v>
                </c:pt>
                <c:pt idx="64">
                  <c:v>0.4263306058297105</c:v>
                </c:pt>
                <c:pt idx="65">
                  <c:v>0.42964840377342484</c:v>
                </c:pt>
                <c:pt idx="66">
                  <c:v>0.43294077685403559</c:v>
                </c:pt>
                <c:pt idx="67">
                  <c:v>0.43620830077028522</c:v>
                </c:pt>
                <c:pt idx="68">
                  <c:v>0.43945152981736618</c:v>
                </c:pt>
                <c:pt idx="69">
                  <c:v>0.44267099798467419</c:v>
                </c:pt>
                <c:pt idx="70">
                  <c:v>0.44586721998221768</c:v>
                </c:pt>
                <c:pt idx="71">
                  <c:v>0.44904069220126935</c:v>
                </c:pt>
                <c:pt idx="72">
                  <c:v>0.45219189361433604</c:v>
                </c:pt>
                <c:pt idx="73">
                  <c:v>0.45532128661906734</c:v>
                </c:pt>
                <c:pt idx="74">
                  <c:v>0.45842931783031371</c:v>
                </c:pt>
                <c:pt idx="75">
                  <c:v>0.46151641882417432</c:v>
                </c:pt>
                <c:pt idx="76">
                  <c:v>0.464583006837545</c:v>
                </c:pt>
                <c:pt idx="77">
                  <c:v>0.46762948542637722</c:v>
                </c:pt>
                <c:pt idx="78">
                  <c:v>0.47065624508558501</c:v>
                </c:pt>
                <c:pt idx="79">
                  <c:v>0.47366366383330077</c:v>
                </c:pt>
                <c:pt idx="80">
                  <c:v>0.47665210776195038</c:v>
                </c:pt>
                <c:pt idx="81">
                  <c:v>0.47962193155842442</c:v>
                </c:pt>
                <c:pt idx="82">
                  <c:v>0.48257347899543518</c:v>
                </c:pt>
                <c:pt idx="83">
                  <c:v>0.4855070833959908</c:v>
                </c:pt>
                <c:pt idx="84">
                  <c:v>0.48842306807275759</c:v>
                </c:pt>
                <c:pt idx="85">
                  <c:v>0.49132174674395335</c:v>
                </c:pt>
                <c:pt idx="86">
                  <c:v>0.4942034239272865</c:v>
                </c:pt>
                <c:pt idx="87">
                  <c:v>0.49706839531333824</c:v>
                </c:pt>
                <c:pt idx="88">
                  <c:v>0.49991694811968612</c:v>
                </c:pt>
                <c:pt idx="89">
                  <c:v>0.5027493614269688</c:v>
                </c:pt>
                <c:pt idx="90">
                  <c:v>0.50556590649800415</c:v>
                </c:pt>
                <c:pt idx="91">
                  <c:v>0.50836684708099589</c:v>
                </c:pt>
                <c:pt idx="92">
                  <c:v>0.51115243969778379</c:v>
                </c:pt>
                <c:pt idx="93">
                  <c:v>0.51392293391803445</c:v>
                </c:pt>
                <c:pt idx="94">
                  <c:v>0.51667857262019712</c:v>
                </c:pt>
                <c:pt idx="95">
                  <c:v>0.51941959224000023</c:v>
                </c:pt>
                <c:pt idx="96">
                  <c:v>0.52214622300720703</c:v>
                </c:pt>
                <c:pt idx="97">
                  <c:v>0.52485868917130052</c:v>
                </c:pt>
                <c:pt idx="98">
                  <c:v>0.52755720921672533</c:v>
                </c:pt>
                <c:pt idx="99">
                  <c:v>0.53024199606827038</c:v>
                </c:pt>
                <c:pt idx="100">
                  <c:v>0.53291325728713823</c:v>
                </c:pt>
              </c:numCache>
            </c:numRef>
          </c:val>
          <c:smooth val="0"/>
          <c:extLst>
            <c:ext xmlns:c16="http://schemas.microsoft.com/office/drawing/2014/chart" uri="{C3380CC4-5D6E-409C-BE32-E72D297353CC}">
              <c16:uniqueId val="{00000011-E52F-4E5A-966D-051FC0740F73}"/>
            </c:ext>
          </c:extLst>
        </c:ser>
        <c:dLbls>
          <c:showLegendKey val="0"/>
          <c:showVal val="0"/>
          <c:showCatName val="0"/>
          <c:showSerName val="0"/>
          <c:showPercent val="0"/>
          <c:showBubbleSize val="0"/>
        </c:dLbls>
        <c:marker val="1"/>
        <c:smooth val="0"/>
        <c:axId val="141389824"/>
        <c:axId val="141383552"/>
      </c:lineChart>
      <c:catAx>
        <c:axId val="141686656"/>
        <c:scaling>
          <c:orientation val="minMax"/>
        </c:scaling>
        <c:delete val="0"/>
        <c:axPos val="b"/>
        <c:majorGridlines>
          <c:spPr>
            <a:ln w="15875">
              <a:solidFill>
                <a:srgbClr val="969696"/>
              </a:solidFill>
              <a:prstDash val="sysDash"/>
            </a:ln>
          </c:spPr>
        </c:majorGridlines>
        <c:title>
          <c:tx>
            <c:rich>
              <a:bodyPr/>
              <a:lstStyle/>
              <a:p>
                <a:pPr>
                  <a:defRPr sz="1100" b="1" i="0" u="none" strike="noStrike" baseline="0">
                    <a:solidFill>
                      <a:schemeClr val="tx1"/>
                    </a:solidFill>
                    <a:latin typeface="Arial" pitchFamily="34" charset="0"/>
                    <a:ea typeface="Calibri"/>
                    <a:cs typeface="Arial" pitchFamily="34" charset="0"/>
                  </a:defRPr>
                </a:pPr>
                <a:r>
                  <a:rPr lang="en-US" sz="1600" b="1" i="0" baseline="0">
                    <a:effectLst/>
                  </a:rPr>
                  <a:t>% Total Rated Output Power</a:t>
                </a:r>
                <a:endParaRPr lang="en-US" sz="1100">
                  <a:effectLst/>
                </a:endParaRPr>
              </a:p>
            </c:rich>
          </c:tx>
          <c:layout>
            <c:manualLayout>
              <c:xMode val="edge"/>
              <c:yMode val="edge"/>
              <c:x val="0.38070688614495507"/>
              <c:y val="0.93853774450069472"/>
            </c:manualLayout>
          </c:layout>
          <c:overlay val="0"/>
          <c:spPr>
            <a:noFill/>
            <a:ln w="25400">
              <a:noFill/>
            </a:ln>
          </c:spPr>
        </c:title>
        <c:numFmt formatCode="General" sourceLinked="1"/>
        <c:majorTickMark val="in"/>
        <c:minorTickMark val="in"/>
        <c:tickLblPos val="nextTo"/>
        <c:spPr>
          <a:ln w="3175">
            <a:solidFill>
              <a:schemeClr val="tx1"/>
            </a:solidFill>
            <a:prstDash val="solid"/>
          </a:ln>
        </c:spPr>
        <c:txPr>
          <a:bodyPr rot="0" vert="horz"/>
          <a:lstStyle/>
          <a:p>
            <a:pPr>
              <a:defRPr sz="1400" b="1" i="0" u="none" strike="noStrike" baseline="0">
                <a:solidFill>
                  <a:schemeClr val="tx1"/>
                </a:solidFill>
                <a:latin typeface="Arial" pitchFamily="34" charset="0"/>
                <a:ea typeface="Calibri"/>
                <a:cs typeface="Arial" pitchFamily="34" charset="0"/>
              </a:defRPr>
            </a:pPr>
            <a:endParaRPr lang="en-US"/>
          </a:p>
        </c:txPr>
        <c:crossAx val="141381632"/>
        <c:crosses val="autoZero"/>
        <c:auto val="1"/>
        <c:lblAlgn val="ctr"/>
        <c:lblOffset val="100"/>
        <c:tickLblSkip val="20"/>
        <c:tickMarkSkip val="10"/>
        <c:noMultiLvlLbl val="0"/>
      </c:catAx>
      <c:valAx>
        <c:axId val="141381632"/>
        <c:scaling>
          <c:orientation val="minMax"/>
          <c:max val="400"/>
          <c:min val="0"/>
        </c:scaling>
        <c:delete val="0"/>
        <c:axPos val="l"/>
        <c:majorGridlines>
          <c:spPr>
            <a:ln w="15875">
              <a:solidFill>
                <a:srgbClr val="808080"/>
              </a:solidFill>
              <a:prstDash val="solid"/>
            </a:ln>
          </c:spPr>
        </c:majorGridlines>
        <c:title>
          <c:tx>
            <c:rich>
              <a:bodyPr/>
              <a:lstStyle/>
              <a:p>
                <a:pPr>
                  <a:defRPr sz="1600" b="1" i="0" u="none" strike="noStrike" baseline="0">
                    <a:solidFill>
                      <a:schemeClr val="tx1"/>
                    </a:solidFill>
                    <a:latin typeface="Arial" pitchFamily="34" charset="0"/>
                    <a:ea typeface="Calibri"/>
                    <a:cs typeface="Arial" pitchFamily="34" charset="0"/>
                  </a:defRPr>
                </a:pPr>
                <a:r>
                  <a:rPr lang="en-US" sz="1600" b="1">
                    <a:solidFill>
                      <a:schemeClr val="tx1"/>
                    </a:solidFill>
                    <a:latin typeface="Arial" pitchFamily="34" charset="0"/>
                    <a:cs typeface="Arial" pitchFamily="34" charset="0"/>
                  </a:rPr>
                  <a:t>Switching</a:t>
                </a:r>
                <a:r>
                  <a:rPr lang="en-US" sz="1600" b="1" baseline="0">
                    <a:solidFill>
                      <a:schemeClr val="tx1"/>
                    </a:solidFill>
                    <a:latin typeface="Arial" pitchFamily="34" charset="0"/>
                    <a:cs typeface="Arial" pitchFamily="34" charset="0"/>
                  </a:rPr>
                  <a:t> Frquency (kHz)</a:t>
                </a:r>
                <a:endParaRPr lang="en-US" sz="1600" b="1">
                  <a:solidFill>
                    <a:schemeClr val="tx1"/>
                  </a:solidFill>
                  <a:latin typeface="Arial" pitchFamily="34" charset="0"/>
                  <a:cs typeface="Arial" pitchFamily="34" charset="0"/>
                </a:endParaRPr>
              </a:p>
            </c:rich>
          </c:tx>
          <c:layout>
            <c:manualLayout>
              <c:xMode val="edge"/>
              <c:yMode val="edge"/>
              <c:x val="8.5568128125503556E-3"/>
              <c:y val="0.22463146285493288"/>
            </c:manualLayout>
          </c:layout>
          <c:overlay val="0"/>
          <c:spPr>
            <a:noFill/>
            <a:ln w="25400">
              <a:noFill/>
            </a:ln>
          </c:spPr>
        </c:title>
        <c:numFmt formatCode="#,##0" sourceLinked="0"/>
        <c:majorTickMark val="in"/>
        <c:minorTickMark val="in"/>
        <c:tickLblPos val="nextTo"/>
        <c:spPr>
          <a:ln w="3175">
            <a:solidFill>
              <a:srgbClr val="000000"/>
            </a:solidFill>
            <a:prstDash val="solid"/>
          </a:ln>
        </c:spPr>
        <c:txPr>
          <a:bodyPr rot="0" vert="horz"/>
          <a:lstStyle/>
          <a:p>
            <a:pPr>
              <a:defRPr sz="1600" b="1" i="0" u="none" strike="noStrike" baseline="0">
                <a:solidFill>
                  <a:schemeClr val="tx1"/>
                </a:solidFill>
                <a:latin typeface="Arial" pitchFamily="34" charset="0"/>
                <a:ea typeface="Calibri"/>
                <a:cs typeface="Arial" pitchFamily="34" charset="0"/>
              </a:defRPr>
            </a:pPr>
            <a:endParaRPr lang="en-US"/>
          </a:p>
        </c:txPr>
        <c:crossAx val="141686656"/>
        <c:crossesAt val="0"/>
        <c:crossBetween val="between"/>
        <c:majorUnit val="50"/>
        <c:minorUnit val="25"/>
      </c:valAx>
      <c:valAx>
        <c:axId val="141383552"/>
        <c:scaling>
          <c:orientation val="minMax"/>
          <c:max val="0.60000000000000009"/>
        </c:scaling>
        <c:delete val="0"/>
        <c:axPos val="r"/>
        <c:title>
          <c:tx>
            <c:rich>
              <a:bodyPr rot="-5400000" vert="horz"/>
              <a:lstStyle/>
              <a:p>
                <a:pPr>
                  <a:defRPr sz="1600" b="1"/>
                </a:pPr>
                <a:r>
                  <a:rPr lang="en-US" sz="1600" b="1"/>
                  <a:t>Duty Cycle</a:t>
                </a:r>
              </a:p>
            </c:rich>
          </c:tx>
          <c:layout>
            <c:manualLayout>
              <c:xMode val="edge"/>
              <c:yMode val="edge"/>
              <c:x val="0.96331030941631779"/>
              <c:y val="0.35675917128406437"/>
            </c:manualLayout>
          </c:layout>
          <c:overlay val="0"/>
        </c:title>
        <c:numFmt formatCode="General" sourceLinked="0"/>
        <c:majorTickMark val="out"/>
        <c:minorTickMark val="none"/>
        <c:tickLblPos val="nextTo"/>
        <c:txPr>
          <a:bodyPr/>
          <a:lstStyle/>
          <a:p>
            <a:pPr>
              <a:defRPr sz="1400" b="1"/>
            </a:pPr>
            <a:endParaRPr lang="en-US"/>
          </a:p>
        </c:txPr>
        <c:crossAx val="141389824"/>
        <c:crosses val="max"/>
        <c:crossBetween val="between"/>
        <c:majorUnit val="0.1"/>
        <c:minorUnit val="5.000000000000001E-2"/>
      </c:valAx>
      <c:catAx>
        <c:axId val="141389824"/>
        <c:scaling>
          <c:orientation val="minMax"/>
        </c:scaling>
        <c:delete val="1"/>
        <c:axPos val="b"/>
        <c:majorTickMark val="out"/>
        <c:minorTickMark val="none"/>
        <c:tickLblPos val="nextTo"/>
        <c:crossAx val="141383552"/>
        <c:crosses val="autoZero"/>
        <c:auto val="1"/>
        <c:lblAlgn val="ctr"/>
        <c:lblOffset val="100"/>
        <c:noMultiLvlLbl val="0"/>
      </c:catAx>
      <c:spPr>
        <a:noFill/>
        <a:ln w="25400">
          <a:noFill/>
        </a:ln>
      </c:spPr>
    </c:plotArea>
    <c:legend>
      <c:legendPos val="t"/>
      <c:legendEntry>
        <c:idx val="12"/>
        <c:delete val="1"/>
      </c:legendEntry>
      <c:legendEntry>
        <c:idx val="13"/>
        <c:delete val="1"/>
      </c:legendEntry>
      <c:legendEntry>
        <c:idx val="14"/>
        <c:delete val="1"/>
      </c:legendEntry>
      <c:legendEntry>
        <c:idx val="15"/>
        <c:delete val="1"/>
      </c:legendEntry>
      <c:legendEntry>
        <c:idx val="16"/>
        <c:delete val="1"/>
      </c:legendEntry>
      <c:legendEntry>
        <c:idx val="17"/>
        <c:delete val="1"/>
      </c:legendEntry>
      <c:layout>
        <c:manualLayout>
          <c:xMode val="edge"/>
          <c:yMode val="edge"/>
          <c:x val="0.31430722044239789"/>
          <c:y val="1.5175029628150039E-2"/>
          <c:w val="0.42410841724909248"/>
          <c:h val="5.4335766847817754E-2"/>
        </c:manualLayout>
      </c:layout>
      <c:overlay val="0"/>
      <c:spPr>
        <a:solidFill>
          <a:srgbClr val="FFFFFF"/>
        </a:solidFill>
        <a:ln w="25400">
          <a:noFill/>
        </a:ln>
      </c:spPr>
      <c:txPr>
        <a:bodyPr/>
        <a:lstStyle/>
        <a:p>
          <a:pPr>
            <a:defRPr sz="1400" b="0" i="0" u="none" strike="noStrike" baseline="0">
              <a:solidFill>
                <a:srgbClr val="000000"/>
              </a:solidFill>
              <a:latin typeface="Arial" pitchFamily="34" charset="0"/>
              <a:ea typeface="Calibri"/>
              <a:cs typeface="Arial" pitchFamily="34" charset="0"/>
            </a:defRPr>
          </a:pPr>
          <a:endParaRPr lang="en-US"/>
        </a:p>
      </c:txPr>
    </c:legend>
    <c:plotVisOnly val="1"/>
    <c:dispBlanksAs val="gap"/>
    <c:showDLblsOverMax val="0"/>
  </c:chart>
  <c:spPr>
    <a:solidFill>
      <a:srgbClr val="FFFFFF"/>
    </a:solidFill>
    <a:ln w="9525">
      <a:noFill/>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0000000000006" r="0.750000000000006" t="1" header="0.5" footer="0.5"/>
    <c:pageSetup paperSize="5"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280746883383756E-2"/>
          <c:y val="0.12133523343001466"/>
          <c:w val="0.86047278973849184"/>
          <c:h val="0.7558980268938309"/>
        </c:manualLayout>
      </c:layout>
      <c:lineChart>
        <c:grouping val="standard"/>
        <c:varyColors val="0"/>
        <c:ser>
          <c:idx val="1"/>
          <c:order val="0"/>
          <c:tx>
            <c:v>VIN-min</c:v>
          </c:tx>
          <c:spPr>
            <a:ln>
              <a:solidFill>
                <a:srgbClr val="00B050"/>
              </a:solidFill>
              <a:prstDash val="sysDash"/>
            </a:ln>
          </c:spPr>
          <c:marker>
            <c:symbol val="none"/>
          </c:marker>
          <c:val>
            <c:numRef>
              <c:f>'Calculations - Dual'!$AI$110:$AI$210</c:f>
              <c:numCache>
                <c:formatCode>0.000</c:formatCode>
                <c:ptCount val="101"/>
                <c:pt idx="0">
                  <c:v>0.82</c:v>
                </c:pt>
                <c:pt idx="1">
                  <c:v>0.82</c:v>
                </c:pt>
                <c:pt idx="2">
                  <c:v>0.82</c:v>
                </c:pt>
                <c:pt idx="3">
                  <c:v>0.82</c:v>
                </c:pt>
                <c:pt idx="4">
                  <c:v>0.82</c:v>
                </c:pt>
                <c:pt idx="5">
                  <c:v>0.82684549305644461</c:v>
                </c:pt>
                <c:pt idx="6">
                  <c:v>0.90576385623699185</c:v>
                </c:pt>
                <c:pt idx="7">
                  <c:v>0.97833678104365329</c:v>
                </c:pt>
                <c:pt idx="8">
                  <c:v>1.0458860124413214</c:v>
                </c:pt>
                <c:pt idx="9">
                  <c:v>1.1093296376181243</c:v>
                </c:pt>
                <c:pt idx="10">
                  <c:v>1.1693361102674928</c:v>
                </c:pt>
                <c:pt idx="11">
                  <c:v>1.2264100589334144</c:v>
                </c:pt>
                <c:pt idx="12">
                  <c:v>1.2809435297977081</c:v>
                </c:pt>
                <c:pt idx="13">
                  <c:v>1.3332482966080113</c:v>
                </c:pt>
                <c:pt idx="14">
                  <c:v>1.3835771443203715</c:v>
                </c:pt>
                <c:pt idx="15">
                  <c:v>1.4321384039831015</c:v>
                </c:pt>
                <c:pt idx="16">
                  <c:v>1.4791061834908323</c:v>
                </c:pt>
                <c:pt idx="17">
                  <c:v>1.5246277565092299</c:v>
                </c:pt>
                <c:pt idx="18">
                  <c:v>1.5688290186619822</c:v>
                </c:pt>
                <c:pt idx="19">
                  <c:v>1.6118185951506667</c:v>
                </c:pt>
                <c:pt idx="20">
                  <c:v>1.6536909861128892</c:v>
                </c:pt>
                <c:pt idx="21">
                  <c:v>1.6945290116809955</c:v>
                </c:pt>
                <c:pt idx="22">
                  <c:v>1.7344057383744214</c:v>
                </c:pt>
                <c:pt idx="23">
                  <c:v>1.7733860152780254</c:v>
                </c:pt>
                <c:pt idx="24">
                  <c:v>1.8115277124739837</c:v>
                </c:pt>
                <c:pt idx="25">
                  <c:v>1.8488827293635406</c:v>
                </c:pt>
                <c:pt idx="26">
                  <c:v>1.8854978230738764</c:v>
                </c:pt>
                <c:pt idx="27">
                  <c:v>1.9214152946965626</c:v>
                </c:pt>
                <c:pt idx="28">
                  <c:v>1.9566735620873066</c:v>
                </c:pt>
                <c:pt idx="29">
                  <c:v>1.9913076413374653</c:v>
                </c:pt>
                <c:pt idx="30">
                  <c:v>2.0253495541082609</c:v>
                </c:pt>
                <c:pt idx="31">
                  <c:v>2.0588286743204454</c:v>
                </c:pt>
                <c:pt idx="32">
                  <c:v>2.0917720248826428</c:v>
                </c:pt>
                <c:pt idx="33">
                  <c:v>2.1242045329862149</c:v>
                </c:pt>
                <c:pt idx="34">
                  <c:v>2.1561492508258175</c:v>
                </c:pt>
                <c:pt idx="35">
                  <c:v>2.1876275473019362</c:v>
                </c:pt>
                <c:pt idx="36">
                  <c:v>2.2186592752362486</c:v>
                </c:pt>
                <c:pt idx="37">
                  <c:v>2.2492629178176098</c:v>
                </c:pt>
                <c:pt idx="38">
                  <c:v>2.2794557173472221</c:v>
                </c:pt>
                <c:pt idx="39">
                  <c:v>2.3092537888297358</c:v>
                </c:pt>
                <c:pt idx="40">
                  <c:v>2.3386722205349857</c:v>
                </c:pt>
                <c:pt idx="41">
                  <c:v>2.3677251633117371</c:v>
                </c:pt>
                <c:pt idx="42">
                  <c:v>2.3964259101539405</c:v>
                </c:pt>
                <c:pt idx="43">
                  <c:v>2.4247869672890223</c:v>
                </c:pt>
                <c:pt idx="44">
                  <c:v>2.4528201178668287</c:v>
                </c:pt>
                <c:pt idx="45">
                  <c:v>2.4805364791693338</c:v>
                </c:pt>
                <c:pt idx="46">
                  <c:v>2.5079465541289645</c:v>
                </c:pt>
                <c:pt idx="47">
                  <c:v>2.5350602778326392</c:v>
                </c:pt>
                <c:pt idx="48">
                  <c:v>2.5618870595954162</c:v>
                </c:pt>
                <c:pt idx="49">
                  <c:v>2.5884358211089569</c:v>
                </c:pt>
                <c:pt idx="50">
                  <c:v>2.6147150311033038</c:v>
                </c:pt>
                <c:pt idx="51">
                  <c:v>2.640732736903737</c:v>
                </c:pt>
                <c:pt idx="52">
                  <c:v>2.6664965932160225</c:v>
                </c:pt>
                <c:pt idx="53">
                  <c:v>2.6920138884318936</c:v>
                </c:pt>
                <c:pt idx="54">
                  <c:v>2.717291568710976</c:v>
                </c:pt>
                <c:pt idx="55">
                  <c:v>2.7423362600646382</c:v>
                </c:pt>
                <c:pt idx="56">
                  <c:v>2.767154288640743</c:v>
                </c:pt>
                <c:pt idx="57">
                  <c:v>2.7917516993852458</c:v>
                </c:pt>
                <c:pt idx="58">
                  <c:v>2.8161342732366221</c:v>
                </c:pt>
                <c:pt idx="59">
                  <c:v>2.8403075429916931</c:v>
                </c:pt>
                <c:pt idx="60">
                  <c:v>2.8642768079662031</c:v>
                </c:pt>
                <c:pt idx="61">
                  <c:v>2.8880471475602008</c:v>
                </c:pt>
                <c:pt idx="62">
                  <c:v>2.9116234338265934</c:v>
                </c:pt>
                <c:pt idx="63">
                  <c:v>2.9350103431309593</c:v>
                </c:pt>
                <c:pt idx="64">
                  <c:v>2.9582123669816647</c:v>
                </c:pt>
                <c:pt idx="65">
                  <c:v>2.981233822101315</c:v>
                </c:pt>
                <c:pt idx="66">
                  <c:v>3.0040788598035117</c:v>
                </c:pt>
                <c:pt idx="67">
                  <c:v>3.0267514747325914</c:v>
                </c:pt>
                <c:pt idx="68">
                  <c:v>3.0492555130184598</c:v>
                </c:pt>
                <c:pt idx="69">
                  <c:v>3.0715946798936575</c:v>
                </c:pt>
                <c:pt idx="70">
                  <c:v>3.093772546815388</c:v>
                </c:pt>
                <c:pt idx="71">
                  <c:v>3.1157925581312567</c:v>
                </c:pt>
                <c:pt idx="72">
                  <c:v>3.1376580373239644</c:v>
                </c:pt>
                <c:pt idx="73">
                  <c:v>3.1593721928669978</c:v>
                </c:pt>
                <c:pt idx="74">
                  <c:v>3.2686803486704186</c:v>
                </c:pt>
                <c:pt idx="75">
                  <c:v>3.3128517047335322</c:v>
                </c:pt>
                <c:pt idx="76">
                  <c:v>3.3570230607966463</c:v>
                </c:pt>
                <c:pt idx="77">
                  <c:v>3.4011944168597599</c:v>
                </c:pt>
                <c:pt idx="78">
                  <c:v>3.4453657729228739</c:v>
                </c:pt>
                <c:pt idx="79">
                  <c:v>3.4895371289859876</c:v>
                </c:pt>
                <c:pt idx="80">
                  <c:v>3.5337084850491012</c:v>
                </c:pt>
                <c:pt idx="81">
                  <c:v>3.5778798411122152</c:v>
                </c:pt>
                <c:pt idx="82">
                  <c:v>3.6220511971753284</c:v>
                </c:pt>
                <c:pt idx="83">
                  <c:v>3.6662225532384425</c:v>
                </c:pt>
                <c:pt idx="84">
                  <c:v>3.7103939093015561</c:v>
                </c:pt>
                <c:pt idx="85">
                  <c:v>3.7545652653646702</c:v>
                </c:pt>
                <c:pt idx="86">
                  <c:v>3.7987366214277838</c:v>
                </c:pt>
                <c:pt idx="87">
                  <c:v>3.8429079774908979</c:v>
                </c:pt>
                <c:pt idx="88">
                  <c:v>3.8870793335540106</c:v>
                </c:pt>
                <c:pt idx="89">
                  <c:v>3.9312506896171246</c:v>
                </c:pt>
                <c:pt idx="90">
                  <c:v>3.9754220456802387</c:v>
                </c:pt>
                <c:pt idx="91">
                  <c:v>4.0195934017433528</c:v>
                </c:pt>
                <c:pt idx="92">
                  <c:v>4.0637647578064664</c:v>
                </c:pt>
                <c:pt idx="93">
                  <c:v>4.0999999999999996</c:v>
                </c:pt>
                <c:pt idx="94">
                  <c:v>4.0999999999999996</c:v>
                </c:pt>
                <c:pt idx="95">
                  <c:v>4.0999999999999996</c:v>
                </c:pt>
                <c:pt idx="96">
                  <c:v>4.0999999999999996</c:v>
                </c:pt>
                <c:pt idx="97">
                  <c:v>4.0999999999999996</c:v>
                </c:pt>
                <c:pt idx="98">
                  <c:v>4.0999999999999996</c:v>
                </c:pt>
                <c:pt idx="99">
                  <c:v>4.0999999999999996</c:v>
                </c:pt>
                <c:pt idx="100">
                  <c:v>4.0999999999999996</c:v>
                </c:pt>
              </c:numCache>
            </c:numRef>
          </c:val>
          <c:smooth val="0"/>
          <c:extLst>
            <c:ext xmlns:c16="http://schemas.microsoft.com/office/drawing/2014/chart" uri="{C3380CC4-5D6E-409C-BE32-E72D297353CC}">
              <c16:uniqueId val="{00000000-62C6-4995-8F87-7A4DA41FA5D8}"/>
            </c:ext>
          </c:extLst>
        </c:ser>
        <c:ser>
          <c:idx val="0"/>
          <c:order val="1"/>
          <c:tx>
            <c:v>VIN-nom</c:v>
          </c:tx>
          <c:spPr>
            <a:ln w="28575">
              <a:solidFill>
                <a:srgbClr val="0000FF"/>
              </a:solidFill>
              <a:prstDash val="lgDash"/>
            </a:ln>
          </c:spPr>
          <c:marker>
            <c:symbol val="none"/>
          </c:marker>
          <c:cat>
            <c:numRef>
              <c:f>'Calculations - Dual'!$AL$5:$AL$105</c:f>
              <c:numCache>
                <c:formatCode>0</c:formatCode>
                <c:ptCount val="101"/>
                <c:pt idx="0">
                  <c:v>1.0000000000000002E-6</c:v>
                </c:pt>
                <c:pt idx="1">
                  <c:v>10</c:v>
                </c:pt>
                <c:pt idx="2">
                  <c:v>20</c:v>
                </c:pt>
                <c:pt idx="3">
                  <c:v>30</c:v>
                </c:pt>
                <c:pt idx="4">
                  <c:v>40</c:v>
                </c:pt>
                <c:pt idx="5">
                  <c:v>50</c:v>
                </c:pt>
                <c:pt idx="6">
                  <c:v>60</c:v>
                </c:pt>
                <c:pt idx="7">
                  <c:v>70</c:v>
                </c:pt>
                <c:pt idx="8">
                  <c:v>80</c:v>
                </c:pt>
                <c:pt idx="9">
                  <c:v>90</c:v>
                </c:pt>
                <c:pt idx="10">
                  <c:v>100</c:v>
                </c:pt>
                <c:pt idx="11">
                  <c:v>110</c:v>
                </c:pt>
                <c:pt idx="12">
                  <c:v>120</c:v>
                </c:pt>
                <c:pt idx="13">
                  <c:v>130</c:v>
                </c:pt>
                <c:pt idx="14">
                  <c:v>140</c:v>
                </c:pt>
                <c:pt idx="15">
                  <c:v>150</c:v>
                </c:pt>
                <c:pt idx="16">
                  <c:v>160</c:v>
                </c:pt>
                <c:pt idx="17">
                  <c:v>170</c:v>
                </c:pt>
                <c:pt idx="18">
                  <c:v>180</c:v>
                </c:pt>
                <c:pt idx="19">
                  <c:v>190</c:v>
                </c:pt>
                <c:pt idx="20">
                  <c:v>200</c:v>
                </c:pt>
                <c:pt idx="21">
                  <c:v>210</c:v>
                </c:pt>
                <c:pt idx="22">
                  <c:v>220</c:v>
                </c:pt>
                <c:pt idx="23">
                  <c:v>230</c:v>
                </c:pt>
                <c:pt idx="24">
                  <c:v>240</c:v>
                </c:pt>
                <c:pt idx="25">
                  <c:v>250</c:v>
                </c:pt>
                <c:pt idx="26">
                  <c:v>260</c:v>
                </c:pt>
                <c:pt idx="27">
                  <c:v>270</c:v>
                </c:pt>
                <c:pt idx="28">
                  <c:v>280</c:v>
                </c:pt>
                <c:pt idx="29">
                  <c:v>290</c:v>
                </c:pt>
                <c:pt idx="30">
                  <c:v>300</c:v>
                </c:pt>
                <c:pt idx="31">
                  <c:v>310</c:v>
                </c:pt>
                <c:pt idx="32">
                  <c:v>320</c:v>
                </c:pt>
                <c:pt idx="33">
                  <c:v>330</c:v>
                </c:pt>
                <c:pt idx="34">
                  <c:v>340</c:v>
                </c:pt>
                <c:pt idx="35">
                  <c:v>350</c:v>
                </c:pt>
                <c:pt idx="36">
                  <c:v>360</c:v>
                </c:pt>
                <c:pt idx="37">
                  <c:v>370</c:v>
                </c:pt>
                <c:pt idx="38">
                  <c:v>380</c:v>
                </c:pt>
                <c:pt idx="39">
                  <c:v>390</c:v>
                </c:pt>
                <c:pt idx="40">
                  <c:v>400</c:v>
                </c:pt>
                <c:pt idx="41">
                  <c:v>410</c:v>
                </c:pt>
                <c:pt idx="42">
                  <c:v>420</c:v>
                </c:pt>
                <c:pt idx="43">
                  <c:v>430</c:v>
                </c:pt>
                <c:pt idx="44">
                  <c:v>440</c:v>
                </c:pt>
                <c:pt idx="45">
                  <c:v>450</c:v>
                </c:pt>
                <c:pt idx="46">
                  <c:v>460</c:v>
                </c:pt>
                <c:pt idx="47">
                  <c:v>470</c:v>
                </c:pt>
                <c:pt idx="48">
                  <c:v>480</c:v>
                </c:pt>
                <c:pt idx="49">
                  <c:v>490</c:v>
                </c:pt>
                <c:pt idx="50">
                  <c:v>500</c:v>
                </c:pt>
                <c:pt idx="51">
                  <c:v>510</c:v>
                </c:pt>
                <c:pt idx="52">
                  <c:v>520</c:v>
                </c:pt>
                <c:pt idx="53">
                  <c:v>530</c:v>
                </c:pt>
                <c:pt idx="54">
                  <c:v>540</c:v>
                </c:pt>
                <c:pt idx="55">
                  <c:v>550</c:v>
                </c:pt>
                <c:pt idx="56">
                  <c:v>560</c:v>
                </c:pt>
                <c:pt idx="57">
                  <c:v>570</c:v>
                </c:pt>
                <c:pt idx="58">
                  <c:v>580</c:v>
                </c:pt>
                <c:pt idx="59">
                  <c:v>590</c:v>
                </c:pt>
                <c:pt idx="60">
                  <c:v>600</c:v>
                </c:pt>
                <c:pt idx="61">
                  <c:v>610</c:v>
                </c:pt>
                <c:pt idx="62">
                  <c:v>620</c:v>
                </c:pt>
                <c:pt idx="63">
                  <c:v>630</c:v>
                </c:pt>
                <c:pt idx="64">
                  <c:v>640</c:v>
                </c:pt>
                <c:pt idx="65">
                  <c:v>650</c:v>
                </c:pt>
                <c:pt idx="66">
                  <c:v>660</c:v>
                </c:pt>
                <c:pt idx="67">
                  <c:v>670</c:v>
                </c:pt>
                <c:pt idx="68">
                  <c:v>680</c:v>
                </c:pt>
                <c:pt idx="69">
                  <c:v>690</c:v>
                </c:pt>
                <c:pt idx="70">
                  <c:v>700</c:v>
                </c:pt>
                <c:pt idx="71">
                  <c:v>710</c:v>
                </c:pt>
                <c:pt idx="72">
                  <c:v>720</c:v>
                </c:pt>
                <c:pt idx="73">
                  <c:v>730</c:v>
                </c:pt>
                <c:pt idx="74">
                  <c:v>740</c:v>
                </c:pt>
                <c:pt idx="75">
                  <c:v>750</c:v>
                </c:pt>
                <c:pt idx="76">
                  <c:v>760</c:v>
                </c:pt>
                <c:pt idx="77">
                  <c:v>770</c:v>
                </c:pt>
                <c:pt idx="78">
                  <c:v>780</c:v>
                </c:pt>
                <c:pt idx="79">
                  <c:v>790</c:v>
                </c:pt>
                <c:pt idx="80">
                  <c:v>800</c:v>
                </c:pt>
                <c:pt idx="81">
                  <c:v>810</c:v>
                </c:pt>
                <c:pt idx="82">
                  <c:v>820</c:v>
                </c:pt>
                <c:pt idx="83">
                  <c:v>830</c:v>
                </c:pt>
                <c:pt idx="84">
                  <c:v>840</c:v>
                </c:pt>
                <c:pt idx="85">
                  <c:v>850</c:v>
                </c:pt>
                <c:pt idx="86">
                  <c:v>860</c:v>
                </c:pt>
                <c:pt idx="87">
                  <c:v>870</c:v>
                </c:pt>
                <c:pt idx="88">
                  <c:v>880</c:v>
                </c:pt>
                <c:pt idx="89">
                  <c:v>890</c:v>
                </c:pt>
                <c:pt idx="90">
                  <c:v>900</c:v>
                </c:pt>
                <c:pt idx="91">
                  <c:v>910</c:v>
                </c:pt>
                <c:pt idx="92">
                  <c:v>920</c:v>
                </c:pt>
                <c:pt idx="93">
                  <c:v>930</c:v>
                </c:pt>
                <c:pt idx="94">
                  <c:v>940</c:v>
                </c:pt>
                <c:pt idx="95">
                  <c:v>950</c:v>
                </c:pt>
                <c:pt idx="96">
                  <c:v>960</c:v>
                </c:pt>
                <c:pt idx="97">
                  <c:v>970</c:v>
                </c:pt>
                <c:pt idx="98">
                  <c:v>980</c:v>
                </c:pt>
                <c:pt idx="99">
                  <c:v>990</c:v>
                </c:pt>
                <c:pt idx="100">
                  <c:v>1000</c:v>
                </c:pt>
              </c:numCache>
            </c:numRef>
          </c:cat>
          <c:val>
            <c:numRef>
              <c:f>'Calculations - Dual'!$AI$5:$AI$105</c:f>
              <c:numCache>
                <c:formatCode>0.000</c:formatCode>
                <c:ptCount val="101"/>
                <c:pt idx="0">
                  <c:v>0.82</c:v>
                </c:pt>
                <c:pt idx="1">
                  <c:v>0.82</c:v>
                </c:pt>
                <c:pt idx="2">
                  <c:v>0.82</c:v>
                </c:pt>
                <c:pt idx="3">
                  <c:v>0.82</c:v>
                </c:pt>
                <c:pt idx="4">
                  <c:v>0.82</c:v>
                </c:pt>
                <c:pt idx="5">
                  <c:v>0.82684549305644461</c:v>
                </c:pt>
                <c:pt idx="6">
                  <c:v>0.90576385623699185</c:v>
                </c:pt>
                <c:pt idx="7">
                  <c:v>0.97833678104365329</c:v>
                </c:pt>
                <c:pt idx="8">
                  <c:v>1.0458860124413214</c:v>
                </c:pt>
                <c:pt idx="9">
                  <c:v>1.1093296376181243</c:v>
                </c:pt>
                <c:pt idx="10">
                  <c:v>1.1693361102674928</c:v>
                </c:pt>
                <c:pt idx="11">
                  <c:v>1.2264100589334144</c:v>
                </c:pt>
                <c:pt idx="12">
                  <c:v>1.2809435297977081</c:v>
                </c:pt>
                <c:pt idx="13">
                  <c:v>1.3332482966080113</c:v>
                </c:pt>
                <c:pt idx="14">
                  <c:v>1.3835771443203715</c:v>
                </c:pt>
                <c:pt idx="15">
                  <c:v>1.4321384039831015</c:v>
                </c:pt>
                <c:pt idx="16">
                  <c:v>1.4791061834908323</c:v>
                </c:pt>
                <c:pt idx="17">
                  <c:v>1.5246277565092299</c:v>
                </c:pt>
                <c:pt idx="18">
                  <c:v>1.5688290186619822</c:v>
                </c:pt>
                <c:pt idx="19">
                  <c:v>1.6118185951506667</c:v>
                </c:pt>
                <c:pt idx="20">
                  <c:v>1.6536909861128892</c:v>
                </c:pt>
                <c:pt idx="21">
                  <c:v>1.6945290116809955</c:v>
                </c:pt>
                <c:pt idx="22">
                  <c:v>1.7344057383744214</c:v>
                </c:pt>
                <c:pt idx="23">
                  <c:v>1.7733860152780254</c:v>
                </c:pt>
                <c:pt idx="24">
                  <c:v>1.8115277124739837</c:v>
                </c:pt>
                <c:pt idx="25">
                  <c:v>1.8488827293635406</c:v>
                </c:pt>
                <c:pt idx="26">
                  <c:v>1.8854978230738764</c:v>
                </c:pt>
                <c:pt idx="27">
                  <c:v>1.9214152946965626</c:v>
                </c:pt>
                <c:pt idx="28">
                  <c:v>1.9566735620873066</c:v>
                </c:pt>
                <c:pt idx="29">
                  <c:v>1.9913076413374653</c:v>
                </c:pt>
                <c:pt idx="30">
                  <c:v>2.0253495541082609</c:v>
                </c:pt>
                <c:pt idx="31">
                  <c:v>2.0588286743204454</c:v>
                </c:pt>
                <c:pt idx="32">
                  <c:v>2.0917720248826428</c:v>
                </c:pt>
                <c:pt idx="33">
                  <c:v>2.1242045329862149</c:v>
                </c:pt>
                <c:pt idx="34">
                  <c:v>2.1561492508258175</c:v>
                </c:pt>
                <c:pt idx="35">
                  <c:v>2.1876275473019362</c:v>
                </c:pt>
                <c:pt idx="36">
                  <c:v>2.2186592752362486</c:v>
                </c:pt>
                <c:pt idx="37">
                  <c:v>2.2492629178176098</c:v>
                </c:pt>
                <c:pt idx="38">
                  <c:v>2.2794557173472221</c:v>
                </c:pt>
                <c:pt idx="39">
                  <c:v>2.3092537888297358</c:v>
                </c:pt>
                <c:pt idx="40">
                  <c:v>2.3386722205349857</c:v>
                </c:pt>
                <c:pt idx="41">
                  <c:v>2.3677251633117371</c:v>
                </c:pt>
                <c:pt idx="42">
                  <c:v>2.3964259101539405</c:v>
                </c:pt>
                <c:pt idx="43">
                  <c:v>2.4247869672890223</c:v>
                </c:pt>
                <c:pt idx="44">
                  <c:v>2.4528201178668287</c:v>
                </c:pt>
                <c:pt idx="45">
                  <c:v>2.4805364791693338</c:v>
                </c:pt>
                <c:pt idx="46">
                  <c:v>2.5079465541289645</c:v>
                </c:pt>
                <c:pt idx="47">
                  <c:v>2.5350602778326392</c:v>
                </c:pt>
                <c:pt idx="48">
                  <c:v>2.5618870595954162</c:v>
                </c:pt>
                <c:pt idx="49">
                  <c:v>2.5884358211089569</c:v>
                </c:pt>
                <c:pt idx="50">
                  <c:v>2.6147150311033038</c:v>
                </c:pt>
                <c:pt idx="51">
                  <c:v>2.640732736903737</c:v>
                </c:pt>
                <c:pt idx="52">
                  <c:v>2.6664965932160225</c:v>
                </c:pt>
                <c:pt idx="53">
                  <c:v>2.6920138884318936</c:v>
                </c:pt>
                <c:pt idx="54">
                  <c:v>2.717291568710976</c:v>
                </c:pt>
                <c:pt idx="55">
                  <c:v>2.7423362600646382</c:v>
                </c:pt>
                <c:pt idx="56">
                  <c:v>2.767154288640743</c:v>
                </c:pt>
                <c:pt idx="57">
                  <c:v>2.7917516993852458</c:v>
                </c:pt>
                <c:pt idx="58">
                  <c:v>2.8161342732366221</c:v>
                </c:pt>
                <c:pt idx="59">
                  <c:v>2.8403075429916931</c:v>
                </c:pt>
                <c:pt idx="60">
                  <c:v>2.8642768079662031</c:v>
                </c:pt>
                <c:pt idx="61">
                  <c:v>2.8880471475602008</c:v>
                </c:pt>
                <c:pt idx="62">
                  <c:v>2.9116234338265934</c:v>
                </c:pt>
                <c:pt idx="63">
                  <c:v>2.9350103431309593</c:v>
                </c:pt>
                <c:pt idx="64">
                  <c:v>2.9582123669816647</c:v>
                </c:pt>
                <c:pt idx="65">
                  <c:v>2.981233822101315</c:v>
                </c:pt>
                <c:pt idx="66">
                  <c:v>3.0040788598035117</c:v>
                </c:pt>
                <c:pt idx="67">
                  <c:v>3.0267514747325914</c:v>
                </c:pt>
                <c:pt idx="68">
                  <c:v>3.0492555130184598</c:v>
                </c:pt>
                <c:pt idx="69">
                  <c:v>3.0715946798936575</c:v>
                </c:pt>
                <c:pt idx="70">
                  <c:v>3.093772546815388</c:v>
                </c:pt>
                <c:pt idx="71">
                  <c:v>3.1157925581312567</c:v>
                </c:pt>
                <c:pt idx="72">
                  <c:v>3.1376580373239644</c:v>
                </c:pt>
                <c:pt idx="73">
                  <c:v>3.1593721928669978</c:v>
                </c:pt>
                <c:pt idx="74">
                  <c:v>3.1809381237205439</c:v>
                </c:pt>
                <c:pt idx="75">
                  <c:v>3.2023588244942705</c:v>
                </c:pt>
                <c:pt idx="76">
                  <c:v>3.2236371903013334</c:v>
                </c:pt>
                <c:pt idx="77">
                  <c:v>3.2447760213258832</c:v>
                </c:pt>
                <c:pt idx="78">
                  <c:v>3.2657780271244676</c:v>
                </c:pt>
                <c:pt idx="79">
                  <c:v>3.2866458306800461</c:v>
                </c:pt>
                <c:pt idx="80">
                  <c:v>3.3073819722257785</c:v>
                </c:pt>
                <c:pt idx="81">
                  <c:v>3.3279889128543734</c:v>
                </c:pt>
                <c:pt idx="82">
                  <c:v>3.3484690379275097</c:v>
                </c:pt>
                <c:pt idx="83">
                  <c:v>3.3688246602987122</c:v>
                </c:pt>
                <c:pt idx="84">
                  <c:v>3.3890580233619909</c:v>
                </c:pt>
                <c:pt idx="85">
                  <c:v>3.4091713039376352</c:v>
                </c:pt>
                <c:pt idx="86">
                  <c:v>3.4291666150056614</c:v>
                </c:pt>
                <c:pt idx="87">
                  <c:v>3.4490460082966332</c:v>
                </c:pt>
                <c:pt idx="88">
                  <c:v>3.4688114767488427</c:v>
                </c:pt>
                <c:pt idx="89">
                  <c:v>3.4884649568401915</c:v>
                </c:pt>
                <c:pt idx="90">
                  <c:v>3.5080083308024781</c:v>
                </c:pt>
                <c:pt idx="91">
                  <c:v>3.5274434287252774</c:v>
                </c:pt>
                <c:pt idx="92">
                  <c:v>3.5467720305560508</c:v>
                </c:pt>
                <c:pt idx="93">
                  <c:v>3.565995868002688</c:v>
                </c:pt>
                <c:pt idx="94">
                  <c:v>3.5851166263442247</c:v>
                </c:pt>
                <c:pt idx="95">
                  <c:v>3.6041359461551039</c:v>
                </c:pt>
                <c:pt idx="96">
                  <c:v>3.6230554249479674</c:v>
                </c:pt>
                <c:pt idx="97">
                  <c:v>3.6418766187396363</c:v>
                </c:pt>
                <c:pt idx="98">
                  <c:v>3.7528279819044466</c:v>
                </c:pt>
                <c:pt idx="99">
                  <c:v>3.7911221449851045</c:v>
                </c:pt>
                <c:pt idx="100">
                  <c:v>3.8294163080657619</c:v>
                </c:pt>
              </c:numCache>
            </c:numRef>
          </c:val>
          <c:smooth val="0"/>
          <c:extLst>
            <c:ext xmlns:c16="http://schemas.microsoft.com/office/drawing/2014/chart" uri="{C3380CC4-5D6E-409C-BE32-E72D297353CC}">
              <c16:uniqueId val="{00000001-62C6-4995-8F87-7A4DA41FA5D8}"/>
            </c:ext>
          </c:extLst>
        </c:ser>
        <c:ser>
          <c:idx val="2"/>
          <c:order val="2"/>
          <c:tx>
            <c:v>VIN-max</c:v>
          </c:tx>
          <c:spPr>
            <a:ln>
              <a:solidFill>
                <a:srgbClr val="FF0000"/>
              </a:solidFill>
              <a:prstDash val="solid"/>
            </a:ln>
          </c:spPr>
          <c:marker>
            <c:symbol val="none"/>
          </c:marker>
          <c:val>
            <c:numRef>
              <c:f>'Calculations - Dual'!$AI$218:$AI$318</c:f>
              <c:numCache>
                <c:formatCode>0.000</c:formatCode>
                <c:ptCount val="101"/>
                <c:pt idx="0">
                  <c:v>0.82</c:v>
                </c:pt>
                <c:pt idx="1">
                  <c:v>0.82</c:v>
                </c:pt>
                <c:pt idx="2">
                  <c:v>0.82</c:v>
                </c:pt>
                <c:pt idx="3">
                  <c:v>0.82</c:v>
                </c:pt>
                <c:pt idx="4">
                  <c:v>0.82</c:v>
                </c:pt>
                <c:pt idx="5">
                  <c:v>0.82684549305644461</c:v>
                </c:pt>
                <c:pt idx="6">
                  <c:v>0.90576385623699185</c:v>
                </c:pt>
                <c:pt idx="7">
                  <c:v>0.97833678104365329</c:v>
                </c:pt>
                <c:pt idx="8">
                  <c:v>1.0458860124413214</c:v>
                </c:pt>
                <c:pt idx="9">
                  <c:v>1.1093296376181243</c:v>
                </c:pt>
                <c:pt idx="10">
                  <c:v>1.1693361102674928</c:v>
                </c:pt>
                <c:pt idx="11">
                  <c:v>1.2264100589334144</c:v>
                </c:pt>
                <c:pt idx="12">
                  <c:v>1.2809435297977081</c:v>
                </c:pt>
                <c:pt idx="13">
                  <c:v>1.3332482966080113</c:v>
                </c:pt>
                <c:pt idx="14">
                  <c:v>1.3835771443203715</c:v>
                </c:pt>
                <c:pt idx="15">
                  <c:v>1.4321384039831015</c:v>
                </c:pt>
                <c:pt idx="16">
                  <c:v>1.4791061834908323</c:v>
                </c:pt>
                <c:pt idx="17">
                  <c:v>1.5246277565092299</c:v>
                </c:pt>
                <c:pt idx="18">
                  <c:v>1.5688290186619822</c:v>
                </c:pt>
                <c:pt idx="19">
                  <c:v>1.6118185951506667</c:v>
                </c:pt>
                <c:pt idx="20">
                  <c:v>1.6536909861128892</c:v>
                </c:pt>
                <c:pt idx="21">
                  <c:v>1.6945290116809955</c:v>
                </c:pt>
                <c:pt idx="22">
                  <c:v>1.7344057383744214</c:v>
                </c:pt>
                <c:pt idx="23">
                  <c:v>1.7733860152780254</c:v>
                </c:pt>
                <c:pt idx="24">
                  <c:v>1.8115277124739837</c:v>
                </c:pt>
                <c:pt idx="25">
                  <c:v>1.8488827293635406</c:v>
                </c:pt>
                <c:pt idx="26">
                  <c:v>1.8854978230738764</c:v>
                </c:pt>
                <c:pt idx="27">
                  <c:v>1.9214152946965626</c:v>
                </c:pt>
                <c:pt idx="28">
                  <c:v>1.9566735620873066</c:v>
                </c:pt>
                <c:pt idx="29">
                  <c:v>1.9913076413374653</c:v>
                </c:pt>
                <c:pt idx="30">
                  <c:v>2.0253495541082609</c:v>
                </c:pt>
                <c:pt idx="31">
                  <c:v>2.0588286743204454</c:v>
                </c:pt>
                <c:pt idx="32">
                  <c:v>2.0917720248826428</c:v>
                </c:pt>
                <c:pt idx="33">
                  <c:v>2.1242045329862149</c:v>
                </c:pt>
                <c:pt idx="34">
                  <c:v>2.1561492508258175</c:v>
                </c:pt>
                <c:pt idx="35">
                  <c:v>2.1876275473019362</c:v>
                </c:pt>
                <c:pt idx="36">
                  <c:v>2.2186592752362486</c:v>
                </c:pt>
                <c:pt idx="37">
                  <c:v>2.2492629178176098</c:v>
                </c:pt>
                <c:pt idx="38">
                  <c:v>2.2794557173472221</c:v>
                </c:pt>
                <c:pt idx="39">
                  <c:v>2.3092537888297358</c:v>
                </c:pt>
                <c:pt idx="40">
                  <c:v>2.3386722205349857</c:v>
                </c:pt>
                <c:pt idx="41">
                  <c:v>2.3677251633117371</c:v>
                </c:pt>
                <c:pt idx="42">
                  <c:v>2.3964259101539405</c:v>
                </c:pt>
                <c:pt idx="43">
                  <c:v>2.4247869672890223</c:v>
                </c:pt>
                <c:pt idx="44">
                  <c:v>2.4528201178668287</c:v>
                </c:pt>
                <c:pt idx="45">
                  <c:v>2.4805364791693338</c:v>
                </c:pt>
                <c:pt idx="46">
                  <c:v>2.5079465541289645</c:v>
                </c:pt>
                <c:pt idx="47">
                  <c:v>2.5350602778326392</c:v>
                </c:pt>
                <c:pt idx="48">
                  <c:v>2.5618870595954162</c:v>
                </c:pt>
                <c:pt idx="49">
                  <c:v>2.5884358211089569</c:v>
                </c:pt>
                <c:pt idx="50">
                  <c:v>2.6147150311033038</c:v>
                </c:pt>
                <c:pt idx="51">
                  <c:v>2.640732736903737</c:v>
                </c:pt>
                <c:pt idx="52">
                  <c:v>2.6664965932160225</c:v>
                </c:pt>
                <c:pt idx="53">
                  <c:v>2.6920138884318936</c:v>
                </c:pt>
                <c:pt idx="54">
                  <c:v>2.717291568710976</c:v>
                </c:pt>
                <c:pt idx="55">
                  <c:v>2.7423362600646382</c:v>
                </c:pt>
                <c:pt idx="56">
                  <c:v>2.767154288640743</c:v>
                </c:pt>
                <c:pt idx="57">
                  <c:v>2.7917516993852458</c:v>
                </c:pt>
                <c:pt idx="58">
                  <c:v>2.8161342732366221</c:v>
                </c:pt>
                <c:pt idx="59">
                  <c:v>2.8403075429916931</c:v>
                </c:pt>
                <c:pt idx="60">
                  <c:v>2.8642768079662031</c:v>
                </c:pt>
                <c:pt idx="61">
                  <c:v>2.8880471475602008</c:v>
                </c:pt>
                <c:pt idx="62">
                  <c:v>2.9116234338265934</c:v>
                </c:pt>
                <c:pt idx="63">
                  <c:v>2.9350103431309593</c:v>
                </c:pt>
                <c:pt idx="64">
                  <c:v>2.9582123669816647</c:v>
                </c:pt>
                <c:pt idx="65">
                  <c:v>2.981233822101315</c:v>
                </c:pt>
                <c:pt idx="66">
                  <c:v>3.0040788598035117</c:v>
                </c:pt>
                <c:pt idx="67">
                  <c:v>3.0267514747325914</c:v>
                </c:pt>
                <c:pt idx="68">
                  <c:v>3.0492555130184598</c:v>
                </c:pt>
                <c:pt idx="69">
                  <c:v>3.0715946798936575</c:v>
                </c:pt>
                <c:pt idx="70">
                  <c:v>3.093772546815388</c:v>
                </c:pt>
                <c:pt idx="71">
                  <c:v>3.1157925581312567</c:v>
                </c:pt>
                <c:pt idx="72">
                  <c:v>3.1376580373239644</c:v>
                </c:pt>
                <c:pt idx="73">
                  <c:v>3.1593721928669978</c:v>
                </c:pt>
                <c:pt idx="74">
                  <c:v>3.1809381237205439</c:v>
                </c:pt>
                <c:pt idx="75">
                  <c:v>3.2023588244942705</c:v>
                </c:pt>
                <c:pt idx="76">
                  <c:v>3.2236371903013334</c:v>
                </c:pt>
                <c:pt idx="77">
                  <c:v>3.2447760213258832</c:v>
                </c:pt>
                <c:pt idx="78">
                  <c:v>3.2657780271244676</c:v>
                </c:pt>
                <c:pt idx="79">
                  <c:v>3.2866458306800461</c:v>
                </c:pt>
                <c:pt idx="80">
                  <c:v>3.3073819722257785</c:v>
                </c:pt>
                <c:pt idx="81">
                  <c:v>3.3279889128543734</c:v>
                </c:pt>
                <c:pt idx="82">
                  <c:v>3.3484690379275097</c:v>
                </c:pt>
                <c:pt idx="83">
                  <c:v>3.3688246602987122</c:v>
                </c:pt>
                <c:pt idx="84">
                  <c:v>3.3890580233619909</c:v>
                </c:pt>
                <c:pt idx="85">
                  <c:v>3.4091713039376352</c:v>
                </c:pt>
                <c:pt idx="86">
                  <c:v>3.4291666150056614</c:v>
                </c:pt>
                <c:pt idx="87">
                  <c:v>3.4490460082966332</c:v>
                </c:pt>
                <c:pt idx="88">
                  <c:v>3.4688114767488427</c:v>
                </c:pt>
                <c:pt idx="89">
                  <c:v>3.4884649568401915</c:v>
                </c:pt>
                <c:pt idx="90">
                  <c:v>3.5080083308024781</c:v>
                </c:pt>
                <c:pt idx="91">
                  <c:v>3.5274434287252774</c:v>
                </c:pt>
                <c:pt idx="92">
                  <c:v>3.5467720305560508</c:v>
                </c:pt>
                <c:pt idx="93">
                  <c:v>3.565995868002688</c:v>
                </c:pt>
                <c:pt idx="94">
                  <c:v>3.5851166263442247</c:v>
                </c:pt>
                <c:pt idx="95">
                  <c:v>3.6041359461551039</c:v>
                </c:pt>
                <c:pt idx="96">
                  <c:v>3.6230554249479674</c:v>
                </c:pt>
                <c:pt idx="97">
                  <c:v>3.6418766187396363</c:v>
                </c:pt>
                <c:pt idx="98">
                  <c:v>3.660601043544625</c:v>
                </c:pt>
                <c:pt idx="99">
                  <c:v>3.6792301768002433</c:v>
                </c:pt>
                <c:pt idx="100">
                  <c:v>3.6977654587270812</c:v>
                </c:pt>
              </c:numCache>
            </c:numRef>
          </c:val>
          <c:smooth val="0"/>
          <c:extLst>
            <c:ext xmlns:c16="http://schemas.microsoft.com/office/drawing/2014/chart" uri="{C3380CC4-5D6E-409C-BE32-E72D297353CC}">
              <c16:uniqueId val="{00000002-62C6-4995-8F87-7A4DA41FA5D8}"/>
            </c:ext>
          </c:extLst>
        </c:ser>
        <c:dLbls>
          <c:showLegendKey val="0"/>
          <c:showVal val="0"/>
          <c:showCatName val="0"/>
          <c:showSerName val="0"/>
          <c:showPercent val="0"/>
          <c:showBubbleSize val="0"/>
        </c:dLbls>
        <c:smooth val="0"/>
        <c:axId val="141426048"/>
        <c:axId val="141432320"/>
      </c:lineChart>
      <c:catAx>
        <c:axId val="141426048"/>
        <c:scaling>
          <c:orientation val="minMax"/>
        </c:scaling>
        <c:delete val="0"/>
        <c:axPos val="b"/>
        <c:majorGridlines>
          <c:spPr>
            <a:ln w="15875">
              <a:solidFill>
                <a:srgbClr val="969696"/>
              </a:solidFill>
              <a:prstDash val="sysDash"/>
            </a:ln>
          </c:spPr>
        </c:majorGridlines>
        <c:title>
          <c:tx>
            <c:rich>
              <a:bodyPr/>
              <a:lstStyle/>
              <a:p>
                <a:pPr>
                  <a:defRPr sz="1200" b="1" i="0" u="none" strike="noStrike" baseline="0">
                    <a:solidFill>
                      <a:schemeClr val="tx1"/>
                    </a:solidFill>
                    <a:latin typeface="Arial" pitchFamily="34" charset="0"/>
                    <a:ea typeface="Calibri"/>
                    <a:cs typeface="Arial" pitchFamily="34" charset="0"/>
                  </a:defRPr>
                </a:pPr>
                <a:r>
                  <a:rPr lang="en-US" sz="1200">
                    <a:solidFill>
                      <a:schemeClr val="tx1"/>
                    </a:solidFill>
                    <a:latin typeface="Arial" pitchFamily="34" charset="0"/>
                    <a:cs typeface="Arial" pitchFamily="34" charset="0"/>
                  </a:rPr>
                  <a:t>Load Current (mA)</a:t>
                </a:r>
              </a:p>
            </c:rich>
          </c:tx>
          <c:layout>
            <c:manualLayout>
              <c:xMode val="edge"/>
              <c:yMode val="edge"/>
              <c:x val="0.45424135936496307"/>
              <c:y val="0.9410669161053864"/>
            </c:manualLayout>
          </c:layout>
          <c:overlay val="0"/>
          <c:spPr>
            <a:noFill/>
            <a:ln w="25400">
              <a:noFill/>
            </a:ln>
          </c:spPr>
        </c:title>
        <c:numFmt formatCode="0" sourceLinked="1"/>
        <c:majorTickMark val="in"/>
        <c:minorTickMark val="in"/>
        <c:tickLblPos val="nextTo"/>
        <c:spPr>
          <a:ln w="3175">
            <a:solidFill>
              <a:schemeClr val="tx1"/>
            </a:solidFill>
            <a:prstDash val="solid"/>
          </a:ln>
        </c:spPr>
        <c:txPr>
          <a:bodyPr rot="0" vert="horz"/>
          <a:lstStyle/>
          <a:p>
            <a:pPr>
              <a:defRPr sz="1100" b="1" i="0" u="none" strike="noStrike" baseline="0">
                <a:solidFill>
                  <a:schemeClr val="tx1"/>
                </a:solidFill>
                <a:latin typeface="Arial" pitchFamily="34" charset="0"/>
                <a:ea typeface="Calibri"/>
                <a:cs typeface="Arial" pitchFamily="34" charset="0"/>
              </a:defRPr>
            </a:pPr>
            <a:endParaRPr lang="en-US"/>
          </a:p>
        </c:txPr>
        <c:crossAx val="141432320"/>
        <c:crosses val="autoZero"/>
        <c:auto val="1"/>
        <c:lblAlgn val="ctr"/>
        <c:lblOffset val="100"/>
        <c:tickLblSkip val="20"/>
        <c:tickMarkSkip val="10"/>
        <c:noMultiLvlLbl val="0"/>
      </c:catAx>
      <c:valAx>
        <c:axId val="141432320"/>
        <c:scaling>
          <c:orientation val="minMax"/>
          <c:max val="1.4"/>
          <c:min val="0"/>
        </c:scaling>
        <c:delete val="0"/>
        <c:axPos val="l"/>
        <c:majorGridlines>
          <c:spPr>
            <a:ln w="15875">
              <a:solidFill>
                <a:srgbClr val="808080"/>
              </a:solidFill>
              <a:prstDash val="solid"/>
            </a:ln>
          </c:spPr>
        </c:majorGridlines>
        <c:title>
          <c:tx>
            <c:rich>
              <a:bodyPr/>
              <a:lstStyle/>
              <a:p>
                <a:pPr>
                  <a:defRPr sz="1400" b="1" i="0" u="none" strike="noStrike" baseline="0">
                    <a:solidFill>
                      <a:schemeClr val="tx1"/>
                    </a:solidFill>
                    <a:latin typeface="Arial" pitchFamily="34" charset="0"/>
                    <a:ea typeface="Calibri"/>
                    <a:cs typeface="Arial" pitchFamily="34" charset="0"/>
                  </a:defRPr>
                </a:pPr>
                <a:r>
                  <a:rPr lang="en-US" sz="1200" b="1">
                    <a:solidFill>
                      <a:schemeClr val="tx1"/>
                    </a:solidFill>
                    <a:latin typeface="Arial" pitchFamily="34" charset="0"/>
                    <a:cs typeface="Arial" pitchFamily="34" charset="0"/>
                  </a:rPr>
                  <a:t>Peak</a:t>
                </a:r>
                <a:r>
                  <a:rPr lang="en-US" sz="1200" b="1" baseline="0">
                    <a:solidFill>
                      <a:schemeClr val="tx1"/>
                    </a:solidFill>
                    <a:latin typeface="Arial" pitchFamily="34" charset="0"/>
                    <a:cs typeface="Arial" pitchFamily="34" charset="0"/>
                  </a:rPr>
                  <a:t> Primary Current (A)</a:t>
                </a:r>
                <a:endParaRPr lang="en-US" sz="1200" b="1">
                  <a:solidFill>
                    <a:schemeClr val="tx1"/>
                  </a:solidFill>
                  <a:latin typeface="Arial" pitchFamily="34" charset="0"/>
                  <a:cs typeface="Arial" pitchFamily="34" charset="0"/>
                </a:endParaRPr>
              </a:p>
            </c:rich>
          </c:tx>
          <c:layout>
            <c:manualLayout>
              <c:xMode val="edge"/>
              <c:yMode val="edge"/>
              <c:x val="1.8892754684734177E-2"/>
              <c:y val="0.30303578260037478"/>
            </c:manualLayout>
          </c:layout>
          <c:overlay val="0"/>
          <c:spPr>
            <a:noFill/>
            <a:ln w="25400">
              <a:noFill/>
            </a:ln>
          </c:spPr>
        </c:title>
        <c:numFmt formatCode="#,##0.0" sourceLinked="0"/>
        <c:majorTickMark val="out"/>
        <c:minorTickMark val="in"/>
        <c:tickLblPos val="nextTo"/>
        <c:spPr>
          <a:ln w="3175">
            <a:solidFill>
              <a:srgbClr val="000000"/>
            </a:solidFill>
            <a:prstDash val="solid"/>
          </a:ln>
        </c:spPr>
        <c:txPr>
          <a:bodyPr rot="0" vert="horz"/>
          <a:lstStyle/>
          <a:p>
            <a:pPr>
              <a:defRPr sz="1100" b="1" i="0" u="none" strike="noStrike" baseline="0">
                <a:solidFill>
                  <a:schemeClr val="tx1"/>
                </a:solidFill>
                <a:latin typeface="Arial" pitchFamily="34" charset="0"/>
                <a:ea typeface="Calibri"/>
                <a:cs typeface="Arial" pitchFamily="34" charset="0"/>
              </a:defRPr>
            </a:pPr>
            <a:endParaRPr lang="en-US"/>
          </a:p>
        </c:txPr>
        <c:crossAx val="141426048"/>
        <c:crossesAt val="0"/>
        <c:crossBetween val="between"/>
      </c:valAx>
      <c:spPr>
        <a:solidFill>
          <a:srgbClr val="FFFFFF"/>
        </a:solidFill>
        <a:ln w="25400">
          <a:noFill/>
        </a:ln>
      </c:spPr>
    </c:plotArea>
    <c:legend>
      <c:legendPos val="t"/>
      <c:layout>
        <c:manualLayout>
          <c:xMode val="edge"/>
          <c:yMode val="edge"/>
          <c:x val="0.50279342989103104"/>
          <c:y val="1.6951025877806759E-2"/>
          <c:w val="0.44417947756530435"/>
          <c:h val="8.9795049320617604E-2"/>
        </c:manualLayout>
      </c:layout>
      <c:overlay val="0"/>
      <c:spPr>
        <a:solidFill>
          <a:srgbClr val="FFFFFF"/>
        </a:solidFill>
        <a:ln w="25400">
          <a:noFill/>
        </a:ln>
      </c:spPr>
      <c:txPr>
        <a:bodyPr/>
        <a:lstStyle/>
        <a:p>
          <a:pPr>
            <a:defRPr sz="1400" b="0" i="0" u="none" strike="noStrike" baseline="0">
              <a:solidFill>
                <a:srgbClr val="000000"/>
              </a:solidFill>
              <a:latin typeface="Arial" pitchFamily="34" charset="0"/>
              <a:ea typeface="Calibri"/>
              <a:cs typeface="Arial" pitchFamily="34" charset="0"/>
            </a:defRPr>
          </a:pPr>
          <a:endParaRPr lang="en-US"/>
        </a:p>
      </c:txPr>
    </c:legend>
    <c:plotVisOnly val="1"/>
    <c:dispBlanksAs val="gap"/>
    <c:showDLblsOverMax val="0"/>
  </c:chart>
  <c:spPr>
    <a:solidFill>
      <a:srgbClr val="FFFFFF"/>
    </a:solidFill>
    <a:ln w="9525">
      <a:solidFill>
        <a:srgbClr val="808080"/>
      </a:solidFill>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0000000000006" r="0.750000000000006" t="1" header="0.5" footer="0.5"/>
    <c:pageSetup paperSize="5"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280746883383756E-2"/>
          <c:y val="0.12133523343001466"/>
          <c:w val="0.86047278973849184"/>
          <c:h val="0.7558980268938309"/>
        </c:manualLayout>
      </c:layout>
      <c:lineChart>
        <c:grouping val="standard"/>
        <c:varyColors val="0"/>
        <c:ser>
          <c:idx val="1"/>
          <c:order val="0"/>
          <c:tx>
            <c:v>VIN-min</c:v>
          </c:tx>
          <c:spPr>
            <a:ln>
              <a:solidFill>
                <a:srgbClr val="00B050"/>
              </a:solidFill>
              <a:prstDash val="sysDash"/>
            </a:ln>
          </c:spPr>
          <c:marker>
            <c:symbol val="none"/>
          </c:marker>
          <c:val>
            <c:numRef>
              <c:f>'Calculations - Dual'!$AJ$110:$AJ$210</c:f>
              <c:numCache>
                <c:formatCode>0.000</c:formatCode>
                <c:ptCount val="101"/>
                <c:pt idx="0">
                  <c:v>1.0057142857142858</c:v>
                </c:pt>
                <c:pt idx="1">
                  <c:v>1.0431108790928627</c:v>
                </c:pt>
                <c:pt idx="2">
                  <c:v>1.0862217581857252</c:v>
                </c:pt>
                <c:pt idx="3">
                  <c:v>1.1293326372785879</c:v>
                </c:pt>
                <c:pt idx="4">
                  <c:v>1.1724435163714504</c:v>
                </c:pt>
                <c:pt idx="5">
                  <c:v>1.2050707355973664</c:v>
                </c:pt>
                <c:pt idx="6">
                  <c:v>1.2635287823977717</c:v>
                </c:pt>
                <c:pt idx="7">
                  <c:v>1.3172865044767801</c:v>
                </c:pt>
                <c:pt idx="8">
                  <c:v>1.3673229721787565</c:v>
                </c:pt>
                <c:pt idx="9">
                  <c:v>1.4143182500874996</c:v>
                </c:pt>
                <c:pt idx="10">
                  <c:v>1.4587674890870317</c:v>
                </c:pt>
                <c:pt idx="11">
                  <c:v>1.5010444880988254</c:v>
                </c:pt>
                <c:pt idx="12">
                  <c:v>1.5414396517020059</c:v>
                </c:pt>
                <c:pt idx="13">
                  <c:v>1.5801839234133417</c:v>
                </c:pt>
                <c:pt idx="14">
                  <c:v>1.6174645513484234</c:v>
                </c:pt>
                <c:pt idx="15">
                  <c:v>1.6534358548022974</c:v>
                </c:pt>
                <c:pt idx="16">
                  <c:v>1.6882268025858018</c:v>
                </c:pt>
                <c:pt idx="17">
                  <c:v>1.7219464863031333</c:v>
                </c:pt>
                <c:pt idx="18">
                  <c:v>1.7546881619718386</c:v>
                </c:pt>
                <c:pt idx="19">
                  <c:v>1.7865322927041976</c:v>
                </c:pt>
                <c:pt idx="20">
                  <c:v>1.8175488786021401</c:v>
                </c:pt>
                <c:pt idx="21">
                  <c:v>1.8477992679118485</c:v>
                </c:pt>
                <c:pt idx="22">
                  <c:v>1.8773375839810529</c:v>
                </c:pt>
                <c:pt idx="23">
                  <c:v>1.9062118631689078</c:v>
                </c:pt>
                <c:pt idx="24">
                  <c:v>1.9344649722029508</c:v>
                </c:pt>
                <c:pt idx="25">
                  <c:v>1.9621353550841041</c:v>
                </c:pt>
                <c:pt idx="26">
                  <c:v>1.9892576467213898</c:v>
                </c:pt>
                <c:pt idx="27">
                  <c:v>2.0158631812567132</c:v>
                </c:pt>
                <c:pt idx="28">
                  <c:v>2.0419804163609676</c:v>
                </c:pt>
                <c:pt idx="29">
                  <c:v>2.067635289879604</c:v>
                </c:pt>
                <c:pt idx="30">
                  <c:v>2.0928515215616748</c:v>
                </c:pt>
                <c:pt idx="31">
                  <c:v>2.1176508698669965</c:v>
                </c:pt>
                <c:pt idx="32">
                  <c:v>2.1420533517649205</c:v>
                </c:pt>
                <c:pt idx="33">
                  <c:v>2.1660774318416407</c:v>
                </c:pt>
                <c:pt idx="34">
                  <c:v>2.1897401857969019</c:v>
                </c:pt>
                <c:pt idx="35">
                  <c:v>2.2130574424458787</c:v>
                </c:pt>
                <c:pt idx="36">
                  <c:v>2.2360439075824066</c:v>
                </c:pt>
                <c:pt idx="37">
                  <c:v>2.2587132724574888</c:v>
                </c:pt>
                <c:pt idx="38">
                  <c:v>2.2810783091460904</c:v>
                </c:pt>
                <c:pt idx="39">
                  <c:v>2.303150954688693</c:v>
                </c:pt>
                <c:pt idx="40">
                  <c:v>2.3249423855814708</c:v>
                </c:pt>
                <c:pt idx="41">
                  <c:v>2.3464630839346201</c:v>
                </c:pt>
                <c:pt idx="42">
                  <c:v>2.3677228964103261</c:v>
                </c:pt>
                <c:pt idx="43">
                  <c:v>2.3887310868807572</c:v>
                </c:pt>
                <c:pt idx="44">
                  <c:v>2.4094963836050587</c:v>
                </c:pt>
                <c:pt idx="45">
                  <c:v>2.4300270216069144</c:v>
                </c:pt>
                <c:pt idx="46">
                  <c:v>2.4503307808362704</c:v>
                </c:pt>
                <c:pt idx="47">
                  <c:v>2.4704150206167697</c:v>
                </c:pt>
                <c:pt idx="48">
                  <c:v>2.4902867108114197</c:v>
                </c:pt>
                <c:pt idx="49">
                  <c:v>2.5099524600807088</c:v>
                </c:pt>
                <c:pt idx="50">
                  <c:v>2.5294185415580026</c:v>
                </c:pt>
                <c:pt idx="51">
                  <c:v>2.5486909162249907</c:v>
                </c:pt>
                <c:pt idx="52">
                  <c:v>2.5677752542340908</c:v>
                </c:pt>
                <c:pt idx="53">
                  <c:v>2.5866769543939956</c:v>
                </c:pt>
                <c:pt idx="54">
                  <c:v>2.6054011620081305</c:v>
                </c:pt>
                <c:pt idx="55">
                  <c:v>2.6239527852330653</c:v>
                </c:pt>
                <c:pt idx="56">
                  <c:v>2.6423365101042542</c:v>
                </c:pt>
                <c:pt idx="57">
                  <c:v>2.6605568143594418</c:v>
                </c:pt>
                <c:pt idx="58">
                  <c:v>2.6786179801752761</c:v>
                </c:pt>
                <c:pt idx="59">
                  <c:v>2.6965241059197727</c:v>
                </c:pt>
                <c:pt idx="60">
                  <c:v>2.7142791170120022</c:v>
                </c:pt>
                <c:pt idx="61">
                  <c:v>2.7318867759705192</c:v>
                </c:pt>
                <c:pt idx="62">
                  <c:v>2.7493506917234027</c:v>
                </c:pt>
                <c:pt idx="63">
                  <c:v>2.7666743282451551</c:v>
                </c:pt>
                <c:pt idx="64">
                  <c:v>2.7838610125790106</c:v>
                </c:pt>
                <c:pt idx="65">
                  <c:v>2.8009139422972709</c:v>
                </c:pt>
                <c:pt idx="66">
                  <c:v>2.8178361924470456</c:v>
                </c:pt>
                <c:pt idx="67">
                  <c:v>2.8346307220241416</c:v>
                </c:pt>
                <c:pt idx="68">
                  <c:v>2.851300380013674</c:v>
                </c:pt>
                <c:pt idx="69">
                  <c:v>2.8678479110323392</c:v>
                </c:pt>
                <c:pt idx="70">
                  <c:v>2.8842759606039916</c:v>
                </c:pt>
                <c:pt idx="71">
                  <c:v>2.9005870800972273</c:v>
                </c:pt>
                <c:pt idx="72">
                  <c:v>2.9167837313510852</c:v>
                </c:pt>
                <c:pt idx="73">
                  <c:v>2.9328682910125909</c:v>
                </c:pt>
                <c:pt idx="74">
                  <c:v>3.0138372953114212</c:v>
                </c:pt>
                <c:pt idx="75">
                  <c:v>3.0465568183211351</c:v>
                </c:pt>
                <c:pt idx="76">
                  <c:v>3.079276341330849</c:v>
                </c:pt>
                <c:pt idx="77">
                  <c:v>3.111995864340563</c:v>
                </c:pt>
                <c:pt idx="78">
                  <c:v>3.1447153873502769</c:v>
                </c:pt>
                <c:pt idx="79">
                  <c:v>3.1774349103599908</c:v>
                </c:pt>
                <c:pt idx="80">
                  <c:v>3.2101544333697047</c:v>
                </c:pt>
                <c:pt idx="81">
                  <c:v>3.2428739563794187</c:v>
                </c:pt>
                <c:pt idx="82">
                  <c:v>3.2755934793891317</c:v>
                </c:pt>
                <c:pt idx="83">
                  <c:v>3.3083130023988465</c:v>
                </c:pt>
                <c:pt idx="84">
                  <c:v>3.3410325254085596</c:v>
                </c:pt>
                <c:pt idx="85">
                  <c:v>3.3737520484182744</c:v>
                </c:pt>
                <c:pt idx="86">
                  <c:v>3.4064715714279883</c:v>
                </c:pt>
                <c:pt idx="87">
                  <c:v>3.4391910944377022</c:v>
                </c:pt>
                <c:pt idx="88">
                  <c:v>3.4719106174474152</c:v>
                </c:pt>
                <c:pt idx="89">
                  <c:v>3.5046301404571292</c:v>
                </c:pt>
                <c:pt idx="90">
                  <c:v>3.5373496634668431</c:v>
                </c:pt>
                <c:pt idx="91">
                  <c:v>3.5700691864765579</c:v>
                </c:pt>
                <c:pt idx="92">
                  <c:v>3.6027887094862718</c:v>
                </c:pt>
                <c:pt idx="93">
                  <c:v>3.6296296296296298</c:v>
                </c:pt>
                <c:pt idx="94">
                  <c:v>3.6296296296296298</c:v>
                </c:pt>
                <c:pt idx="95">
                  <c:v>3.6296296296296298</c:v>
                </c:pt>
                <c:pt idx="96">
                  <c:v>3.6296296296296298</c:v>
                </c:pt>
                <c:pt idx="97">
                  <c:v>3.6296296296296298</c:v>
                </c:pt>
                <c:pt idx="98">
                  <c:v>3.6296296296296298</c:v>
                </c:pt>
                <c:pt idx="99">
                  <c:v>3.6296296296296298</c:v>
                </c:pt>
                <c:pt idx="100">
                  <c:v>3.6296296296296298</c:v>
                </c:pt>
              </c:numCache>
            </c:numRef>
          </c:val>
          <c:smooth val="0"/>
          <c:extLst>
            <c:ext xmlns:c16="http://schemas.microsoft.com/office/drawing/2014/chart" uri="{C3380CC4-5D6E-409C-BE32-E72D297353CC}">
              <c16:uniqueId val="{00000000-3BA6-4204-887B-652DBE574912}"/>
            </c:ext>
          </c:extLst>
        </c:ser>
        <c:ser>
          <c:idx val="0"/>
          <c:order val="1"/>
          <c:tx>
            <c:v>VIN-nom</c:v>
          </c:tx>
          <c:spPr>
            <a:ln w="28575">
              <a:solidFill>
                <a:srgbClr val="0000FF"/>
              </a:solidFill>
              <a:prstDash val="lgDash"/>
            </a:ln>
          </c:spPr>
          <c:marker>
            <c:symbol val="none"/>
          </c:marker>
          <c:cat>
            <c:numRef>
              <c:f>'Calculations - Dual'!$AL$5:$AL$105</c:f>
              <c:numCache>
                <c:formatCode>0</c:formatCode>
                <c:ptCount val="101"/>
                <c:pt idx="0">
                  <c:v>1.0000000000000002E-6</c:v>
                </c:pt>
                <c:pt idx="1">
                  <c:v>10</c:v>
                </c:pt>
                <c:pt idx="2">
                  <c:v>20</c:v>
                </c:pt>
                <c:pt idx="3">
                  <c:v>30</c:v>
                </c:pt>
                <c:pt idx="4">
                  <c:v>40</c:v>
                </c:pt>
                <c:pt idx="5">
                  <c:v>50</c:v>
                </c:pt>
                <c:pt idx="6">
                  <c:v>60</c:v>
                </c:pt>
                <c:pt idx="7">
                  <c:v>70</c:v>
                </c:pt>
                <c:pt idx="8">
                  <c:v>80</c:v>
                </c:pt>
                <c:pt idx="9">
                  <c:v>90</c:v>
                </c:pt>
                <c:pt idx="10">
                  <c:v>100</c:v>
                </c:pt>
                <c:pt idx="11">
                  <c:v>110</c:v>
                </c:pt>
                <c:pt idx="12">
                  <c:v>120</c:v>
                </c:pt>
                <c:pt idx="13">
                  <c:v>130</c:v>
                </c:pt>
                <c:pt idx="14">
                  <c:v>140</c:v>
                </c:pt>
                <c:pt idx="15">
                  <c:v>150</c:v>
                </c:pt>
                <c:pt idx="16">
                  <c:v>160</c:v>
                </c:pt>
                <c:pt idx="17">
                  <c:v>170</c:v>
                </c:pt>
                <c:pt idx="18">
                  <c:v>180</c:v>
                </c:pt>
                <c:pt idx="19">
                  <c:v>190</c:v>
                </c:pt>
                <c:pt idx="20">
                  <c:v>200</c:v>
                </c:pt>
                <c:pt idx="21">
                  <c:v>210</c:v>
                </c:pt>
                <c:pt idx="22">
                  <c:v>220</c:v>
                </c:pt>
                <c:pt idx="23">
                  <c:v>230</c:v>
                </c:pt>
                <c:pt idx="24">
                  <c:v>240</c:v>
                </c:pt>
                <c:pt idx="25">
                  <c:v>250</c:v>
                </c:pt>
                <c:pt idx="26">
                  <c:v>260</c:v>
                </c:pt>
                <c:pt idx="27">
                  <c:v>270</c:v>
                </c:pt>
                <c:pt idx="28">
                  <c:v>280</c:v>
                </c:pt>
                <c:pt idx="29">
                  <c:v>290</c:v>
                </c:pt>
                <c:pt idx="30">
                  <c:v>300</c:v>
                </c:pt>
                <c:pt idx="31">
                  <c:v>310</c:v>
                </c:pt>
                <c:pt idx="32">
                  <c:v>320</c:v>
                </c:pt>
                <c:pt idx="33">
                  <c:v>330</c:v>
                </c:pt>
                <c:pt idx="34">
                  <c:v>340</c:v>
                </c:pt>
                <c:pt idx="35">
                  <c:v>350</c:v>
                </c:pt>
                <c:pt idx="36">
                  <c:v>360</c:v>
                </c:pt>
                <c:pt idx="37">
                  <c:v>370</c:v>
                </c:pt>
                <c:pt idx="38">
                  <c:v>380</c:v>
                </c:pt>
                <c:pt idx="39">
                  <c:v>390</c:v>
                </c:pt>
                <c:pt idx="40">
                  <c:v>400</c:v>
                </c:pt>
                <c:pt idx="41">
                  <c:v>410</c:v>
                </c:pt>
                <c:pt idx="42">
                  <c:v>420</c:v>
                </c:pt>
                <c:pt idx="43">
                  <c:v>430</c:v>
                </c:pt>
                <c:pt idx="44">
                  <c:v>440</c:v>
                </c:pt>
                <c:pt idx="45">
                  <c:v>450</c:v>
                </c:pt>
                <c:pt idx="46">
                  <c:v>460</c:v>
                </c:pt>
                <c:pt idx="47">
                  <c:v>470</c:v>
                </c:pt>
                <c:pt idx="48">
                  <c:v>480</c:v>
                </c:pt>
                <c:pt idx="49">
                  <c:v>490</c:v>
                </c:pt>
                <c:pt idx="50">
                  <c:v>500</c:v>
                </c:pt>
                <c:pt idx="51">
                  <c:v>510</c:v>
                </c:pt>
                <c:pt idx="52">
                  <c:v>520</c:v>
                </c:pt>
                <c:pt idx="53">
                  <c:v>530</c:v>
                </c:pt>
                <c:pt idx="54">
                  <c:v>540</c:v>
                </c:pt>
                <c:pt idx="55">
                  <c:v>550</c:v>
                </c:pt>
                <c:pt idx="56">
                  <c:v>560</c:v>
                </c:pt>
                <c:pt idx="57">
                  <c:v>570</c:v>
                </c:pt>
                <c:pt idx="58">
                  <c:v>580</c:v>
                </c:pt>
                <c:pt idx="59">
                  <c:v>590</c:v>
                </c:pt>
                <c:pt idx="60">
                  <c:v>600</c:v>
                </c:pt>
                <c:pt idx="61">
                  <c:v>610</c:v>
                </c:pt>
                <c:pt idx="62">
                  <c:v>620</c:v>
                </c:pt>
                <c:pt idx="63">
                  <c:v>630</c:v>
                </c:pt>
                <c:pt idx="64">
                  <c:v>640</c:v>
                </c:pt>
                <c:pt idx="65">
                  <c:v>650</c:v>
                </c:pt>
                <c:pt idx="66">
                  <c:v>660</c:v>
                </c:pt>
                <c:pt idx="67">
                  <c:v>670</c:v>
                </c:pt>
                <c:pt idx="68">
                  <c:v>680</c:v>
                </c:pt>
                <c:pt idx="69">
                  <c:v>690</c:v>
                </c:pt>
                <c:pt idx="70">
                  <c:v>700</c:v>
                </c:pt>
                <c:pt idx="71">
                  <c:v>710</c:v>
                </c:pt>
                <c:pt idx="72">
                  <c:v>720</c:v>
                </c:pt>
                <c:pt idx="73">
                  <c:v>730</c:v>
                </c:pt>
                <c:pt idx="74">
                  <c:v>740</c:v>
                </c:pt>
                <c:pt idx="75">
                  <c:v>750</c:v>
                </c:pt>
                <c:pt idx="76">
                  <c:v>760</c:v>
                </c:pt>
                <c:pt idx="77">
                  <c:v>770</c:v>
                </c:pt>
                <c:pt idx="78">
                  <c:v>780</c:v>
                </c:pt>
                <c:pt idx="79">
                  <c:v>790</c:v>
                </c:pt>
                <c:pt idx="80">
                  <c:v>800</c:v>
                </c:pt>
                <c:pt idx="81">
                  <c:v>810</c:v>
                </c:pt>
                <c:pt idx="82">
                  <c:v>820</c:v>
                </c:pt>
                <c:pt idx="83">
                  <c:v>830</c:v>
                </c:pt>
                <c:pt idx="84">
                  <c:v>840</c:v>
                </c:pt>
                <c:pt idx="85">
                  <c:v>850</c:v>
                </c:pt>
                <c:pt idx="86">
                  <c:v>860</c:v>
                </c:pt>
                <c:pt idx="87">
                  <c:v>870</c:v>
                </c:pt>
                <c:pt idx="88">
                  <c:v>880</c:v>
                </c:pt>
                <c:pt idx="89">
                  <c:v>890</c:v>
                </c:pt>
                <c:pt idx="90">
                  <c:v>900</c:v>
                </c:pt>
                <c:pt idx="91">
                  <c:v>910</c:v>
                </c:pt>
                <c:pt idx="92">
                  <c:v>920</c:v>
                </c:pt>
                <c:pt idx="93">
                  <c:v>930</c:v>
                </c:pt>
                <c:pt idx="94">
                  <c:v>940</c:v>
                </c:pt>
                <c:pt idx="95">
                  <c:v>950</c:v>
                </c:pt>
                <c:pt idx="96">
                  <c:v>960</c:v>
                </c:pt>
                <c:pt idx="97">
                  <c:v>970</c:v>
                </c:pt>
                <c:pt idx="98">
                  <c:v>980</c:v>
                </c:pt>
                <c:pt idx="99">
                  <c:v>990</c:v>
                </c:pt>
                <c:pt idx="100">
                  <c:v>1000</c:v>
                </c:pt>
              </c:numCache>
            </c:numRef>
          </c:cat>
          <c:val>
            <c:numRef>
              <c:f>'Calculations - Dual'!$AJ$5:$AJ$105</c:f>
              <c:numCache>
                <c:formatCode>0.000</c:formatCode>
                <c:ptCount val="101"/>
                <c:pt idx="0">
                  <c:v>1.0057142857142858</c:v>
                </c:pt>
                <c:pt idx="1">
                  <c:v>1.0431108790928627</c:v>
                </c:pt>
                <c:pt idx="2">
                  <c:v>1.0862217581857252</c:v>
                </c:pt>
                <c:pt idx="3">
                  <c:v>1.1293326372785879</c:v>
                </c:pt>
                <c:pt idx="4">
                  <c:v>1.1724435163714504</c:v>
                </c:pt>
                <c:pt idx="5">
                  <c:v>1.2050707355973664</c:v>
                </c:pt>
                <c:pt idx="6">
                  <c:v>1.2635287823977717</c:v>
                </c:pt>
                <c:pt idx="7">
                  <c:v>1.3172865044767801</c:v>
                </c:pt>
                <c:pt idx="8">
                  <c:v>1.3673229721787565</c:v>
                </c:pt>
                <c:pt idx="9">
                  <c:v>1.4143182500874996</c:v>
                </c:pt>
                <c:pt idx="10">
                  <c:v>1.4587674890870317</c:v>
                </c:pt>
                <c:pt idx="11">
                  <c:v>1.5010444880988254</c:v>
                </c:pt>
                <c:pt idx="12">
                  <c:v>1.5414396517020059</c:v>
                </c:pt>
                <c:pt idx="13">
                  <c:v>1.5801839234133417</c:v>
                </c:pt>
                <c:pt idx="14">
                  <c:v>1.6174645513484234</c:v>
                </c:pt>
                <c:pt idx="15">
                  <c:v>1.6534358548022974</c:v>
                </c:pt>
                <c:pt idx="16">
                  <c:v>1.6882268025858018</c:v>
                </c:pt>
                <c:pt idx="17">
                  <c:v>1.7219464863031333</c:v>
                </c:pt>
                <c:pt idx="18">
                  <c:v>1.7546881619718386</c:v>
                </c:pt>
                <c:pt idx="19">
                  <c:v>1.7865322927041976</c:v>
                </c:pt>
                <c:pt idx="20">
                  <c:v>1.8175488786021401</c:v>
                </c:pt>
                <c:pt idx="21">
                  <c:v>1.8477992679118485</c:v>
                </c:pt>
                <c:pt idx="22">
                  <c:v>1.8773375839810529</c:v>
                </c:pt>
                <c:pt idx="23">
                  <c:v>1.9062118631689078</c:v>
                </c:pt>
                <c:pt idx="24">
                  <c:v>1.9344649722029508</c:v>
                </c:pt>
                <c:pt idx="25">
                  <c:v>1.9621353550841041</c:v>
                </c:pt>
                <c:pt idx="26">
                  <c:v>1.9892576467213898</c:v>
                </c:pt>
                <c:pt idx="27">
                  <c:v>2.0158631812567132</c:v>
                </c:pt>
                <c:pt idx="28">
                  <c:v>2.0419804163609676</c:v>
                </c:pt>
                <c:pt idx="29">
                  <c:v>2.067635289879604</c:v>
                </c:pt>
                <c:pt idx="30">
                  <c:v>2.0928515215616748</c:v>
                </c:pt>
                <c:pt idx="31">
                  <c:v>2.1176508698669965</c:v>
                </c:pt>
                <c:pt idx="32">
                  <c:v>2.1420533517649205</c:v>
                </c:pt>
                <c:pt idx="33">
                  <c:v>2.1660774318416407</c:v>
                </c:pt>
                <c:pt idx="34">
                  <c:v>2.1897401857969019</c:v>
                </c:pt>
                <c:pt idx="35">
                  <c:v>2.2130574424458787</c:v>
                </c:pt>
                <c:pt idx="36">
                  <c:v>2.2360439075824066</c:v>
                </c:pt>
                <c:pt idx="37">
                  <c:v>2.2587132724574888</c:v>
                </c:pt>
                <c:pt idx="38">
                  <c:v>2.2810783091460904</c:v>
                </c:pt>
                <c:pt idx="39">
                  <c:v>2.303150954688693</c:v>
                </c:pt>
                <c:pt idx="40">
                  <c:v>2.3249423855814708</c:v>
                </c:pt>
                <c:pt idx="41">
                  <c:v>2.3464630839346201</c:v>
                </c:pt>
                <c:pt idx="42">
                  <c:v>2.3677228964103261</c:v>
                </c:pt>
                <c:pt idx="43">
                  <c:v>2.3887310868807572</c:v>
                </c:pt>
                <c:pt idx="44">
                  <c:v>2.4094963836050587</c:v>
                </c:pt>
                <c:pt idx="45">
                  <c:v>2.4300270216069144</c:v>
                </c:pt>
                <c:pt idx="46">
                  <c:v>2.4503307808362704</c:v>
                </c:pt>
                <c:pt idx="47">
                  <c:v>2.4704150206167697</c:v>
                </c:pt>
                <c:pt idx="48">
                  <c:v>2.4902867108114197</c:v>
                </c:pt>
                <c:pt idx="49">
                  <c:v>2.5099524600807088</c:v>
                </c:pt>
                <c:pt idx="50">
                  <c:v>2.5294185415580026</c:v>
                </c:pt>
                <c:pt idx="51">
                  <c:v>2.5486909162249907</c:v>
                </c:pt>
                <c:pt idx="52">
                  <c:v>2.5677752542340908</c:v>
                </c:pt>
                <c:pt idx="53">
                  <c:v>2.5866769543939956</c:v>
                </c:pt>
                <c:pt idx="54">
                  <c:v>2.6054011620081305</c:v>
                </c:pt>
                <c:pt idx="55">
                  <c:v>2.6239527852330653</c:v>
                </c:pt>
                <c:pt idx="56">
                  <c:v>2.6423365101042542</c:v>
                </c:pt>
                <c:pt idx="57">
                  <c:v>2.6605568143594418</c:v>
                </c:pt>
                <c:pt idx="58">
                  <c:v>2.6786179801752761</c:v>
                </c:pt>
                <c:pt idx="59">
                  <c:v>2.6965241059197727</c:v>
                </c:pt>
                <c:pt idx="60">
                  <c:v>2.7142791170120022</c:v>
                </c:pt>
                <c:pt idx="61">
                  <c:v>2.7318867759705192</c:v>
                </c:pt>
                <c:pt idx="62">
                  <c:v>2.7493506917234027</c:v>
                </c:pt>
                <c:pt idx="63">
                  <c:v>2.7666743282451551</c:v>
                </c:pt>
                <c:pt idx="64">
                  <c:v>2.7838610125790106</c:v>
                </c:pt>
                <c:pt idx="65">
                  <c:v>2.8009139422972709</c:v>
                </c:pt>
                <c:pt idx="66">
                  <c:v>2.8178361924470456</c:v>
                </c:pt>
                <c:pt idx="67">
                  <c:v>2.8346307220241416</c:v>
                </c:pt>
                <c:pt idx="68">
                  <c:v>2.851300380013674</c:v>
                </c:pt>
                <c:pt idx="69">
                  <c:v>2.8678479110323392</c:v>
                </c:pt>
                <c:pt idx="70">
                  <c:v>2.8842759606039916</c:v>
                </c:pt>
                <c:pt idx="71">
                  <c:v>2.9005870800972273</c:v>
                </c:pt>
                <c:pt idx="72">
                  <c:v>2.9167837313510852</c:v>
                </c:pt>
                <c:pt idx="73">
                  <c:v>2.9328682910125909</c:v>
                </c:pt>
                <c:pt idx="74">
                  <c:v>2.9488430546078104</c:v>
                </c:pt>
                <c:pt idx="75">
                  <c:v>2.9647102403661263</c:v>
                </c:pt>
                <c:pt idx="76">
                  <c:v>2.9804719928158026</c:v>
                </c:pt>
                <c:pt idx="77">
                  <c:v>2.9961303861673212</c:v>
                </c:pt>
                <c:pt idx="78">
                  <c:v>3.0116874274996057</c:v>
                </c:pt>
                <c:pt idx="79">
                  <c:v>3.0271450597629972</c:v>
                </c:pt>
                <c:pt idx="80">
                  <c:v>3.0425051646116881</c:v>
                </c:pt>
                <c:pt idx="81">
                  <c:v>3.0577695650773138</c:v>
                </c:pt>
                <c:pt idx="82">
                  <c:v>3.0729400280944521</c:v>
                </c:pt>
                <c:pt idx="83">
                  <c:v>3.0880182668879348</c:v>
                </c:pt>
                <c:pt idx="84">
                  <c:v>3.1030059432311043</c:v>
                </c:pt>
                <c:pt idx="85">
                  <c:v>3.1179046695834334</c:v>
                </c:pt>
                <c:pt idx="86">
                  <c:v>3.132716011115305</c:v>
                </c:pt>
                <c:pt idx="87">
                  <c:v>3.1474414876271357</c:v>
                </c:pt>
                <c:pt idx="88">
                  <c:v>3.1620825753695128</c:v>
                </c:pt>
                <c:pt idx="89">
                  <c:v>3.1766407087705124</c:v>
                </c:pt>
                <c:pt idx="90">
                  <c:v>3.1911172820759099</c:v>
                </c:pt>
                <c:pt idx="91">
                  <c:v>3.205513650907613</c:v>
                </c:pt>
                <c:pt idx="92">
                  <c:v>3.219831133745223</c:v>
                </c:pt>
                <c:pt idx="93">
                  <c:v>3.2340710133353241</c:v>
                </c:pt>
                <c:pt idx="94">
                  <c:v>3.2482345380327589</c:v>
                </c:pt>
                <c:pt idx="95">
                  <c:v>3.2623229230778552</c:v>
                </c:pt>
                <c:pt idx="96">
                  <c:v>3.276337351813309</c:v>
                </c:pt>
                <c:pt idx="97">
                  <c:v>3.2902789768441751</c:v>
                </c:pt>
                <c:pt idx="98">
                  <c:v>3.3724651717810712</c:v>
                </c:pt>
                <c:pt idx="99">
                  <c:v>3.4008312185074843</c:v>
                </c:pt>
                <c:pt idx="100">
                  <c:v>3.4291972652338973</c:v>
                </c:pt>
              </c:numCache>
            </c:numRef>
          </c:val>
          <c:smooth val="0"/>
          <c:extLst>
            <c:ext xmlns:c16="http://schemas.microsoft.com/office/drawing/2014/chart" uri="{C3380CC4-5D6E-409C-BE32-E72D297353CC}">
              <c16:uniqueId val="{00000001-3BA6-4204-887B-652DBE574912}"/>
            </c:ext>
          </c:extLst>
        </c:ser>
        <c:ser>
          <c:idx val="2"/>
          <c:order val="2"/>
          <c:tx>
            <c:v>VIN-max</c:v>
          </c:tx>
          <c:spPr>
            <a:ln>
              <a:solidFill>
                <a:srgbClr val="FF0000"/>
              </a:solidFill>
              <a:prstDash val="solid"/>
            </a:ln>
          </c:spPr>
          <c:marker>
            <c:symbol val="none"/>
          </c:marker>
          <c:val>
            <c:numRef>
              <c:f>'Calculations - Dual'!$AJ$218:$AJ$318</c:f>
              <c:numCache>
                <c:formatCode>0.000</c:formatCode>
                <c:ptCount val="101"/>
                <c:pt idx="0">
                  <c:v>1.0057142857142858</c:v>
                </c:pt>
                <c:pt idx="1">
                  <c:v>1.0431108790928627</c:v>
                </c:pt>
                <c:pt idx="2">
                  <c:v>1.0862217581857252</c:v>
                </c:pt>
                <c:pt idx="3">
                  <c:v>1.1293326372785879</c:v>
                </c:pt>
                <c:pt idx="4">
                  <c:v>1.1724435163714504</c:v>
                </c:pt>
                <c:pt idx="5">
                  <c:v>1.2050707355973664</c:v>
                </c:pt>
                <c:pt idx="6">
                  <c:v>1.2635287823977717</c:v>
                </c:pt>
                <c:pt idx="7">
                  <c:v>1.3172865044767801</c:v>
                </c:pt>
                <c:pt idx="8">
                  <c:v>1.3673229721787565</c:v>
                </c:pt>
                <c:pt idx="9">
                  <c:v>1.4143182500874996</c:v>
                </c:pt>
                <c:pt idx="10">
                  <c:v>1.4587674890870317</c:v>
                </c:pt>
                <c:pt idx="11">
                  <c:v>1.5010444880988254</c:v>
                </c:pt>
                <c:pt idx="12">
                  <c:v>1.5414396517020059</c:v>
                </c:pt>
                <c:pt idx="13">
                  <c:v>1.5801839234133417</c:v>
                </c:pt>
                <c:pt idx="14">
                  <c:v>1.6174645513484234</c:v>
                </c:pt>
                <c:pt idx="15">
                  <c:v>1.6534358548022974</c:v>
                </c:pt>
                <c:pt idx="16">
                  <c:v>1.6882268025858018</c:v>
                </c:pt>
                <c:pt idx="17">
                  <c:v>1.7219464863031333</c:v>
                </c:pt>
                <c:pt idx="18">
                  <c:v>1.7546881619718386</c:v>
                </c:pt>
                <c:pt idx="19">
                  <c:v>1.7865322927041976</c:v>
                </c:pt>
                <c:pt idx="20">
                  <c:v>1.8175488786021401</c:v>
                </c:pt>
                <c:pt idx="21">
                  <c:v>1.8477992679118485</c:v>
                </c:pt>
                <c:pt idx="22">
                  <c:v>1.8773375839810529</c:v>
                </c:pt>
                <c:pt idx="23">
                  <c:v>1.9062118631689078</c:v>
                </c:pt>
                <c:pt idx="24">
                  <c:v>1.9344649722029508</c:v>
                </c:pt>
                <c:pt idx="25">
                  <c:v>1.9621353550841041</c:v>
                </c:pt>
                <c:pt idx="26">
                  <c:v>1.9892576467213898</c:v>
                </c:pt>
                <c:pt idx="27">
                  <c:v>2.0158631812567132</c:v>
                </c:pt>
                <c:pt idx="28">
                  <c:v>2.0419804163609676</c:v>
                </c:pt>
                <c:pt idx="29">
                  <c:v>2.067635289879604</c:v>
                </c:pt>
                <c:pt idx="30">
                  <c:v>2.0928515215616748</c:v>
                </c:pt>
                <c:pt idx="31">
                  <c:v>2.1176508698669965</c:v>
                </c:pt>
                <c:pt idx="32">
                  <c:v>2.1420533517649205</c:v>
                </c:pt>
                <c:pt idx="33">
                  <c:v>2.1660774318416407</c:v>
                </c:pt>
                <c:pt idx="34">
                  <c:v>2.1897401857969019</c:v>
                </c:pt>
                <c:pt idx="35">
                  <c:v>2.2130574424458787</c:v>
                </c:pt>
                <c:pt idx="36">
                  <c:v>2.2360439075824066</c:v>
                </c:pt>
                <c:pt idx="37">
                  <c:v>2.2587132724574888</c:v>
                </c:pt>
                <c:pt idx="38">
                  <c:v>2.2810783091460904</c:v>
                </c:pt>
                <c:pt idx="39">
                  <c:v>2.303150954688693</c:v>
                </c:pt>
                <c:pt idx="40">
                  <c:v>2.3249423855814708</c:v>
                </c:pt>
                <c:pt idx="41">
                  <c:v>2.3464630839346201</c:v>
                </c:pt>
                <c:pt idx="42">
                  <c:v>2.3677228964103261</c:v>
                </c:pt>
                <c:pt idx="43">
                  <c:v>2.3887310868807572</c:v>
                </c:pt>
                <c:pt idx="44">
                  <c:v>2.4094963836050587</c:v>
                </c:pt>
                <c:pt idx="45">
                  <c:v>2.4300270216069144</c:v>
                </c:pt>
                <c:pt idx="46">
                  <c:v>2.4503307808362704</c:v>
                </c:pt>
                <c:pt idx="47">
                  <c:v>2.4704150206167697</c:v>
                </c:pt>
                <c:pt idx="48">
                  <c:v>2.4902867108114197</c:v>
                </c:pt>
                <c:pt idx="49">
                  <c:v>2.5099524600807088</c:v>
                </c:pt>
                <c:pt idx="50">
                  <c:v>2.5294185415580026</c:v>
                </c:pt>
                <c:pt idx="51">
                  <c:v>2.5486909162249907</c:v>
                </c:pt>
                <c:pt idx="52">
                  <c:v>2.5677752542340908</c:v>
                </c:pt>
                <c:pt idx="53">
                  <c:v>2.5866769543939956</c:v>
                </c:pt>
                <c:pt idx="54">
                  <c:v>2.6054011620081305</c:v>
                </c:pt>
                <c:pt idx="55">
                  <c:v>2.6239527852330653</c:v>
                </c:pt>
                <c:pt idx="56">
                  <c:v>2.6423365101042542</c:v>
                </c:pt>
                <c:pt idx="57">
                  <c:v>2.6605568143594418</c:v>
                </c:pt>
                <c:pt idx="58">
                  <c:v>2.6786179801752761</c:v>
                </c:pt>
                <c:pt idx="59">
                  <c:v>2.6965241059197727</c:v>
                </c:pt>
                <c:pt idx="60">
                  <c:v>2.7142791170120022</c:v>
                </c:pt>
                <c:pt idx="61">
                  <c:v>2.7318867759705192</c:v>
                </c:pt>
                <c:pt idx="62">
                  <c:v>2.7493506917234027</c:v>
                </c:pt>
                <c:pt idx="63">
                  <c:v>2.7666743282451551</c:v>
                </c:pt>
                <c:pt idx="64">
                  <c:v>2.7838610125790106</c:v>
                </c:pt>
                <c:pt idx="65">
                  <c:v>2.8009139422972709</c:v>
                </c:pt>
                <c:pt idx="66">
                  <c:v>2.8178361924470456</c:v>
                </c:pt>
                <c:pt idx="67">
                  <c:v>2.8346307220241416</c:v>
                </c:pt>
                <c:pt idx="68">
                  <c:v>2.851300380013674</c:v>
                </c:pt>
                <c:pt idx="69">
                  <c:v>2.8678479110323392</c:v>
                </c:pt>
                <c:pt idx="70">
                  <c:v>2.8842759606039916</c:v>
                </c:pt>
                <c:pt idx="71">
                  <c:v>2.9005870800972273</c:v>
                </c:pt>
                <c:pt idx="72">
                  <c:v>2.9167837313510852</c:v>
                </c:pt>
                <c:pt idx="73">
                  <c:v>2.9328682910125909</c:v>
                </c:pt>
                <c:pt idx="74">
                  <c:v>2.9488430546078104</c:v>
                </c:pt>
                <c:pt idx="75">
                  <c:v>2.9647102403661263</c:v>
                </c:pt>
                <c:pt idx="76">
                  <c:v>2.9804719928158026</c:v>
                </c:pt>
                <c:pt idx="77">
                  <c:v>2.9961303861673212</c:v>
                </c:pt>
                <c:pt idx="78">
                  <c:v>3.0116874274996057</c:v>
                </c:pt>
                <c:pt idx="79">
                  <c:v>3.0271450597629972</c:v>
                </c:pt>
                <c:pt idx="80">
                  <c:v>3.0425051646116881</c:v>
                </c:pt>
                <c:pt idx="81">
                  <c:v>3.0577695650773138</c:v>
                </c:pt>
                <c:pt idx="82">
                  <c:v>3.0729400280944521</c:v>
                </c:pt>
                <c:pt idx="83">
                  <c:v>3.0880182668879348</c:v>
                </c:pt>
                <c:pt idx="84">
                  <c:v>3.1030059432311043</c:v>
                </c:pt>
                <c:pt idx="85">
                  <c:v>3.1179046695834334</c:v>
                </c:pt>
                <c:pt idx="86">
                  <c:v>3.132716011115305</c:v>
                </c:pt>
                <c:pt idx="87">
                  <c:v>3.1474414876271357</c:v>
                </c:pt>
                <c:pt idx="88">
                  <c:v>3.1620825753695128</c:v>
                </c:pt>
                <c:pt idx="89">
                  <c:v>3.1766407087705124</c:v>
                </c:pt>
                <c:pt idx="90">
                  <c:v>3.1911172820759099</c:v>
                </c:pt>
                <c:pt idx="91">
                  <c:v>3.205513650907613</c:v>
                </c:pt>
                <c:pt idx="92">
                  <c:v>3.219831133745223</c:v>
                </c:pt>
                <c:pt idx="93">
                  <c:v>3.2340710133353241</c:v>
                </c:pt>
                <c:pt idx="94">
                  <c:v>3.2482345380327589</c:v>
                </c:pt>
                <c:pt idx="95">
                  <c:v>3.2623229230778552</c:v>
                </c:pt>
                <c:pt idx="96">
                  <c:v>3.276337351813309</c:v>
                </c:pt>
                <c:pt idx="97">
                  <c:v>3.2902789768441751</c:v>
                </c:pt>
                <c:pt idx="98">
                  <c:v>3.3041489211441668</c:v>
                </c:pt>
                <c:pt idx="99">
                  <c:v>3.3179482791112918</c:v>
                </c:pt>
                <c:pt idx="100">
                  <c:v>3.3316781175756152</c:v>
                </c:pt>
              </c:numCache>
            </c:numRef>
          </c:val>
          <c:smooth val="0"/>
          <c:extLst>
            <c:ext xmlns:c16="http://schemas.microsoft.com/office/drawing/2014/chart" uri="{C3380CC4-5D6E-409C-BE32-E72D297353CC}">
              <c16:uniqueId val="{00000002-3BA6-4204-887B-652DBE574912}"/>
            </c:ext>
          </c:extLst>
        </c:ser>
        <c:dLbls>
          <c:showLegendKey val="0"/>
          <c:showVal val="0"/>
          <c:showCatName val="0"/>
          <c:showSerName val="0"/>
          <c:showPercent val="0"/>
          <c:showBubbleSize val="0"/>
        </c:dLbls>
        <c:smooth val="0"/>
        <c:axId val="141478912"/>
        <c:axId val="141485184"/>
      </c:lineChart>
      <c:catAx>
        <c:axId val="141478912"/>
        <c:scaling>
          <c:orientation val="minMax"/>
        </c:scaling>
        <c:delete val="0"/>
        <c:axPos val="b"/>
        <c:majorGridlines>
          <c:spPr>
            <a:ln w="15875">
              <a:solidFill>
                <a:srgbClr val="969696"/>
              </a:solidFill>
              <a:prstDash val="sysDash"/>
            </a:ln>
          </c:spPr>
        </c:majorGridlines>
        <c:title>
          <c:tx>
            <c:rich>
              <a:bodyPr/>
              <a:lstStyle/>
              <a:p>
                <a:pPr>
                  <a:defRPr sz="1200" b="1" i="0" u="none" strike="noStrike" baseline="0">
                    <a:solidFill>
                      <a:schemeClr val="tx1"/>
                    </a:solidFill>
                    <a:latin typeface="Arial" pitchFamily="34" charset="0"/>
                    <a:ea typeface="Calibri"/>
                    <a:cs typeface="Arial" pitchFamily="34" charset="0"/>
                  </a:defRPr>
                </a:pPr>
                <a:r>
                  <a:rPr lang="en-US" sz="1200">
                    <a:solidFill>
                      <a:schemeClr val="tx1"/>
                    </a:solidFill>
                    <a:latin typeface="Arial" pitchFamily="34" charset="0"/>
                    <a:cs typeface="Arial" pitchFamily="34" charset="0"/>
                  </a:rPr>
                  <a:t>Load Current (mA)</a:t>
                </a:r>
              </a:p>
            </c:rich>
          </c:tx>
          <c:layout>
            <c:manualLayout>
              <c:xMode val="edge"/>
              <c:yMode val="edge"/>
              <c:x val="0.45424135936496307"/>
              <c:y val="0.9410669161053864"/>
            </c:manualLayout>
          </c:layout>
          <c:overlay val="0"/>
          <c:spPr>
            <a:noFill/>
            <a:ln w="25400">
              <a:noFill/>
            </a:ln>
          </c:spPr>
        </c:title>
        <c:numFmt formatCode="0" sourceLinked="1"/>
        <c:majorTickMark val="in"/>
        <c:minorTickMark val="in"/>
        <c:tickLblPos val="nextTo"/>
        <c:spPr>
          <a:ln w="3175">
            <a:solidFill>
              <a:schemeClr val="tx1"/>
            </a:solidFill>
            <a:prstDash val="solid"/>
          </a:ln>
        </c:spPr>
        <c:txPr>
          <a:bodyPr rot="0" vert="horz"/>
          <a:lstStyle/>
          <a:p>
            <a:pPr>
              <a:defRPr sz="1100" b="1" i="0" u="none" strike="noStrike" baseline="0">
                <a:solidFill>
                  <a:schemeClr val="tx1"/>
                </a:solidFill>
                <a:latin typeface="Arial" pitchFamily="34" charset="0"/>
                <a:ea typeface="Calibri"/>
                <a:cs typeface="Arial" pitchFamily="34" charset="0"/>
              </a:defRPr>
            </a:pPr>
            <a:endParaRPr lang="en-US"/>
          </a:p>
        </c:txPr>
        <c:crossAx val="141485184"/>
        <c:crosses val="autoZero"/>
        <c:auto val="1"/>
        <c:lblAlgn val="ctr"/>
        <c:lblOffset val="100"/>
        <c:tickLblSkip val="20"/>
        <c:tickMarkSkip val="10"/>
        <c:noMultiLvlLbl val="0"/>
      </c:catAx>
      <c:valAx>
        <c:axId val="141485184"/>
        <c:scaling>
          <c:orientation val="minMax"/>
          <c:max val="2.2000000000000002"/>
          <c:min val="1"/>
        </c:scaling>
        <c:delete val="0"/>
        <c:axPos val="l"/>
        <c:majorGridlines>
          <c:spPr>
            <a:ln w="15875">
              <a:solidFill>
                <a:srgbClr val="808080"/>
              </a:solidFill>
              <a:prstDash val="solid"/>
            </a:ln>
          </c:spPr>
        </c:majorGridlines>
        <c:title>
          <c:tx>
            <c:rich>
              <a:bodyPr/>
              <a:lstStyle/>
              <a:p>
                <a:pPr>
                  <a:defRPr sz="1400" b="1" i="0" u="none" strike="noStrike" baseline="0">
                    <a:solidFill>
                      <a:schemeClr val="tx1"/>
                    </a:solidFill>
                    <a:latin typeface="Arial" pitchFamily="34" charset="0"/>
                    <a:ea typeface="Calibri"/>
                    <a:cs typeface="Arial" pitchFamily="34" charset="0"/>
                  </a:defRPr>
                </a:pPr>
                <a:r>
                  <a:rPr lang="en-US" sz="1200" b="1">
                    <a:solidFill>
                      <a:schemeClr val="tx1"/>
                    </a:solidFill>
                    <a:latin typeface="Arial" pitchFamily="34" charset="0"/>
                    <a:cs typeface="Arial" pitchFamily="34" charset="0"/>
                  </a:rPr>
                  <a:t>COMP</a:t>
                </a:r>
                <a:r>
                  <a:rPr lang="en-US" sz="1200" b="1" baseline="0">
                    <a:solidFill>
                      <a:schemeClr val="tx1"/>
                    </a:solidFill>
                    <a:latin typeface="Arial" pitchFamily="34" charset="0"/>
                    <a:cs typeface="Arial" pitchFamily="34" charset="0"/>
                  </a:rPr>
                  <a:t> Voltage (V)</a:t>
                </a:r>
                <a:endParaRPr lang="en-US" sz="1200" b="1">
                  <a:solidFill>
                    <a:schemeClr val="tx1"/>
                  </a:solidFill>
                  <a:latin typeface="Arial" pitchFamily="34" charset="0"/>
                  <a:cs typeface="Arial" pitchFamily="34" charset="0"/>
                </a:endParaRPr>
              </a:p>
            </c:rich>
          </c:tx>
          <c:layout>
            <c:manualLayout>
              <c:xMode val="edge"/>
              <c:yMode val="edge"/>
              <c:x val="1.5939635452545176E-2"/>
              <c:y val="0.34603169988013316"/>
            </c:manualLayout>
          </c:layout>
          <c:overlay val="0"/>
          <c:spPr>
            <a:noFill/>
            <a:ln w="25400">
              <a:noFill/>
            </a:ln>
          </c:spPr>
        </c:title>
        <c:numFmt formatCode="#,##0.0" sourceLinked="0"/>
        <c:majorTickMark val="out"/>
        <c:minorTickMark val="in"/>
        <c:tickLblPos val="nextTo"/>
        <c:spPr>
          <a:ln w="3175">
            <a:solidFill>
              <a:srgbClr val="000000"/>
            </a:solidFill>
            <a:prstDash val="solid"/>
          </a:ln>
        </c:spPr>
        <c:txPr>
          <a:bodyPr rot="0" vert="horz"/>
          <a:lstStyle/>
          <a:p>
            <a:pPr>
              <a:defRPr sz="1100" b="1" i="0" u="none" strike="noStrike" baseline="0">
                <a:solidFill>
                  <a:schemeClr val="tx1"/>
                </a:solidFill>
                <a:latin typeface="Arial" pitchFamily="34" charset="0"/>
                <a:ea typeface="Calibri"/>
                <a:cs typeface="Arial" pitchFamily="34" charset="0"/>
              </a:defRPr>
            </a:pPr>
            <a:endParaRPr lang="en-US"/>
          </a:p>
        </c:txPr>
        <c:crossAx val="141478912"/>
        <c:crossesAt val="0"/>
        <c:crossBetween val="between"/>
        <c:majorUnit val="0.2"/>
        <c:minorUnit val="0.1"/>
      </c:valAx>
      <c:spPr>
        <a:solidFill>
          <a:srgbClr val="FFFFFF"/>
        </a:solidFill>
        <a:ln w="25400">
          <a:noFill/>
        </a:ln>
      </c:spPr>
    </c:plotArea>
    <c:legend>
      <c:legendPos val="t"/>
      <c:layout>
        <c:manualLayout>
          <c:xMode val="edge"/>
          <c:yMode val="edge"/>
          <c:x val="0.50279342989103104"/>
          <c:y val="1.6951025877806759E-2"/>
          <c:w val="0.44417947756530435"/>
          <c:h val="8.9795049320617604E-2"/>
        </c:manualLayout>
      </c:layout>
      <c:overlay val="0"/>
      <c:spPr>
        <a:solidFill>
          <a:srgbClr val="FFFFFF"/>
        </a:solidFill>
        <a:ln w="25400">
          <a:noFill/>
        </a:ln>
      </c:spPr>
      <c:txPr>
        <a:bodyPr/>
        <a:lstStyle/>
        <a:p>
          <a:pPr>
            <a:defRPr sz="1400" b="0" i="0" u="none" strike="noStrike" baseline="0">
              <a:solidFill>
                <a:srgbClr val="000000"/>
              </a:solidFill>
              <a:latin typeface="Arial" pitchFamily="34" charset="0"/>
              <a:ea typeface="Calibri"/>
              <a:cs typeface="Arial" pitchFamily="34" charset="0"/>
            </a:defRPr>
          </a:pPr>
          <a:endParaRPr lang="en-US"/>
        </a:p>
      </c:txPr>
    </c:legend>
    <c:plotVisOnly val="1"/>
    <c:dispBlanksAs val="gap"/>
    <c:showDLblsOverMax val="0"/>
  </c:chart>
  <c:spPr>
    <a:solidFill>
      <a:srgbClr val="FFFFFF"/>
    </a:solidFill>
    <a:ln w="9525">
      <a:solidFill>
        <a:srgbClr val="808080"/>
      </a:solidFill>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0000000000006" r="0.750000000000006" t="1" header="0.5" footer="0.5"/>
    <c:pageSetup paperSize="5"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rgbClr val="000000"/>
                </a:solidFill>
                <a:latin typeface="Arial" pitchFamily="34" charset="0"/>
                <a:ea typeface="Calibri"/>
                <a:cs typeface="Arial" pitchFamily="34" charset="0"/>
              </a:defRPr>
            </a:pPr>
            <a:r>
              <a:rPr lang="en-US" sz="1800" b="1" i="0" baseline="0">
                <a:effectLst/>
                <a:sym typeface="Symbol"/>
              </a:rPr>
              <a:t></a:t>
            </a:r>
            <a:r>
              <a:rPr lang="en-US" sz="1800" b="1" i="0" baseline="0">
                <a:effectLst/>
              </a:rPr>
              <a:t>, V</a:t>
            </a:r>
            <a:r>
              <a:rPr lang="en-US" sz="1800" b="1" i="0" baseline="-25000">
                <a:effectLst/>
              </a:rPr>
              <a:t>IN</a:t>
            </a:r>
            <a:r>
              <a:rPr lang="en-US" sz="1800" b="1" i="0" baseline="0">
                <a:effectLst/>
              </a:rPr>
              <a:t> = V</a:t>
            </a:r>
            <a:r>
              <a:rPr lang="en-US" sz="1800" b="1" i="0" baseline="-25000">
                <a:effectLst/>
              </a:rPr>
              <a:t>IN(nom)</a:t>
            </a:r>
            <a:endParaRPr lang="en-US">
              <a:effectLst/>
            </a:endParaRPr>
          </a:p>
        </c:rich>
      </c:tx>
      <c:layout>
        <c:manualLayout>
          <c:xMode val="edge"/>
          <c:yMode val="edge"/>
          <c:x val="8.2586704916618195E-2"/>
          <c:y val="1.8363289746112718E-2"/>
        </c:manualLayout>
      </c:layout>
      <c:overlay val="0"/>
      <c:spPr>
        <a:noFill/>
        <a:ln w="25400">
          <a:noFill/>
        </a:ln>
      </c:spPr>
    </c:title>
    <c:autoTitleDeleted val="0"/>
    <c:plotArea>
      <c:layout>
        <c:manualLayout>
          <c:layoutTarget val="inner"/>
          <c:xMode val="edge"/>
          <c:yMode val="edge"/>
          <c:x val="7.6761884085804283E-2"/>
          <c:y val="0.12133523343001466"/>
          <c:w val="0.82579990228506128"/>
          <c:h val="0.7558980268938309"/>
        </c:manualLayout>
      </c:layout>
      <c:lineChart>
        <c:grouping val="standard"/>
        <c:varyColors val="0"/>
        <c:ser>
          <c:idx val="0"/>
          <c:order val="0"/>
          <c:tx>
            <c:v>Efficiency</c:v>
          </c:tx>
          <c:spPr>
            <a:ln w="38100">
              <a:solidFill>
                <a:srgbClr val="FF0000"/>
              </a:solidFill>
              <a:prstDash val="solid"/>
            </a:ln>
          </c:spPr>
          <c:marker>
            <c:symbol val="none"/>
          </c:marker>
          <c:cat>
            <c:numRef>
              <c:f>'Calculations - Dual'!$CC$5:$CC$105</c:f>
              <c:numCache>
                <c:formatCode>General</c:formatCode>
                <c:ptCount val="101"/>
                <c:pt idx="0">
                  <c:v>0</c:v>
                </c:pt>
                <c:pt idx="1">
                  <c:v>1</c:v>
                </c:pt>
                <c:pt idx="2">
                  <c:v>2</c:v>
                </c:pt>
                <c:pt idx="3">
                  <c:v>3</c:v>
                </c:pt>
                <c:pt idx="4">
                  <c:v>4</c:v>
                </c:pt>
                <c:pt idx="5">
                  <c:v>5</c:v>
                </c:pt>
                <c:pt idx="6">
                  <c:v>6</c:v>
                </c:pt>
                <c:pt idx="7">
                  <c:v>7.0000000000000009</c:v>
                </c:pt>
                <c:pt idx="8">
                  <c:v>8</c:v>
                </c:pt>
                <c:pt idx="9">
                  <c:v>9</c:v>
                </c:pt>
                <c:pt idx="10">
                  <c:v>10</c:v>
                </c:pt>
                <c:pt idx="11">
                  <c:v>11</c:v>
                </c:pt>
                <c:pt idx="12">
                  <c:v>12</c:v>
                </c:pt>
                <c:pt idx="13">
                  <c:v>13</c:v>
                </c:pt>
                <c:pt idx="14">
                  <c:v>14.000000000000002</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Dual'!$CB$5:$CB$105</c:f>
              <c:numCache>
                <c:formatCode>0.00</c:formatCode>
                <c:ptCount val="101"/>
                <c:pt idx="0">
                  <c:v>2.2147960299013144E-4</c:v>
                </c:pt>
                <c:pt idx="1">
                  <c:v>74.371165592479088</c:v>
                </c:pt>
                <c:pt idx="2">
                  <c:v>75.096382726536064</c:v>
                </c:pt>
                <c:pt idx="3">
                  <c:v>75.3412750542537</c:v>
                </c:pt>
                <c:pt idx="4">
                  <c:v>75.464321149117765</c:v>
                </c:pt>
                <c:pt idx="5">
                  <c:v>76.549747739318192</c:v>
                </c:pt>
                <c:pt idx="6">
                  <c:v>78.562266018074055</c:v>
                </c:pt>
                <c:pt idx="7">
                  <c:v>80.084319732445792</c:v>
                </c:pt>
                <c:pt idx="8">
                  <c:v>81.277732655752885</c:v>
                </c:pt>
                <c:pt idx="9">
                  <c:v>82.23973780245602</c:v>
                </c:pt>
                <c:pt idx="10">
                  <c:v>83.032394640313541</c:v>
                </c:pt>
                <c:pt idx="11">
                  <c:v>83.697235359400651</c:v>
                </c:pt>
                <c:pt idx="12">
                  <c:v>84.263137926437906</c:v>
                </c:pt>
                <c:pt idx="13">
                  <c:v>84.750824631238459</c:v>
                </c:pt>
                <c:pt idx="14">
                  <c:v>85.175563905443255</c:v>
                </c:pt>
                <c:pt idx="15">
                  <c:v>85.548861867994859</c:v>
                </c:pt>
                <c:pt idx="16">
                  <c:v>85.879559284581134</c:v>
                </c:pt>
                <c:pt idx="17">
                  <c:v>86.174564748523309</c:v>
                </c:pt>
                <c:pt idx="18">
                  <c:v>86.439357735160854</c:v>
                </c:pt>
                <c:pt idx="19">
                  <c:v>86.67834178206904</c:v>
                </c:pt>
                <c:pt idx="20">
                  <c:v>86.89509753384803</c:v>
                </c:pt>
                <c:pt idx="21">
                  <c:v>87.092567350831814</c:v>
                </c:pt>
                <c:pt idx="22">
                  <c:v>87.273192191127492</c:v>
                </c:pt>
                <c:pt idx="23">
                  <c:v>87.439014598753246</c:v>
                </c:pt>
                <c:pt idx="24">
                  <c:v>87.591757223497439</c:v>
                </c:pt>
                <c:pt idx="25">
                  <c:v>87.732883412019788</c:v>
                </c:pt>
                <c:pt idx="26">
                  <c:v>87.86364448236742</c:v>
                </c:pt>
                <c:pt idx="27">
                  <c:v>87.985116983862838</c:v>
                </c:pt>
                <c:pt idx="28">
                  <c:v>88.098232339008092</c:v>
                </c:pt>
                <c:pt idx="29">
                  <c:v>88.203800629085194</c:v>
                </c:pt>
                <c:pt idx="30">
                  <c:v>88.30252983360522</c:v>
                </c:pt>
                <c:pt idx="31">
                  <c:v>88.395041508558322</c:v>
                </c:pt>
                <c:pt idx="32">
                  <c:v>88.481883651414833</c:v>
                </c:pt>
                <c:pt idx="33">
                  <c:v>88.563541326197779</c:v>
                </c:pt>
                <c:pt idx="34">
                  <c:v>88.640445491947844</c:v>
                </c:pt>
                <c:pt idx="35">
                  <c:v>88.712980380196456</c:v>
                </c:pt>
                <c:pt idx="36">
                  <c:v>88.781489692968009</c:v>
                </c:pt>
                <c:pt idx="37">
                  <c:v>88.846281836166369</c:v>
                </c:pt>
                <c:pt idx="38">
                  <c:v>88.907634359520372</c:v>
                </c:pt>
                <c:pt idx="39">
                  <c:v>88.965797740339283</c:v>
                </c:pt>
                <c:pt idx="40">
                  <c:v>89.02099862179854</c:v>
                </c:pt>
                <c:pt idx="41">
                  <c:v>89.073442595584879</c:v>
                </c:pt>
                <c:pt idx="42">
                  <c:v>89.123316602180353</c:v>
                </c:pt>
                <c:pt idx="43">
                  <c:v>89.170791008870623</c:v>
                </c:pt>
                <c:pt idx="44">
                  <c:v>89.216021414988916</c:v>
                </c:pt>
                <c:pt idx="45">
                  <c:v>89.259150225382626</c:v>
                </c:pt>
                <c:pt idx="46">
                  <c:v>89.30030802618495</c:v>
                </c:pt>
                <c:pt idx="47">
                  <c:v>89.339614791352915</c:v>
                </c:pt>
                <c:pt idx="48">
                  <c:v>89.377180943835242</c:v>
                </c:pt>
                <c:pt idx="49">
                  <c:v>89.413108291455885</c:v>
                </c:pt>
                <c:pt idx="50">
                  <c:v>89.447490854482695</c:v>
                </c:pt>
                <c:pt idx="51">
                  <c:v>89.480415599268241</c:v>
                </c:pt>
                <c:pt idx="52">
                  <c:v>89.511963090202116</c:v>
                </c:pt>
                <c:pt idx="53">
                  <c:v>89.542208070421324</c:v>
                </c:pt>
                <c:pt idx="54">
                  <c:v>89.57121998022221</c:v>
                </c:pt>
                <c:pt idx="55">
                  <c:v>89.599063420855131</c:v>
                </c:pt>
                <c:pt idx="56">
                  <c:v>89.625798570316448</c:v>
                </c:pt>
                <c:pt idx="57">
                  <c:v>89.651481556851394</c:v>
                </c:pt>
                <c:pt idx="58">
                  <c:v>89.676164795114715</c:v>
                </c:pt>
                <c:pt idx="59">
                  <c:v>89.699897289285275</c:v>
                </c:pt>
                <c:pt idx="60">
                  <c:v>89.722724906872614</c:v>
                </c:pt>
                <c:pt idx="61">
                  <c:v>89.744690626478274</c:v>
                </c:pt>
                <c:pt idx="62">
                  <c:v>89.765834762364065</c:v>
                </c:pt>
                <c:pt idx="63">
                  <c:v>89.786195168328248</c:v>
                </c:pt>
                <c:pt idx="64">
                  <c:v>89.805807423085596</c:v>
                </c:pt>
                <c:pt idx="65">
                  <c:v>89.824704999085199</c:v>
                </c:pt>
                <c:pt idx="66">
                  <c:v>89.84291941647092</c:v>
                </c:pt>
                <c:pt idx="67">
                  <c:v>89.860480383692135</c:v>
                </c:pt>
                <c:pt idx="68">
                  <c:v>89.877415926099204</c:v>
                </c:pt>
                <c:pt idx="69">
                  <c:v>89.893752503707475</c:v>
                </c:pt>
                <c:pt idx="70">
                  <c:v>89.909515119182316</c:v>
                </c:pt>
                <c:pt idx="71">
                  <c:v>89.924727416981881</c:v>
                </c:pt>
                <c:pt idx="72">
                  <c:v>89.939411774492811</c:v>
                </c:pt>
                <c:pt idx="73">
                  <c:v>89.953589385905317</c:v>
                </c:pt>
                <c:pt idx="74">
                  <c:v>89.967280339495233</c:v>
                </c:pt>
                <c:pt idx="75">
                  <c:v>89.980503688911142</c:v>
                </c:pt>
                <c:pt idx="76">
                  <c:v>89.993277519003584</c:v>
                </c:pt>
                <c:pt idx="77">
                  <c:v>90.005619006678913</c:v>
                </c:pt>
                <c:pt idx="78">
                  <c:v>90.017544477211814</c:v>
                </c:pt>
                <c:pt idx="79">
                  <c:v>90.029069456408237</c:v>
                </c:pt>
                <c:pt idx="80">
                  <c:v>90.040208718971797</c:v>
                </c:pt>
                <c:pt idx="81">
                  <c:v>90.050976333392782</c:v>
                </c:pt>
                <c:pt idx="82">
                  <c:v>90.061385703648867</c:v>
                </c:pt>
                <c:pt idx="83">
                  <c:v>90.071449607979105</c:v>
                </c:pt>
                <c:pt idx="84">
                  <c:v>90.081180234968542</c:v>
                </c:pt>
                <c:pt idx="85">
                  <c:v>90.090589217159135</c:v>
                </c:pt>
                <c:pt idx="86">
                  <c:v>90.099687662383005</c:v>
                </c:pt>
                <c:pt idx="87">
                  <c:v>90.108486182996444</c:v>
                </c:pt>
                <c:pt idx="88">
                  <c:v>90.116994923177288</c:v>
                </c:pt>
                <c:pt idx="89">
                  <c:v>90.12522358443394</c:v>
                </c:pt>
                <c:pt idx="90">
                  <c:v>90.133181449461759</c:v>
                </c:pt>
                <c:pt idx="91">
                  <c:v>90.140877404470345</c:v>
                </c:pt>
                <c:pt idx="92">
                  <c:v>90.148319960095236</c:v>
                </c:pt>
                <c:pt idx="93">
                  <c:v>90.155517270997919</c:v>
                </c:pt>
                <c:pt idx="94">
                  <c:v>90.162477154249189</c:v>
                </c:pt>
                <c:pt idx="95">
                  <c:v>90.169207106583258</c:v>
                </c:pt>
                <c:pt idx="96">
                  <c:v>90.175714320602935</c:v>
                </c:pt>
                <c:pt idx="97">
                  <c:v>90.182005700009597</c:v>
                </c:pt>
                <c:pt idx="98">
                  <c:v>90.044427540638452</c:v>
                </c:pt>
                <c:pt idx="99">
                  <c:v>90.049624389175477</c:v>
                </c:pt>
                <c:pt idx="100">
                  <c:v>90.059509259144306</c:v>
                </c:pt>
              </c:numCache>
            </c:numRef>
          </c:val>
          <c:smooth val="0"/>
          <c:extLst>
            <c:ext xmlns:c16="http://schemas.microsoft.com/office/drawing/2014/chart" uri="{C3380CC4-5D6E-409C-BE32-E72D297353CC}">
              <c16:uniqueId val="{00000000-F70F-43A3-985B-8D7256906BEC}"/>
            </c:ext>
          </c:extLst>
        </c:ser>
        <c:dLbls>
          <c:showLegendKey val="0"/>
          <c:showVal val="0"/>
          <c:showCatName val="0"/>
          <c:showSerName val="0"/>
          <c:showPercent val="0"/>
          <c:showBubbleSize val="0"/>
        </c:dLbls>
        <c:marker val="1"/>
        <c:smooth val="0"/>
        <c:axId val="141607680"/>
        <c:axId val="141609600"/>
      </c:lineChart>
      <c:lineChart>
        <c:grouping val="standard"/>
        <c:varyColors val="0"/>
        <c:ser>
          <c:idx val="2"/>
          <c:order val="1"/>
          <c:tx>
            <c:strRef>
              <c:f>'Calculations - Dual'!$BN$3</c:f>
              <c:strCache>
                <c:ptCount val="1"/>
                <c:pt idx="0">
                  <c:v>Flyback Diode Loss</c:v>
                </c:pt>
              </c:strCache>
            </c:strRef>
          </c:tx>
          <c:spPr>
            <a:ln w="38100">
              <a:solidFill>
                <a:srgbClr val="808000"/>
              </a:solidFill>
              <a:prstDash val="sysDash"/>
            </a:ln>
          </c:spPr>
          <c:marker>
            <c:symbol val="none"/>
          </c:marker>
          <c:cat>
            <c:numLit>
              <c:formatCode>General</c:formatCode>
              <c:ptCount val="201"/>
              <c:pt idx="0">
                <c:v>0</c:v>
              </c:pt>
              <c:pt idx="1">
                <c:v>2.5000000000000001E-2</c:v>
              </c:pt>
              <c:pt idx="2">
                <c:v>0.05</c:v>
              </c:pt>
              <c:pt idx="3">
                <c:v>7.4999999999999997E-2</c:v>
              </c:pt>
              <c:pt idx="4">
                <c:v>0.1</c:v>
              </c:pt>
              <c:pt idx="5">
                <c:v>0.125</c:v>
              </c:pt>
              <c:pt idx="6">
                <c:v>0.15</c:v>
              </c:pt>
              <c:pt idx="7">
                <c:v>0.17500000000000002</c:v>
              </c:pt>
              <c:pt idx="8">
                <c:v>0.2</c:v>
              </c:pt>
              <c:pt idx="9">
                <c:v>0.22499999999999998</c:v>
              </c:pt>
              <c:pt idx="10">
                <c:v>0.25</c:v>
              </c:pt>
              <c:pt idx="11">
                <c:v>0.27500000000000002</c:v>
              </c:pt>
              <c:pt idx="12">
                <c:v>0.3</c:v>
              </c:pt>
              <c:pt idx="13">
                <c:v>0.32500000000000001</c:v>
              </c:pt>
              <c:pt idx="14">
                <c:v>0.35000000000000003</c:v>
              </c:pt>
              <c:pt idx="15">
                <c:v>0.375</c:v>
              </c:pt>
              <c:pt idx="16">
                <c:v>0.4</c:v>
              </c:pt>
              <c:pt idx="17">
                <c:v>0.42500000000000004</c:v>
              </c:pt>
              <c:pt idx="18">
                <c:v>0.44999999999999996</c:v>
              </c:pt>
              <c:pt idx="19">
                <c:v>0.47499999999999998</c:v>
              </c:pt>
              <c:pt idx="20">
                <c:v>0.5</c:v>
              </c:pt>
              <c:pt idx="21">
                <c:v>0.52500000000000002</c:v>
              </c:pt>
              <c:pt idx="22">
                <c:v>0.55000000000000004</c:v>
              </c:pt>
              <c:pt idx="23">
                <c:v>0.57500000000000007</c:v>
              </c:pt>
              <c:pt idx="24">
                <c:v>0.6</c:v>
              </c:pt>
              <c:pt idx="25">
                <c:v>0.625</c:v>
              </c:pt>
              <c:pt idx="26">
                <c:v>0.65</c:v>
              </c:pt>
              <c:pt idx="27">
                <c:v>0.67500000000000004</c:v>
              </c:pt>
              <c:pt idx="28">
                <c:v>0.70000000000000007</c:v>
              </c:pt>
              <c:pt idx="29">
                <c:v>0.72499999999999998</c:v>
              </c:pt>
              <c:pt idx="30">
                <c:v>0.75</c:v>
              </c:pt>
              <c:pt idx="31">
                <c:v>0.77500000000000002</c:v>
              </c:pt>
              <c:pt idx="32">
                <c:v>0.8</c:v>
              </c:pt>
              <c:pt idx="33">
                <c:v>0.82500000000000007</c:v>
              </c:pt>
              <c:pt idx="34">
                <c:v>0.85000000000000009</c:v>
              </c:pt>
              <c:pt idx="35">
                <c:v>0.875</c:v>
              </c:pt>
              <c:pt idx="36">
                <c:v>0.89999999999999991</c:v>
              </c:pt>
              <c:pt idx="37">
                <c:v>0.92500000000000004</c:v>
              </c:pt>
              <c:pt idx="38">
                <c:v>0.95</c:v>
              </c:pt>
              <c:pt idx="39">
                <c:v>0.97500000000000009</c:v>
              </c:pt>
              <c:pt idx="40">
                <c:v>1</c:v>
              </c:pt>
              <c:pt idx="41">
                <c:v>1.0249999999999999</c:v>
              </c:pt>
              <c:pt idx="42">
                <c:v>1.05</c:v>
              </c:pt>
              <c:pt idx="43">
                <c:v>1.075</c:v>
              </c:pt>
              <c:pt idx="44">
                <c:v>1.1000000000000001</c:v>
              </c:pt>
              <c:pt idx="45">
                <c:v>1.125</c:v>
              </c:pt>
              <c:pt idx="46">
                <c:v>1.1500000000000001</c:v>
              </c:pt>
              <c:pt idx="47">
                <c:v>1.1749999999999998</c:v>
              </c:pt>
              <c:pt idx="48">
                <c:v>1.2</c:v>
              </c:pt>
              <c:pt idx="49">
                <c:v>1.2250000000000001</c:v>
              </c:pt>
              <c:pt idx="50">
                <c:v>1.25</c:v>
              </c:pt>
              <c:pt idx="51">
                <c:v>1.2749999999999999</c:v>
              </c:pt>
              <c:pt idx="52">
                <c:v>1.3</c:v>
              </c:pt>
              <c:pt idx="53">
                <c:v>1.3250000000000002</c:v>
              </c:pt>
              <c:pt idx="54">
                <c:v>1.35</c:v>
              </c:pt>
              <c:pt idx="55">
                <c:v>1.375</c:v>
              </c:pt>
              <c:pt idx="56">
                <c:v>1.4000000000000001</c:v>
              </c:pt>
              <c:pt idx="57">
                <c:v>1.4249999999999998</c:v>
              </c:pt>
              <c:pt idx="58">
                <c:v>1.45</c:v>
              </c:pt>
              <c:pt idx="59">
                <c:v>1.4749999999999999</c:v>
              </c:pt>
              <c:pt idx="60">
                <c:v>1.5</c:v>
              </c:pt>
              <c:pt idx="61">
                <c:v>1.5249999999999999</c:v>
              </c:pt>
              <c:pt idx="62">
                <c:v>1.55</c:v>
              </c:pt>
              <c:pt idx="63">
                <c:v>1.575</c:v>
              </c:pt>
              <c:pt idx="64">
                <c:v>1.6</c:v>
              </c:pt>
              <c:pt idx="65">
                <c:v>1.625</c:v>
              </c:pt>
              <c:pt idx="66">
                <c:v>1.6500000000000001</c:v>
              </c:pt>
              <c:pt idx="67">
                <c:v>1.675</c:v>
              </c:pt>
              <c:pt idx="68">
                <c:v>1.7000000000000002</c:v>
              </c:pt>
              <c:pt idx="69">
                <c:v>1.7249999999999999</c:v>
              </c:pt>
              <c:pt idx="70">
                <c:v>1.75</c:v>
              </c:pt>
              <c:pt idx="71">
                <c:v>1.7749999999999999</c:v>
              </c:pt>
              <c:pt idx="72">
                <c:v>1.7999999999999998</c:v>
              </c:pt>
              <c:pt idx="73">
                <c:v>1.825</c:v>
              </c:pt>
              <c:pt idx="74">
                <c:v>1.85</c:v>
              </c:pt>
              <c:pt idx="75">
                <c:v>1.875</c:v>
              </c:pt>
              <c:pt idx="76">
                <c:v>1.9</c:v>
              </c:pt>
              <c:pt idx="77">
                <c:v>1.925</c:v>
              </c:pt>
              <c:pt idx="78">
                <c:v>1.9500000000000002</c:v>
              </c:pt>
              <c:pt idx="79">
                <c:v>1.9750000000000001</c:v>
              </c:pt>
              <c:pt idx="80">
                <c:v>2</c:v>
              </c:pt>
              <c:pt idx="81">
                <c:v>2.0250000000000004</c:v>
              </c:pt>
              <c:pt idx="82">
                <c:v>2.0499999999999998</c:v>
              </c:pt>
              <c:pt idx="83">
                <c:v>2.0749999999999997</c:v>
              </c:pt>
              <c:pt idx="84">
                <c:v>2.1</c:v>
              </c:pt>
              <c:pt idx="85">
                <c:v>2.125</c:v>
              </c:pt>
              <c:pt idx="86">
                <c:v>2.15</c:v>
              </c:pt>
              <c:pt idx="87">
                <c:v>2.1749999999999998</c:v>
              </c:pt>
              <c:pt idx="88">
                <c:v>2.2000000000000002</c:v>
              </c:pt>
              <c:pt idx="89">
                <c:v>2.2250000000000001</c:v>
              </c:pt>
              <c:pt idx="90">
                <c:v>2.25</c:v>
              </c:pt>
              <c:pt idx="91">
                <c:v>2.2749999999999999</c:v>
              </c:pt>
              <c:pt idx="92">
                <c:v>2.3000000000000003</c:v>
              </c:pt>
              <c:pt idx="93">
                <c:v>2.3250000000000002</c:v>
              </c:pt>
              <c:pt idx="94">
                <c:v>2.3499999999999996</c:v>
              </c:pt>
              <c:pt idx="95">
                <c:v>2.375</c:v>
              </c:pt>
              <c:pt idx="96">
                <c:v>2.4</c:v>
              </c:pt>
              <c:pt idx="97">
                <c:v>2.4249999999999998</c:v>
              </c:pt>
              <c:pt idx="98">
                <c:v>2.4500000000000002</c:v>
              </c:pt>
              <c:pt idx="99">
                <c:v>2.4750000000000001</c:v>
              </c:pt>
              <c:pt idx="100">
                <c:v>2.5</c:v>
              </c:pt>
              <c:pt idx="101">
                <c:v>2.5249999999999999</c:v>
              </c:pt>
              <c:pt idx="102">
                <c:v>2.5499999999999998</c:v>
              </c:pt>
              <c:pt idx="103">
                <c:v>2.5750000000000002</c:v>
              </c:pt>
              <c:pt idx="104">
                <c:v>2.6</c:v>
              </c:pt>
              <c:pt idx="105">
                <c:v>2.625</c:v>
              </c:pt>
              <c:pt idx="106">
                <c:v>2.6500000000000004</c:v>
              </c:pt>
              <c:pt idx="107">
                <c:v>2.6750000000000003</c:v>
              </c:pt>
              <c:pt idx="108">
                <c:v>2.7</c:v>
              </c:pt>
              <c:pt idx="109">
                <c:v>2.7250000000000001</c:v>
              </c:pt>
              <c:pt idx="110">
                <c:v>2.75</c:v>
              </c:pt>
              <c:pt idx="111">
                <c:v>2.7750000000000004</c:v>
              </c:pt>
              <c:pt idx="112">
                <c:v>2.8000000000000003</c:v>
              </c:pt>
              <c:pt idx="113">
                <c:v>2.8249999999999997</c:v>
              </c:pt>
              <c:pt idx="114">
                <c:v>2.8499999999999996</c:v>
              </c:pt>
              <c:pt idx="115">
                <c:v>2.875</c:v>
              </c:pt>
              <c:pt idx="116">
                <c:v>2.9</c:v>
              </c:pt>
              <c:pt idx="117">
                <c:v>2.9249999999999998</c:v>
              </c:pt>
              <c:pt idx="118">
                <c:v>2.9499999999999997</c:v>
              </c:pt>
              <c:pt idx="119">
                <c:v>2.9749999999999996</c:v>
              </c:pt>
              <c:pt idx="120">
                <c:v>3</c:v>
              </c:pt>
              <c:pt idx="121">
                <c:v>3.0249999999999999</c:v>
              </c:pt>
              <c:pt idx="122">
                <c:v>3.05</c:v>
              </c:pt>
              <c:pt idx="123">
                <c:v>3.0750000000000002</c:v>
              </c:pt>
              <c:pt idx="124">
                <c:v>3.1</c:v>
              </c:pt>
              <c:pt idx="125">
                <c:v>3.125</c:v>
              </c:pt>
              <c:pt idx="126">
                <c:v>3.15</c:v>
              </c:pt>
              <c:pt idx="127">
                <c:v>3.1749999999999998</c:v>
              </c:pt>
              <c:pt idx="128">
                <c:v>3.2</c:v>
              </c:pt>
              <c:pt idx="129">
                <c:v>3.2250000000000001</c:v>
              </c:pt>
              <c:pt idx="130">
                <c:v>3.25</c:v>
              </c:pt>
              <c:pt idx="131">
                <c:v>3.2750000000000004</c:v>
              </c:pt>
              <c:pt idx="132">
                <c:v>3.3000000000000003</c:v>
              </c:pt>
              <c:pt idx="133">
                <c:v>3.3250000000000002</c:v>
              </c:pt>
              <c:pt idx="134">
                <c:v>3.35</c:v>
              </c:pt>
              <c:pt idx="135">
                <c:v>3.375</c:v>
              </c:pt>
              <c:pt idx="136">
                <c:v>3.4000000000000004</c:v>
              </c:pt>
              <c:pt idx="137">
                <c:v>3.4250000000000003</c:v>
              </c:pt>
              <c:pt idx="138">
                <c:v>3.4499999999999997</c:v>
              </c:pt>
              <c:pt idx="139">
                <c:v>3.4749999999999996</c:v>
              </c:pt>
              <c:pt idx="140">
                <c:v>3.5</c:v>
              </c:pt>
              <c:pt idx="141">
                <c:v>3.5249999999999999</c:v>
              </c:pt>
              <c:pt idx="142">
                <c:v>3.55</c:v>
              </c:pt>
              <c:pt idx="143">
                <c:v>3.5749999999999997</c:v>
              </c:pt>
              <c:pt idx="144">
                <c:v>3.5999999999999996</c:v>
              </c:pt>
              <c:pt idx="145">
                <c:v>3.625</c:v>
              </c:pt>
              <c:pt idx="146">
                <c:v>3.65</c:v>
              </c:pt>
              <c:pt idx="147">
                <c:v>3.6749999999999998</c:v>
              </c:pt>
              <c:pt idx="148">
                <c:v>3.7</c:v>
              </c:pt>
              <c:pt idx="149">
                <c:v>3.7250000000000001</c:v>
              </c:pt>
              <c:pt idx="150">
                <c:v>3.75</c:v>
              </c:pt>
              <c:pt idx="151">
                <c:v>3.7749999999999999</c:v>
              </c:pt>
              <c:pt idx="152">
                <c:v>3.8</c:v>
              </c:pt>
              <c:pt idx="153">
                <c:v>3.8250000000000002</c:v>
              </c:pt>
              <c:pt idx="154">
                <c:v>3.85</c:v>
              </c:pt>
              <c:pt idx="155">
                <c:v>3.875</c:v>
              </c:pt>
              <c:pt idx="156">
                <c:v>3.9000000000000004</c:v>
              </c:pt>
              <c:pt idx="157">
                <c:v>3.9250000000000003</c:v>
              </c:pt>
              <c:pt idx="158">
                <c:v>3.95</c:v>
              </c:pt>
              <c:pt idx="159">
                <c:v>3.9750000000000001</c:v>
              </c:pt>
              <c:pt idx="160">
                <c:v>4</c:v>
              </c:pt>
              <c:pt idx="161">
                <c:v>4.0250000000000004</c:v>
              </c:pt>
              <c:pt idx="162">
                <c:v>4.0500000000000007</c:v>
              </c:pt>
              <c:pt idx="163">
                <c:v>4.0749999999999993</c:v>
              </c:pt>
              <c:pt idx="164">
                <c:v>4.0999999999999996</c:v>
              </c:pt>
              <c:pt idx="165">
                <c:v>4.125</c:v>
              </c:pt>
              <c:pt idx="166">
                <c:v>4.1499999999999995</c:v>
              </c:pt>
              <c:pt idx="167">
                <c:v>4.1749999999999998</c:v>
              </c:pt>
              <c:pt idx="168">
                <c:v>4.2</c:v>
              </c:pt>
              <c:pt idx="169">
                <c:v>4.2249999999999996</c:v>
              </c:pt>
              <c:pt idx="170">
                <c:v>4.25</c:v>
              </c:pt>
              <c:pt idx="171">
                <c:v>4.2750000000000004</c:v>
              </c:pt>
              <c:pt idx="172">
                <c:v>4.3</c:v>
              </c:pt>
              <c:pt idx="173">
                <c:v>4.3250000000000002</c:v>
              </c:pt>
              <c:pt idx="174">
                <c:v>4.3499999999999996</c:v>
              </c:pt>
              <c:pt idx="175">
                <c:v>4.375</c:v>
              </c:pt>
              <c:pt idx="176">
                <c:v>4.4000000000000004</c:v>
              </c:pt>
              <c:pt idx="177">
                <c:v>4.4249999999999998</c:v>
              </c:pt>
              <c:pt idx="178">
                <c:v>4.45</c:v>
              </c:pt>
              <c:pt idx="179">
                <c:v>4.4749999999999996</c:v>
              </c:pt>
              <c:pt idx="180">
                <c:v>4.5</c:v>
              </c:pt>
              <c:pt idx="181">
                <c:v>4.5250000000000004</c:v>
              </c:pt>
              <c:pt idx="182">
                <c:v>4.55</c:v>
              </c:pt>
              <c:pt idx="183">
                <c:v>4.5750000000000002</c:v>
              </c:pt>
              <c:pt idx="184">
                <c:v>4.6000000000000005</c:v>
              </c:pt>
              <c:pt idx="185">
                <c:v>4.625</c:v>
              </c:pt>
              <c:pt idx="186">
                <c:v>4.6500000000000004</c:v>
              </c:pt>
              <c:pt idx="187">
                <c:v>4.6750000000000007</c:v>
              </c:pt>
              <c:pt idx="188">
                <c:v>4.6999999999999993</c:v>
              </c:pt>
              <c:pt idx="189">
                <c:v>4.7249999999999996</c:v>
              </c:pt>
              <c:pt idx="190">
                <c:v>4.75</c:v>
              </c:pt>
              <c:pt idx="191">
                <c:v>4.7749999999999995</c:v>
              </c:pt>
              <c:pt idx="192">
                <c:v>4.8</c:v>
              </c:pt>
              <c:pt idx="193">
                <c:v>4.8250000000000002</c:v>
              </c:pt>
              <c:pt idx="194">
                <c:v>4.8499999999999996</c:v>
              </c:pt>
              <c:pt idx="195">
                <c:v>4.875</c:v>
              </c:pt>
              <c:pt idx="196">
                <c:v>4.9000000000000004</c:v>
              </c:pt>
              <c:pt idx="197">
                <c:v>4.9249999999999998</c:v>
              </c:pt>
              <c:pt idx="198">
                <c:v>4.95</c:v>
              </c:pt>
              <c:pt idx="199">
                <c:v>4.9749999999999996</c:v>
              </c:pt>
              <c:pt idx="200">
                <c:v>5</c:v>
              </c:pt>
            </c:numLit>
          </c:cat>
          <c:val>
            <c:numRef>
              <c:f>'Calculations - Dual'!$BR$5:$BR$105</c:f>
              <c:numCache>
                <c:formatCode>0.0</c:formatCode>
                <c:ptCount val="101"/>
                <c:pt idx="0">
                  <c:v>1.8000000000000001E-6</c:v>
                </c:pt>
                <c:pt idx="1">
                  <c:v>11.250000000000002</c:v>
                </c:pt>
                <c:pt idx="2">
                  <c:v>22.500000000000004</c:v>
                </c:pt>
                <c:pt idx="3">
                  <c:v>33.75</c:v>
                </c:pt>
                <c:pt idx="4">
                  <c:v>45.000000000000007</c:v>
                </c:pt>
                <c:pt idx="5">
                  <c:v>56.250000000000007</c:v>
                </c:pt>
                <c:pt idx="6">
                  <c:v>67.5</c:v>
                </c:pt>
                <c:pt idx="7">
                  <c:v>78.750000000000014</c:v>
                </c:pt>
                <c:pt idx="8">
                  <c:v>90.000000000000014</c:v>
                </c:pt>
                <c:pt idx="9">
                  <c:v>101.25</c:v>
                </c:pt>
                <c:pt idx="10">
                  <c:v>112.50000000000001</c:v>
                </c:pt>
                <c:pt idx="11">
                  <c:v>123.75</c:v>
                </c:pt>
                <c:pt idx="12">
                  <c:v>135</c:v>
                </c:pt>
                <c:pt idx="13">
                  <c:v>146.25000000000003</c:v>
                </c:pt>
                <c:pt idx="14">
                  <c:v>157.50000000000003</c:v>
                </c:pt>
                <c:pt idx="15">
                  <c:v>168.75</c:v>
                </c:pt>
                <c:pt idx="16">
                  <c:v>180.00000000000003</c:v>
                </c:pt>
                <c:pt idx="17">
                  <c:v>191.25000000000003</c:v>
                </c:pt>
                <c:pt idx="18">
                  <c:v>202.5</c:v>
                </c:pt>
                <c:pt idx="19">
                  <c:v>213.75000000000003</c:v>
                </c:pt>
                <c:pt idx="20">
                  <c:v>225.00000000000003</c:v>
                </c:pt>
                <c:pt idx="21">
                  <c:v>236.25000000000003</c:v>
                </c:pt>
                <c:pt idx="22">
                  <c:v>247.5</c:v>
                </c:pt>
                <c:pt idx="23">
                  <c:v>258.75000000000006</c:v>
                </c:pt>
                <c:pt idx="24">
                  <c:v>270</c:v>
                </c:pt>
                <c:pt idx="25">
                  <c:v>281.25</c:v>
                </c:pt>
                <c:pt idx="26">
                  <c:v>292.50000000000006</c:v>
                </c:pt>
                <c:pt idx="27">
                  <c:v>303.75</c:v>
                </c:pt>
                <c:pt idx="28">
                  <c:v>315.00000000000006</c:v>
                </c:pt>
                <c:pt idx="29">
                  <c:v>326.25000000000006</c:v>
                </c:pt>
                <c:pt idx="30">
                  <c:v>337.5</c:v>
                </c:pt>
                <c:pt idx="31">
                  <c:v>348.75</c:v>
                </c:pt>
                <c:pt idx="32">
                  <c:v>360.00000000000006</c:v>
                </c:pt>
                <c:pt idx="33">
                  <c:v>371.25000000000006</c:v>
                </c:pt>
                <c:pt idx="34">
                  <c:v>382.50000000000006</c:v>
                </c:pt>
                <c:pt idx="35">
                  <c:v>393.75</c:v>
                </c:pt>
                <c:pt idx="36">
                  <c:v>405</c:v>
                </c:pt>
                <c:pt idx="37">
                  <c:v>416.25</c:v>
                </c:pt>
                <c:pt idx="38">
                  <c:v>427.50000000000006</c:v>
                </c:pt>
                <c:pt idx="39">
                  <c:v>438.75000000000006</c:v>
                </c:pt>
                <c:pt idx="40">
                  <c:v>450.00000000000006</c:v>
                </c:pt>
                <c:pt idx="41">
                  <c:v>461.25</c:v>
                </c:pt>
                <c:pt idx="42">
                  <c:v>472.50000000000006</c:v>
                </c:pt>
                <c:pt idx="43">
                  <c:v>483.75</c:v>
                </c:pt>
                <c:pt idx="44">
                  <c:v>495</c:v>
                </c:pt>
                <c:pt idx="45">
                  <c:v>506.25000000000011</c:v>
                </c:pt>
                <c:pt idx="46">
                  <c:v>517.50000000000011</c:v>
                </c:pt>
                <c:pt idx="47">
                  <c:v>528.74999999999989</c:v>
                </c:pt>
                <c:pt idx="48">
                  <c:v>540</c:v>
                </c:pt>
                <c:pt idx="49">
                  <c:v>551.25</c:v>
                </c:pt>
                <c:pt idx="50">
                  <c:v>562.5</c:v>
                </c:pt>
                <c:pt idx="51">
                  <c:v>573.75</c:v>
                </c:pt>
                <c:pt idx="52">
                  <c:v>585.00000000000011</c:v>
                </c:pt>
                <c:pt idx="53">
                  <c:v>596.25000000000011</c:v>
                </c:pt>
                <c:pt idx="54">
                  <c:v>607.5</c:v>
                </c:pt>
                <c:pt idx="55">
                  <c:v>618.75</c:v>
                </c:pt>
                <c:pt idx="56">
                  <c:v>630.00000000000011</c:v>
                </c:pt>
                <c:pt idx="57">
                  <c:v>641.25</c:v>
                </c:pt>
                <c:pt idx="58">
                  <c:v>652.50000000000011</c:v>
                </c:pt>
                <c:pt idx="59">
                  <c:v>663.75000000000011</c:v>
                </c:pt>
                <c:pt idx="60">
                  <c:v>675</c:v>
                </c:pt>
                <c:pt idx="61">
                  <c:v>686.25</c:v>
                </c:pt>
                <c:pt idx="62">
                  <c:v>697.5</c:v>
                </c:pt>
                <c:pt idx="63">
                  <c:v>708.75000000000011</c:v>
                </c:pt>
                <c:pt idx="64">
                  <c:v>720.00000000000011</c:v>
                </c:pt>
                <c:pt idx="65">
                  <c:v>731.25000000000011</c:v>
                </c:pt>
                <c:pt idx="66">
                  <c:v>742.50000000000011</c:v>
                </c:pt>
                <c:pt idx="67">
                  <c:v>753.75000000000011</c:v>
                </c:pt>
                <c:pt idx="68">
                  <c:v>765.00000000000011</c:v>
                </c:pt>
                <c:pt idx="69">
                  <c:v>776.25</c:v>
                </c:pt>
                <c:pt idx="70">
                  <c:v>787.5</c:v>
                </c:pt>
                <c:pt idx="71">
                  <c:v>798.75000000000011</c:v>
                </c:pt>
                <c:pt idx="72">
                  <c:v>810</c:v>
                </c:pt>
                <c:pt idx="73">
                  <c:v>821.25</c:v>
                </c:pt>
                <c:pt idx="74">
                  <c:v>832.5</c:v>
                </c:pt>
                <c:pt idx="75">
                  <c:v>843.75</c:v>
                </c:pt>
                <c:pt idx="76">
                  <c:v>855.00000000000011</c:v>
                </c:pt>
                <c:pt idx="77">
                  <c:v>866.25000000000011</c:v>
                </c:pt>
                <c:pt idx="78">
                  <c:v>877.50000000000011</c:v>
                </c:pt>
                <c:pt idx="79">
                  <c:v>888.75000000000011</c:v>
                </c:pt>
                <c:pt idx="80">
                  <c:v>900.00000000000011</c:v>
                </c:pt>
                <c:pt idx="81">
                  <c:v>911.25000000000011</c:v>
                </c:pt>
                <c:pt idx="82">
                  <c:v>922.5</c:v>
                </c:pt>
                <c:pt idx="83">
                  <c:v>933.75</c:v>
                </c:pt>
                <c:pt idx="84">
                  <c:v>945.00000000000011</c:v>
                </c:pt>
                <c:pt idx="85">
                  <c:v>956.25</c:v>
                </c:pt>
                <c:pt idx="86">
                  <c:v>967.5</c:v>
                </c:pt>
                <c:pt idx="87">
                  <c:v>978.75</c:v>
                </c:pt>
                <c:pt idx="88">
                  <c:v>990</c:v>
                </c:pt>
                <c:pt idx="89">
                  <c:v>1001.25</c:v>
                </c:pt>
                <c:pt idx="90">
                  <c:v>1012.5000000000002</c:v>
                </c:pt>
                <c:pt idx="91">
                  <c:v>1023.7500000000001</c:v>
                </c:pt>
                <c:pt idx="92">
                  <c:v>1035.0000000000002</c:v>
                </c:pt>
                <c:pt idx="93">
                  <c:v>1046.2500000000002</c:v>
                </c:pt>
                <c:pt idx="94">
                  <c:v>1057.4999999999998</c:v>
                </c:pt>
                <c:pt idx="95">
                  <c:v>1068.75</c:v>
                </c:pt>
                <c:pt idx="96">
                  <c:v>1080</c:v>
                </c:pt>
                <c:pt idx="97">
                  <c:v>1091.25</c:v>
                </c:pt>
                <c:pt idx="98">
                  <c:v>1102.5</c:v>
                </c:pt>
                <c:pt idx="99">
                  <c:v>1113.75</c:v>
                </c:pt>
                <c:pt idx="100">
                  <c:v>1125</c:v>
                </c:pt>
              </c:numCache>
            </c:numRef>
          </c:val>
          <c:smooth val="0"/>
          <c:extLst>
            <c:ext xmlns:c16="http://schemas.microsoft.com/office/drawing/2014/chart" uri="{C3380CC4-5D6E-409C-BE32-E72D297353CC}">
              <c16:uniqueId val="{00000001-F70F-43A3-985B-8D7256906BEC}"/>
            </c:ext>
          </c:extLst>
        </c:ser>
        <c:ser>
          <c:idx val="3"/>
          <c:order val="2"/>
          <c:tx>
            <c:strRef>
              <c:f>'Calculations - Dual'!$BH$3</c:f>
              <c:strCache>
                <c:ptCount val="1"/>
                <c:pt idx="0">
                  <c:v>IC Loss</c:v>
                </c:pt>
              </c:strCache>
            </c:strRef>
          </c:tx>
          <c:spPr>
            <a:ln w="38100">
              <a:solidFill>
                <a:srgbClr val="800080"/>
              </a:solidFill>
              <a:prstDash val="dash"/>
            </a:ln>
          </c:spPr>
          <c:marker>
            <c:symbol val="none"/>
          </c:marker>
          <c:cat>
            <c:numLit>
              <c:formatCode>General</c:formatCode>
              <c:ptCount val="201"/>
              <c:pt idx="0">
                <c:v>0</c:v>
              </c:pt>
              <c:pt idx="1">
                <c:v>2.5000000000000001E-2</c:v>
              </c:pt>
              <c:pt idx="2">
                <c:v>0.05</c:v>
              </c:pt>
              <c:pt idx="3">
                <c:v>7.4999999999999997E-2</c:v>
              </c:pt>
              <c:pt idx="4">
                <c:v>0.1</c:v>
              </c:pt>
              <c:pt idx="5">
                <c:v>0.125</c:v>
              </c:pt>
              <c:pt idx="6">
                <c:v>0.15</c:v>
              </c:pt>
              <c:pt idx="7">
                <c:v>0.17500000000000002</c:v>
              </c:pt>
              <c:pt idx="8">
                <c:v>0.2</c:v>
              </c:pt>
              <c:pt idx="9">
                <c:v>0.22499999999999998</c:v>
              </c:pt>
              <c:pt idx="10">
                <c:v>0.25</c:v>
              </c:pt>
              <c:pt idx="11">
                <c:v>0.27500000000000002</c:v>
              </c:pt>
              <c:pt idx="12">
                <c:v>0.3</c:v>
              </c:pt>
              <c:pt idx="13">
                <c:v>0.32500000000000001</c:v>
              </c:pt>
              <c:pt idx="14">
                <c:v>0.35000000000000003</c:v>
              </c:pt>
              <c:pt idx="15">
                <c:v>0.375</c:v>
              </c:pt>
              <c:pt idx="16">
                <c:v>0.4</c:v>
              </c:pt>
              <c:pt idx="17">
                <c:v>0.42500000000000004</c:v>
              </c:pt>
              <c:pt idx="18">
                <c:v>0.44999999999999996</c:v>
              </c:pt>
              <c:pt idx="19">
                <c:v>0.47499999999999998</c:v>
              </c:pt>
              <c:pt idx="20">
                <c:v>0.5</c:v>
              </c:pt>
              <c:pt idx="21">
                <c:v>0.52500000000000002</c:v>
              </c:pt>
              <c:pt idx="22">
                <c:v>0.55000000000000004</c:v>
              </c:pt>
              <c:pt idx="23">
                <c:v>0.57500000000000007</c:v>
              </c:pt>
              <c:pt idx="24">
                <c:v>0.6</c:v>
              </c:pt>
              <c:pt idx="25">
                <c:v>0.625</c:v>
              </c:pt>
              <c:pt idx="26">
                <c:v>0.65</c:v>
              </c:pt>
              <c:pt idx="27">
                <c:v>0.67500000000000004</c:v>
              </c:pt>
              <c:pt idx="28">
                <c:v>0.70000000000000007</c:v>
              </c:pt>
              <c:pt idx="29">
                <c:v>0.72499999999999998</c:v>
              </c:pt>
              <c:pt idx="30">
                <c:v>0.75</c:v>
              </c:pt>
              <c:pt idx="31">
                <c:v>0.77500000000000002</c:v>
              </c:pt>
              <c:pt idx="32">
                <c:v>0.8</c:v>
              </c:pt>
              <c:pt idx="33">
                <c:v>0.82500000000000007</c:v>
              </c:pt>
              <c:pt idx="34">
                <c:v>0.85000000000000009</c:v>
              </c:pt>
              <c:pt idx="35">
                <c:v>0.875</c:v>
              </c:pt>
              <c:pt idx="36">
                <c:v>0.89999999999999991</c:v>
              </c:pt>
              <c:pt idx="37">
                <c:v>0.92500000000000004</c:v>
              </c:pt>
              <c:pt idx="38">
                <c:v>0.95</c:v>
              </c:pt>
              <c:pt idx="39">
                <c:v>0.97500000000000009</c:v>
              </c:pt>
              <c:pt idx="40">
                <c:v>1</c:v>
              </c:pt>
              <c:pt idx="41">
                <c:v>1.0249999999999999</c:v>
              </c:pt>
              <c:pt idx="42">
                <c:v>1.05</c:v>
              </c:pt>
              <c:pt idx="43">
                <c:v>1.075</c:v>
              </c:pt>
              <c:pt idx="44">
                <c:v>1.1000000000000001</c:v>
              </c:pt>
              <c:pt idx="45">
                <c:v>1.125</c:v>
              </c:pt>
              <c:pt idx="46">
                <c:v>1.1500000000000001</c:v>
              </c:pt>
              <c:pt idx="47">
                <c:v>1.1749999999999998</c:v>
              </c:pt>
              <c:pt idx="48">
                <c:v>1.2</c:v>
              </c:pt>
              <c:pt idx="49">
                <c:v>1.2250000000000001</c:v>
              </c:pt>
              <c:pt idx="50">
                <c:v>1.25</c:v>
              </c:pt>
              <c:pt idx="51">
                <c:v>1.2749999999999999</c:v>
              </c:pt>
              <c:pt idx="52">
                <c:v>1.3</c:v>
              </c:pt>
              <c:pt idx="53">
                <c:v>1.3250000000000002</c:v>
              </c:pt>
              <c:pt idx="54">
                <c:v>1.35</c:v>
              </c:pt>
              <c:pt idx="55">
                <c:v>1.375</c:v>
              </c:pt>
              <c:pt idx="56">
                <c:v>1.4000000000000001</c:v>
              </c:pt>
              <c:pt idx="57">
                <c:v>1.4249999999999998</c:v>
              </c:pt>
              <c:pt idx="58">
                <c:v>1.45</c:v>
              </c:pt>
              <c:pt idx="59">
                <c:v>1.4749999999999999</c:v>
              </c:pt>
              <c:pt idx="60">
                <c:v>1.5</c:v>
              </c:pt>
              <c:pt idx="61">
                <c:v>1.5249999999999999</c:v>
              </c:pt>
              <c:pt idx="62">
                <c:v>1.55</c:v>
              </c:pt>
              <c:pt idx="63">
                <c:v>1.575</c:v>
              </c:pt>
              <c:pt idx="64">
                <c:v>1.6</c:v>
              </c:pt>
              <c:pt idx="65">
                <c:v>1.625</c:v>
              </c:pt>
              <c:pt idx="66">
                <c:v>1.6500000000000001</c:v>
              </c:pt>
              <c:pt idx="67">
                <c:v>1.675</c:v>
              </c:pt>
              <c:pt idx="68">
                <c:v>1.7000000000000002</c:v>
              </c:pt>
              <c:pt idx="69">
                <c:v>1.7249999999999999</c:v>
              </c:pt>
              <c:pt idx="70">
                <c:v>1.75</c:v>
              </c:pt>
              <c:pt idx="71">
                <c:v>1.7749999999999999</c:v>
              </c:pt>
              <c:pt idx="72">
                <c:v>1.7999999999999998</c:v>
              </c:pt>
              <c:pt idx="73">
                <c:v>1.825</c:v>
              </c:pt>
              <c:pt idx="74">
                <c:v>1.85</c:v>
              </c:pt>
              <c:pt idx="75">
                <c:v>1.875</c:v>
              </c:pt>
              <c:pt idx="76">
                <c:v>1.9</c:v>
              </c:pt>
              <c:pt idx="77">
                <c:v>1.925</c:v>
              </c:pt>
              <c:pt idx="78">
                <c:v>1.9500000000000002</c:v>
              </c:pt>
              <c:pt idx="79">
                <c:v>1.9750000000000001</c:v>
              </c:pt>
              <c:pt idx="80">
                <c:v>2</c:v>
              </c:pt>
              <c:pt idx="81">
                <c:v>2.0250000000000004</c:v>
              </c:pt>
              <c:pt idx="82">
                <c:v>2.0499999999999998</c:v>
              </c:pt>
              <c:pt idx="83">
                <c:v>2.0749999999999997</c:v>
              </c:pt>
              <c:pt idx="84">
                <c:v>2.1</c:v>
              </c:pt>
              <c:pt idx="85">
                <c:v>2.125</c:v>
              </c:pt>
              <c:pt idx="86">
                <c:v>2.15</c:v>
              </c:pt>
              <c:pt idx="87">
                <c:v>2.1749999999999998</c:v>
              </c:pt>
              <c:pt idx="88">
                <c:v>2.2000000000000002</c:v>
              </c:pt>
              <c:pt idx="89">
                <c:v>2.2250000000000001</c:v>
              </c:pt>
              <c:pt idx="90">
                <c:v>2.25</c:v>
              </c:pt>
              <c:pt idx="91">
                <c:v>2.2749999999999999</c:v>
              </c:pt>
              <c:pt idx="92">
                <c:v>2.3000000000000003</c:v>
              </c:pt>
              <c:pt idx="93">
                <c:v>2.3250000000000002</c:v>
              </c:pt>
              <c:pt idx="94">
                <c:v>2.3499999999999996</c:v>
              </c:pt>
              <c:pt idx="95">
                <c:v>2.375</c:v>
              </c:pt>
              <c:pt idx="96">
                <c:v>2.4</c:v>
              </c:pt>
              <c:pt idx="97">
                <c:v>2.4249999999999998</c:v>
              </c:pt>
              <c:pt idx="98">
                <c:v>2.4500000000000002</c:v>
              </c:pt>
              <c:pt idx="99">
                <c:v>2.4750000000000001</c:v>
              </c:pt>
              <c:pt idx="100">
                <c:v>2.5</c:v>
              </c:pt>
              <c:pt idx="101">
                <c:v>2.5249999999999999</c:v>
              </c:pt>
              <c:pt idx="102">
                <c:v>2.5499999999999998</c:v>
              </c:pt>
              <c:pt idx="103">
                <c:v>2.5750000000000002</c:v>
              </c:pt>
              <c:pt idx="104">
                <c:v>2.6</c:v>
              </c:pt>
              <c:pt idx="105">
                <c:v>2.625</c:v>
              </c:pt>
              <c:pt idx="106">
                <c:v>2.6500000000000004</c:v>
              </c:pt>
              <c:pt idx="107">
                <c:v>2.6750000000000003</c:v>
              </c:pt>
              <c:pt idx="108">
                <c:v>2.7</c:v>
              </c:pt>
              <c:pt idx="109">
                <c:v>2.7250000000000001</c:v>
              </c:pt>
              <c:pt idx="110">
                <c:v>2.75</c:v>
              </c:pt>
              <c:pt idx="111">
                <c:v>2.7750000000000004</c:v>
              </c:pt>
              <c:pt idx="112">
                <c:v>2.8000000000000003</c:v>
              </c:pt>
              <c:pt idx="113">
                <c:v>2.8249999999999997</c:v>
              </c:pt>
              <c:pt idx="114">
                <c:v>2.8499999999999996</c:v>
              </c:pt>
              <c:pt idx="115">
                <c:v>2.875</c:v>
              </c:pt>
              <c:pt idx="116">
                <c:v>2.9</c:v>
              </c:pt>
              <c:pt idx="117">
                <c:v>2.9249999999999998</c:v>
              </c:pt>
              <c:pt idx="118">
                <c:v>2.9499999999999997</c:v>
              </c:pt>
              <c:pt idx="119">
                <c:v>2.9749999999999996</c:v>
              </c:pt>
              <c:pt idx="120">
                <c:v>3</c:v>
              </c:pt>
              <c:pt idx="121">
                <c:v>3.0249999999999999</c:v>
              </c:pt>
              <c:pt idx="122">
                <c:v>3.05</c:v>
              </c:pt>
              <c:pt idx="123">
                <c:v>3.0750000000000002</c:v>
              </c:pt>
              <c:pt idx="124">
                <c:v>3.1</c:v>
              </c:pt>
              <c:pt idx="125">
                <c:v>3.125</c:v>
              </c:pt>
              <c:pt idx="126">
                <c:v>3.15</c:v>
              </c:pt>
              <c:pt idx="127">
                <c:v>3.1749999999999998</c:v>
              </c:pt>
              <c:pt idx="128">
                <c:v>3.2</c:v>
              </c:pt>
              <c:pt idx="129">
                <c:v>3.2250000000000001</c:v>
              </c:pt>
              <c:pt idx="130">
                <c:v>3.25</c:v>
              </c:pt>
              <c:pt idx="131">
                <c:v>3.2750000000000004</c:v>
              </c:pt>
              <c:pt idx="132">
                <c:v>3.3000000000000003</c:v>
              </c:pt>
              <c:pt idx="133">
                <c:v>3.3250000000000002</c:v>
              </c:pt>
              <c:pt idx="134">
                <c:v>3.35</c:v>
              </c:pt>
              <c:pt idx="135">
                <c:v>3.375</c:v>
              </c:pt>
              <c:pt idx="136">
                <c:v>3.4000000000000004</c:v>
              </c:pt>
              <c:pt idx="137">
                <c:v>3.4250000000000003</c:v>
              </c:pt>
              <c:pt idx="138">
                <c:v>3.4499999999999997</c:v>
              </c:pt>
              <c:pt idx="139">
                <c:v>3.4749999999999996</c:v>
              </c:pt>
              <c:pt idx="140">
                <c:v>3.5</c:v>
              </c:pt>
              <c:pt idx="141">
                <c:v>3.5249999999999999</c:v>
              </c:pt>
              <c:pt idx="142">
                <c:v>3.55</c:v>
              </c:pt>
              <c:pt idx="143">
                <c:v>3.5749999999999997</c:v>
              </c:pt>
              <c:pt idx="144">
                <c:v>3.5999999999999996</c:v>
              </c:pt>
              <c:pt idx="145">
                <c:v>3.625</c:v>
              </c:pt>
              <c:pt idx="146">
                <c:v>3.65</c:v>
              </c:pt>
              <c:pt idx="147">
                <c:v>3.6749999999999998</c:v>
              </c:pt>
              <c:pt idx="148">
                <c:v>3.7</c:v>
              </c:pt>
              <c:pt idx="149">
                <c:v>3.7250000000000001</c:v>
              </c:pt>
              <c:pt idx="150">
                <c:v>3.75</c:v>
              </c:pt>
              <c:pt idx="151">
                <c:v>3.7749999999999999</c:v>
              </c:pt>
              <c:pt idx="152">
                <c:v>3.8</c:v>
              </c:pt>
              <c:pt idx="153">
                <c:v>3.8250000000000002</c:v>
              </c:pt>
              <c:pt idx="154">
                <c:v>3.85</c:v>
              </c:pt>
              <c:pt idx="155">
                <c:v>3.875</c:v>
              </c:pt>
              <c:pt idx="156">
                <c:v>3.9000000000000004</c:v>
              </c:pt>
              <c:pt idx="157">
                <c:v>3.9250000000000003</c:v>
              </c:pt>
              <c:pt idx="158">
                <c:v>3.95</c:v>
              </c:pt>
              <c:pt idx="159">
                <c:v>3.9750000000000001</c:v>
              </c:pt>
              <c:pt idx="160">
                <c:v>4</c:v>
              </c:pt>
              <c:pt idx="161">
                <c:v>4.0250000000000004</c:v>
              </c:pt>
              <c:pt idx="162">
                <c:v>4.0500000000000007</c:v>
              </c:pt>
              <c:pt idx="163">
                <c:v>4.0749999999999993</c:v>
              </c:pt>
              <c:pt idx="164">
                <c:v>4.0999999999999996</c:v>
              </c:pt>
              <c:pt idx="165">
                <c:v>4.125</c:v>
              </c:pt>
              <c:pt idx="166">
                <c:v>4.1499999999999995</c:v>
              </c:pt>
              <c:pt idx="167">
                <c:v>4.1749999999999998</c:v>
              </c:pt>
              <c:pt idx="168">
                <c:v>4.2</c:v>
              </c:pt>
              <c:pt idx="169">
                <c:v>4.2249999999999996</c:v>
              </c:pt>
              <c:pt idx="170">
                <c:v>4.25</c:v>
              </c:pt>
              <c:pt idx="171">
                <c:v>4.2750000000000004</c:v>
              </c:pt>
              <c:pt idx="172">
                <c:v>4.3</c:v>
              </c:pt>
              <c:pt idx="173">
                <c:v>4.3250000000000002</c:v>
              </c:pt>
              <c:pt idx="174">
                <c:v>4.3499999999999996</c:v>
              </c:pt>
              <c:pt idx="175">
                <c:v>4.375</c:v>
              </c:pt>
              <c:pt idx="176">
                <c:v>4.4000000000000004</c:v>
              </c:pt>
              <c:pt idx="177">
                <c:v>4.4249999999999998</c:v>
              </c:pt>
              <c:pt idx="178">
                <c:v>4.45</c:v>
              </c:pt>
              <c:pt idx="179">
                <c:v>4.4749999999999996</c:v>
              </c:pt>
              <c:pt idx="180">
                <c:v>4.5</c:v>
              </c:pt>
              <c:pt idx="181">
                <c:v>4.5250000000000004</c:v>
              </c:pt>
              <c:pt idx="182">
                <c:v>4.55</c:v>
              </c:pt>
              <c:pt idx="183">
                <c:v>4.5750000000000002</c:v>
              </c:pt>
              <c:pt idx="184">
                <c:v>4.6000000000000005</c:v>
              </c:pt>
              <c:pt idx="185">
                <c:v>4.625</c:v>
              </c:pt>
              <c:pt idx="186">
                <c:v>4.6500000000000004</c:v>
              </c:pt>
              <c:pt idx="187">
                <c:v>4.6750000000000007</c:v>
              </c:pt>
              <c:pt idx="188">
                <c:v>4.6999999999999993</c:v>
              </c:pt>
              <c:pt idx="189">
                <c:v>4.7249999999999996</c:v>
              </c:pt>
              <c:pt idx="190">
                <c:v>4.75</c:v>
              </c:pt>
              <c:pt idx="191">
                <c:v>4.7749999999999995</c:v>
              </c:pt>
              <c:pt idx="192">
                <c:v>4.8</c:v>
              </c:pt>
              <c:pt idx="193">
                <c:v>4.8250000000000002</c:v>
              </c:pt>
              <c:pt idx="194">
                <c:v>4.8499999999999996</c:v>
              </c:pt>
              <c:pt idx="195">
                <c:v>4.875</c:v>
              </c:pt>
              <c:pt idx="196">
                <c:v>4.9000000000000004</c:v>
              </c:pt>
              <c:pt idx="197">
                <c:v>4.9249999999999998</c:v>
              </c:pt>
              <c:pt idx="198">
                <c:v>4.95</c:v>
              </c:pt>
              <c:pt idx="199">
                <c:v>4.9749999999999996</c:v>
              </c:pt>
              <c:pt idx="200">
                <c:v>5</c:v>
              </c:pt>
            </c:numLit>
          </c:cat>
          <c:val>
            <c:numRef>
              <c:f>'Calculations - Dual'!$BM$5:$BM$105</c:f>
              <c:numCache>
                <c:formatCode>0.0</c:formatCode>
                <c:ptCount val="101"/>
                <c:pt idx="0">
                  <c:v>9.9331708161111116</c:v>
                </c:pt>
                <c:pt idx="1">
                  <c:v>46.47169535142892</c:v>
                </c:pt>
                <c:pt idx="2">
                  <c:v>88.593390702857846</c:v>
                </c:pt>
                <c:pt idx="3">
                  <c:v>130.71508605428673</c:v>
                </c:pt>
                <c:pt idx="4">
                  <c:v>172.83678140571567</c:v>
                </c:pt>
                <c:pt idx="5">
                  <c:v>200.30977776963391</c:v>
                </c:pt>
                <c:pt idx="6">
                  <c:v>206.74008679789026</c:v>
                </c:pt>
                <c:pt idx="7">
                  <c:v>212.83186261332119</c:v>
                </c:pt>
                <c:pt idx="8">
                  <c:v>218.6680376229144</c:v>
                </c:pt>
                <c:pt idx="9">
                  <c:v>224.30545504180782</c:v>
                </c:pt>
                <c:pt idx="10">
                  <c:v>229.7849491525572</c:v>
                </c:pt>
                <c:pt idx="11">
                  <c:v>235.13693003203903</c:v>
                </c:pt>
                <c:pt idx="12">
                  <c:v>240.38470019326715</c:v>
                </c:pt>
                <c:pt idx="13">
                  <c:v>245.54653425152759</c:v>
                </c:pt>
                <c:pt idx="14">
                  <c:v>250.6370412801453</c:v>
                </c:pt>
                <c:pt idx="15">
                  <c:v>255.66809001139356</c:v>
                </c:pt>
                <c:pt idx="16">
                  <c:v>260.64945643144284</c:v>
                </c:pt>
                <c:pt idx="17">
                  <c:v>265.58928887212033</c:v>
                </c:pt>
                <c:pt idx="18">
                  <c:v>270.49444951635917</c:v>
                </c:pt>
                <c:pt idx="19">
                  <c:v>275.37077004380018</c:v>
                </c:pt>
                <c:pt idx="20">
                  <c:v>280.22324627702119</c:v>
                </c:pt>
                <c:pt idx="21">
                  <c:v>285.0561886275359</c:v>
                </c:pt>
                <c:pt idx="22">
                  <c:v>289.87333994828975</c:v>
                </c:pt>
                <c:pt idx="23">
                  <c:v>294.67796897202339</c:v>
                </c:pt>
                <c:pt idx="24">
                  <c:v>299.472945202647</c:v>
                </c:pt>
                <c:pt idx="25">
                  <c:v>304.26079953596292</c:v>
                </c:pt>
                <c:pt idx="26">
                  <c:v>309.04377377205924</c:v>
                </c:pt>
                <c:pt idx="27">
                  <c:v>313.8238613889236</c:v>
                </c:pt>
                <c:pt idx="28">
                  <c:v>318.60284137433706</c:v>
                </c:pt>
                <c:pt idx="29">
                  <c:v>323.38230649410389</c:v>
                </c:pt>
                <c:pt idx="30">
                  <c:v>328.16368706419502</c:v>
                </c:pt>
                <c:pt idx="31">
                  <c:v>332.94827106169384</c:v>
                </c:pt>
                <c:pt idx="32">
                  <c:v>337.73722123318896</c:v>
                </c:pt>
                <c:pt idx="33">
                  <c:v>342.53158972446448</c:v>
                </c:pt>
                <c:pt idx="34">
                  <c:v>347.33233065129065</c:v>
                </c:pt>
                <c:pt idx="35">
                  <c:v>352.14031095013871</c:v>
                </c:pt>
                <c:pt idx="36">
                  <c:v>356.95631978408909</c:v>
                </c:pt>
                <c:pt idx="37">
                  <c:v>361.78107672897858</c:v>
                </c:pt>
                <c:pt idx="38">
                  <c:v>366.61523892484024</c:v>
                </c:pt>
                <c:pt idx="39">
                  <c:v>371.45940734565403</c:v>
                </c:pt>
                <c:pt idx="40">
                  <c:v>376.31413231459061</c:v>
                </c:pt>
                <c:pt idx="41">
                  <c:v>381.17991837097981</c:v>
                </c:pt>
                <c:pt idx="42">
                  <c:v>386.05722857815221</c:v>
                </c:pt>
                <c:pt idx="43">
                  <c:v>390.94648834729179</c:v>
                </c:pt>
                <c:pt idx="44">
                  <c:v>395.84808884089932</c:v>
                </c:pt>
                <c:pt idx="45">
                  <c:v>400.76239000991501</c:v>
                </c:pt>
                <c:pt idx="46">
                  <c:v>405.68972331059877</c:v>
                </c:pt>
                <c:pt idx="47">
                  <c:v>410.63039414064076</c:v>
                </c:pt>
                <c:pt idx="48">
                  <c:v>415.58468402840714</c:v>
                </c:pt>
                <c:pt idx="49">
                  <c:v>420.55285260454286</c:v>
                </c:pt>
                <c:pt idx="50">
                  <c:v>425.53513938119897</c:v>
                </c:pt>
                <c:pt idx="51">
                  <c:v>430.53176536079923</c:v>
                </c:pt>
                <c:pt idx="52">
                  <c:v>435.54293449339758</c:v>
                </c:pt>
                <c:pt idx="53">
                  <c:v>440.56883499925033</c:v>
                </c:pt>
                <c:pt idx="54">
                  <c:v>445.60964057113688</c:v>
                </c:pt>
                <c:pt idx="55">
                  <c:v>450.66551146916703</c:v>
                </c:pt>
                <c:pt idx="56">
                  <c:v>455.73659551927454</c:v>
                </c:pt>
                <c:pt idx="57">
                  <c:v>460.82302902525981</c:v>
                </c:pt>
                <c:pt idx="58">
                  <c:v>465.92493760308889</c:v>
                </c:pt>
                <c:pt idx="59">
                  <c:v>471.0424369451564</c:v>
                </c:pt>
                <c:pt idx="60">
                  <c:v>476.17563352134181</c:v>
                </c:pt>
                <c:pt idx="61">
                  <c:v>481.32462522293133</c:v>
                </c:pt>
                <c:pt idx="62">
                  <c:v>486.48950195481041</c:v>
                </c:pt>
                <c:pt idx="63">
                  <c:v>491.67034618074229</c:v>
                </c:pt>
                <c:pt idx="64">
                  <c:v>496.86723342604506</c:v>
                </c:pt>
                <c:pt idx="65">
                  <c:v>502.08023274151702</c:v>
                </c:pt>
                <c:pt idx="66">
                  <c:v>507.30940713207173</c:v>
                </c:pt>
                <c:pt idx="67">
                  <c:v>512.55481395318282</c:v>
                </c:pt>
                <c:pt idx="68">
                  <c:v>517.81650527793488</c:v>
                </c:pt>
                <c:pt idx="69">
                  <c:v>523.0945282371946</c:v>
                </c:pt>
                <c:pt idx="70">
                  <c:v>528.38892533517333</c:v>
                </c:pt>
                <c:pt idx="71">
                  <c:v>533.69973474243125</c:v>
                </c:pt>
                <c:pt idx="72">
                  <c:v>539.02699056818392</c:v>
                </c:pt>
                <c:pt idx="73">
                  <c:v>544.37072311358645</c:v>
                </c:pt>
                <c:pt idx="74">
                  <c:v>549.73095910752943</c:v>
                </c:pt>
                <c:pt idx="75">
                  <c:v>555.10772192632726</c:v>
                </c:pt>
                <c:pt idx="76">
                  <c:v>560.50103179856546</c:v>
                </c:pt>
                <c:pt idx="77">
                  <c:v>565.91090599625181</c:v>
                </c:pt>
                <c:pt idx="78">
                  <c:v>571.33735901332147</c:v>
                </c:pt>
                <c:pt idx="79">
                  <c:v>576.78040273245335</c:v>
                </c:pt>
                <c:pt idx="80">
                  <c:v>582.2400465810689</c:v>
                </c:pt>
                <c:pt idx="81">
                  <c:v>587.71629767731736</c:v>
                </c:pt>
                <c:pt idx="82">
                  <c:v>593.20916096677558</c:v>
                </c:pt>
                <c:pt idx="83">
                  <c:v>598.71863935053921</c:v>
                </c:pt>
                <c:pt idx="84">
                  <c:v>604.24473380531686</c:v>
                </c:pt>
                <c:pt idx="85">
                  <c:v>609.78744349609678</c:v>
                </c:pt>
                <c:pt idx="86">
                  <c:v>615.34676588190723</c:v>
                </c:pt>
                <c:pt idx="87">
                  <c:v>620.92269681514722</c:v>
                </c:pt>
                <c:pt idx="88">
                  <c:v>626.51523063493175</c:v>
                </c:pt>
                <c:pt idx="89">
                  <c:v>632.12436025485988</c:v>
                </c:pt>
                <c:pt idx="90">
                  <c:v>637.75007724557599</c:v>
                </c:pt>
                <c:pt idx="91">
                  <c:v>643.39237191247992</c:v>
                </c:pt>
                <c:pt idx="92">
                  <c:v>649.05123336889869</c:v>
                </c:pt>
                <c:pt idx="93">
                  <c:v>654.72664960502402</c:v>
                </c:pt>
                <c:pt idx="94">
                  <c:v>660.4186075528836</c:v>
                </c:pt>
                <c:pt idx="95">
                  <c:v>666.12709314760855</c:v>
                </c:pt>
                <c:pt idx="96">
                  <c:v>671.852091385226</c:v>
                </c:pt>
                <c:pt idx="97">
                  <c:v>677.593586377203</c:v>
                </c:pt>
                <c:pt idx="98">
                  <c:v>712.38989806354925</c:v>
                </c:pt>
                <c:pt idx="99">
                  <c:v>718.59638329409768</c:v>
                </c:pt>
                <c:pt idx="100">
                  <c:v>723.81331554032249</c:v>
                </c:pt>
              </c:numCache>
            </c:numRef>
          </c:val>
          <c:smooth val="0"/>
          <c:extLst>
            <c:ext xmlns:c16="http://schemas.microsoft.com/office/drawing/2014/chart" uri="{C3380CC4-5D6E-409C-BE32-E72D297353CC}">
              <c16:uniqueId val="{00000002-F70F-43A3-985B-8D7256906BEC}"/>
            </c:ext>
          </c:extLst>
        </c:ser>
        <c:ser>
          <c:idx val="1"/>
          <c:order val="3"/>
          <c:tx>
            <c:strRef>
              <c:f>'Calculations - Dual'!$BS$3</c:f>
              <c:strCache>
                <c:ptCount val="1"/>
                <c:pt idx="0">
                  <c:v>Transformer Loss</c:v>
                </c:pt>
              </c:strCache>
            </c:strRef>
          </c:tx>
          <c:spPr>
            <a:ln w="38100">
              <a:solidFill>
                <a:srgbClr val="002060"/>
              </a:solidFill>
              <a:prstDash val="sysDot"/>
            </a:ln>
          </c:spPr>
          <c:marker>
            <c:symbol val="none"/>
          </c:marker>
          <c:cat>
            <c:numLit>
              <c:formatCode>General</c:formatCode>
              <c:ptCount val="201"/>
              <c:pt idx="0">
                <c:v>0</c:v>
              </c:pt>
              <c:pt idx="1">
                <c:v>2.5000000000000001E-2</c:v>
              </c:pt>
              <c:pt idx="2">
                <c:v>0.05</c:v>
              </c:pt>
              <c:pt idx="3">
                <c:v>7.4999999999999997E-2</c:v>
              </c:pt>
              <c:pt idx="4">
                <c:v>0.1</c:v>
              </c:pt>
              <c:pt idx="5">
                <c:v>0.125</c:v>
              </c:pt>
              <c:pt idx="6">
                <c:v>0.15</c:v>
              </c:pt>
              <c:pt idx="7">
                <c:v>0.17500000000000002</c:v>
              </c:pt>
              <c:pt idx="8">
                <c:v>0.2</c:v>
              </c:pt>
              <c:pt idx="9">
                <c:v>0.22499999999999998</c:v>
              </c:pt>
              <c:pt idx="10">
                <c:v>0.25</c:v>
              </c:pt>
              <c:pt idx="11">
                <c:v>0.27500000000000002</c:v>
              </c:pt>
              <c:pt idx="12">
                <c:v>0.3</c:v>
              </c:pt>
              <c:pt idx="13">
                <c:v>0.32500000000000001</c:v>
              </c:pt>
              <c:pt idx="14">
                <c:v>0.35000000000000003</c:v>
              </c:pt>
              <c:pt idx="15">
                <c:v>0.375</c:v>
              </c:pt>
              <c:pt idx="16">
                <c:v>0.4</c:v>
              </c:pt>
              <c:pt idx="17">
                <c:v>0.42500000000000004</c:v>
              </c:pt>
              <c:pt idx="18">
                <c:v>0.44999999999999996</c:v>
              </c:pt>
              <c:pt idx="19">
                <c:v>0.47499999999999998</c:v>
              </c:pt>
              <c:pt idx="20">
                <c:v>0.5</c:v>
              </c:pt>
              <c:pt idx="21">
                <c:v>0.52500000000000002</c:v>
              </c:pt>
              <c:pt idx="22">
                <c:v>0.55000000000000004</c:v>
              </c:pt>
              <c:pt idx="23">
                <c:v>0.57500000000000007</c:v>
              </c:pt>
              <c:pt idx="24">
                <c:v>0.6</c:v>
              </c:pt>
              <c:pt idx="25">
                <c:v>0.625</c:v>
              </c:pt>
              <c:pt idx="26">
                <c:v>0.65</c:v>
              </c:pt>
              <c:pt idx="27">
                <c:v>0.67500000000000004</c:v>
              </c:pt>
              <c:pt idx="28">
                <c:v>0.70000000000000007</c:v>
              </c:pt>
              <c:pt idx="29">
                <c:v>0.72499999999999998</c:v>
              </c:pt>
              <c:pt idx="30">
                <c:v>0.75</c:v>
              </c:pt>
              <c:pt idx="31">
                <c:v>0.77500000000000002</c:v>
              </c:pt>
              <c:pt idx="32">
                <c:v>0.8</c:v>
              </c:pt>
              <c:pt idx="33">
                <c:v>0.82500000000000007</c:v>
              </c:pt>
              <c:pt idx="34">
                <c:v>0.85000000000000009</c:v>
              </c:pt>
              <c:pt idx="35">
                <c:v>0.875</c:v>
              </c:pt>
              <c:pt idx="36">
                <c:v>0.89999999999999991</c:v>
              </c:pt>
              <c:pt idx="37">
                <c:v>0.92500000000000004</c:v>
              </c:pt>
              <c:pt idx="38">
                <c:v>0.95</c:v>
              </c:pt>
              <c:pt idx="39">
                <c:v>0.97500000000000009</c:v>
              </c:pt>
              <c:pt idx="40">
                <c:v>1</c:v>
              </c:pt>
              <c:pt idx="41">
                <c:v>1.0249999999999999</c:v>
              </c:pt>
              <c:pt idx="42">
                <c:v>1.05</c:v>
              </c:pt>
              <c:pt idx="43">
                <c:v>1.075</c:v>
              </c:pt>
              <c:pt idx="44">
                <c:v>1.1000000000000001</c:v>
              </c:pt>
              <c:pt idx="45">
                <c:v>1.125</c:v>
              </c:pt>
              <c:pt idx="46">
                <c:v>1.1500000000000001</c:v>
              </c:pt>
              <c:pt idx="47">
                <c:v>1.1749999999999998</c:v>
              </c:pt>
              <c:pt idx="48">
                <c:v>1.2</c:v>
              </c:pt>
              <c:pt idx="49">
                <c:v>1.2250000000000001</c:v>
              </c:pt>
              <c:pt idx="50">
                <c:v>1.25</c:v>
              </c:pt>
              <c:pt idx="51">
                <c:v>1.2749999999999999</c:v>
              </c:pt>
              <c:pt idx="52">
                <c:v>1.3</c:v>
              </c:pt>
              <c:pt idx="53">
                <c:v>1.3250000000000002</c:v>
              </c:pt>
              <c:pt idx="54">
                <c:v>1.35</c:v>
              </c:pt>
              <c:pt idx="55">
                <c:v>1.375</c:v>
              </c:pt>
              <c:pt idx="56">
                <c:v>1.4000000000000001</c:v>
              </c:pt>
              <c:pt idx="57">
                <c:v>1.4249999999999998</c:v>
              </c:pt>
              <c:pt idx="58">
                <c:v>1.45</c:v>
              </c:pt>
              <c:pt idx="59">
                <c:v>1.4749999999999999</c:v>
              </c:pt>
              <c:pt idx="60">
                <c:v>1.5</c:v>
              </c:pt>
              <c:pt idx="61">
                <c:v>1.5249999999999999</c:v>
              </c:pt>
              <c:pt idx="62">
                <c:v>1.55</c:v>
              </c:pt>
              <c:pt idx="63">
                <c:v>1.575</c:v>
              </c:pt>
              <c:pt idx="64">
                <c:v>1.6</c:v>
              </c:pt>
              <c:pt idx="65">
                <c:v>1.625</c:v>
              </c:pt>
              <c:pt idx="66">
                <c:v>1.6500000000000001</c:v>
              </c:pt>
              <c:pt idx="67">
                <c:v>1.675</c:v>
              </c:pt>
              <c:pt idx="68">
                <c:v>1.7000000000000002</c:v>
              </c:pt>
              <c:pt idx="69">
                <c:v>1.7249999999999999</c:v>
              </c:pt>
              <c:pt idx="70">
                <c:v>1.75</c:v>
              </c:pt>
              <c:pt idx="71">
                <c:v>1.7749999999999999</c:v>
              </c:pt>
              <c:pt idx="72">
                <c:v>1.7999999999999998</c:v>
              </c:pt>
              <c:pt idx="73">
                <c:v>1.825</c:v>
              </c:pt>
              <c:pt idx="74">
                <c:v>1.85</c:v>
              </c:pt>
              <c:pt idx="75">
                <c:v>1.875</c:v>
              </c:pt>
              <c:pt idx="76">
                <c:v>1.9</c:v>
              </c:pt>
              <c:pt idx="77">
                <c:v>1.925</c:v>
              </c:pt>
              <c:pt idx="78">
                <c:v>1.9500000000000002</c:v>
              </c:pt>
              <c:pt idx="79">
                <c:v>1.9750000000000001</c:v>
              </c:pt>
              <c:pt idx="80">
                <c:v>2</c:v>
              </c:pt>
              <c:pt idx="81">
                <c:v>2.0250000000000004</c:v>
              </c:pt>
              <c:pt idx="82">
                <c:v>2.0499999999999998</c:v>
              </c:pt>
              <c:pt idx="83">
                <c:v>2.0749999999999997</c:v>
              </c:pt>
              <c:pt idx="84">
                <c:v>2.1</c:v>
              </c:pt>
              <c:pt idx="85">
                <c:v>2.125</c:v>
              </c:pt>
              <c:pt idx="86">
                <c:v>2.15</c:v>
              </c:pt>
              <c:pt idx="87">
                <c:v>2.1749999999999998</c:v>
              </c:pt>
              <c:pt idx="88">
                <c:v>2.2000000000000002</c:v>
              </c:pt>
              <c:pt idx="89">
                <c:v>2.2250000000000001</c:v>
              </c:pt>
              <c:pt idx="90">
                <c:v>2.25</c:v>
              </c:pt>
              <c:pt idx="91">
                <c:v>2.2749999999999999</c:v>
              </c:pt>
              <c:pt idx="92">
                <c:v>2.3000000000000003</c:v>
              </c:pt>
              <c:pt idx="93">
                <c:v>2.3250000000000002</c:v>
              </c:pt>
              <c:pt idx="94">
                <c:v>2.3499999999999996</c:v>
              </c:pt>
              <c:pt idx="95">
                <c:v>2.375</c:v>
              </c:pt>
              <c:pt idx="96">
                <c:v>2.4</c:v>
              </c:pt>
              <c:pt idx="97">
                <c:v>2.4249999999999998</c:v>
              </c:pt>
              <c:pt idx="98">
                <c:v>2.4500000000000002</c:v>
              </c:pt>
              <c:pt idx="99">
                <c:v>2.4750000000000001</c:v>
              </c:pt>
              <c:pt idx="100">
                <c:v>2.5</c:v>
              </c:pt>
              <c:pt idx="101">
                <c:v>2.5249999999999999</c:v>
              </c:pt>
              <c:pt idx="102">
                <c:v>2.5499999999999998</c:v>
              </c:pt>
              <c:pt idx="103">
                <c:v>2.5750000000000002</c:v>
              </c:pt>
              <c:pt idx="104">
                <c:v>2.6</c:v>
              </c:pt>
              <c:pt idx="105">
                <c:v>2.625</c:v>
              </c:pt>
              <c:pt idx="106">
                <c:v>2.6500000000000004</c:v>
              </c:pt>
              <c:pt idx="107">
                <c:v>2.6750000000000003</c:v>
              </c:pt>
              <c:pt idx="108">
                <c:v>2.7</c:v>
              </c:pt>
              <c:pt idx="109">
                <c:v>2.7250000000000001</c:v>
              </c:pt>
              <c:pt idx="110">
                <c:v>2.75</c:v>
              </c:pt>
              <c:pt idx="111">
                <c:v>2.7750000000000004</c:v>
              </c:pt>
              <c:pt idx="112">
                <c:v>2.8000000000000003</c:v>
              </c:pt>
              <c:pt idx="113">
                <c:v>2.8249999999999997</c:v>
              </c:pt>
              <c:pt idx="114">
                <c:v>2.8499999999999996</c:v>
              </c:pt>
              <c:pt idx="115">
                <c:v>2.875</c:v>
              </c:pt>
              <c:pt idx="116">
                <c:v>2.9</c:v>
              </c:pt>
              <c:pt idx="117">
                <c:v>2.9249999999999998</c:v>
              </c:pt>
              <c:pt idx="118">
                <c:v>2.9499999999999997</c:v>
              </c:pt>
              <c:pt idx="119">
                <c:v>2.9749999999999996</c:v>
              </c:pt>
              <c:pt idx="120">
                <c:v>3</c:v>
              </c:pt>
              <c:pt idx="121">
                <c:v>3.0249999999999999</c:v>
              </c:pt>
              <c:pt idx="122">
                <c:v>3.05</c:v>
              </c:pt>
              <c:pt idx="123">
                <c:v>3.0750000000000002</c:v>
              </c:pt>
              <c:pt idx="124">
                <c:v>3.1</c:v>
              </c:pt>
              <c:pt idx="125">
                <c:v>3.125</c:v>
              </c:pt>
              <c:pt idx="126">
                <c:v>3.15</c:v>
              </c:pt>
              <c:pt idx="127">
                <c:v>3.1749999999999998</c:v>
              </c:pt>
              <c:pt idx="128">
                <c:v>3.2</c:v>
              </c:pt>
              <c:pt idx="129">
                <c:v>3.2250000000000001</c:v>
              </c:pt>
              <c:pt idx="130">
                <c:v>3.25</c:v>
              </c:pt>
              <c:pt idx="131">
                <c:v>3.2750000000000004</c:v>
              </c:pt>
              <c:pt idx="132">
                <c:v>3.3000000000000003</c:v>
              </c:pt>
              <c:pt idx="133">
                <c:v>3.3250000000000002</c:v>
              </c:pt>
              <c:pt idx="134">
                <c:v>3.35</c:v>
              </c:pt>
              <c:pt idx="135">
                <c:v>3.375</c:v>
              </c:pt>
              <c:pt idx="136">
                <c:v>3.4000000000000004</c:v>
              </c:pt>
              <c:pt idx="137">
                <c:v>3.4250000000000003</c:v>
              </c:pt>
              <c:pt idx="138">
                <c:v>3.4499999999999997</c:v>
              </c:pt>
              <c:pt idx="139">
                <c:v>3.4749999999999996</c:v>
              </c:pt>
              <c:pt idx="140">
                <c:v>3.5</c:v>
              </c:pt>
              <c:pt idx="141">
                <c:v>3.5249999999999999</c:v>
              </c:pt>
              <c:pt idx="142">
                <c:v>3.55</c:v>
              </c:pt>
              <c:pt idx="143">
                <c:v>3.5749999999999997</c:v>
              </c:pt>
              <c:pt idx="144">
                <c:v>3.5999999999999996</c:v>
              </c:pt>
              <c:pt idx="145">
                <c:v>3.625</c:v>
              </c:pt>
              <c:pt idx="146">
                <c:v>3.65</c:v>
              </c:pt>
              <c:pt idx="147">
                <c:v>3.6749999999999998</c:v>
              </c:pt>
              <c:pt idx="148">
                <c:v>3.7</c:v>
              </c:pt>
              <c:pt idx="149">
                <c:v>3.7250000000000001</c:v>
              </c:pt>
              <c:pt idx="150">
                <c:v>3.75</c:v>
              </c:pt>
              <c:pt idx="151">
                <c:v>3.7749999999999999</c:v>
              </c:pt>
              <c:pt idx="152">
                <c:v>3.8</c:v>
              </c:pt>
              <c:pt idx="153">
                <c:v>3.8250000000000002</c:v>
              </c:pt>
              <c:pt idx="154">
                <c:v>3.85</c:v>
              </c:pt>
              <c:pt idx="155">
                <c:v>3.875</c:v>
              </c:pt>
              <c:pt idx="156">
                <c:v>3.9000000000000004</c:v>
              </c:pt>
              <c:pt idx="157">
                <c:v>3.9250000000000003</c:v>
              </c:pt>
              <c:pt idx="158">
                <c:v>3.95</c:v>
              </c:pt>
              <c:pt idx="159">
                <c:v>3.9750000000000001</c:v>
              </c:pt>
              <c:pt idx="160">
                <c:v>4</c:v>
              </c:pt>
              <c:pt idx="161">
                <c:v>4.0250000000000004</c:v>
              </c:pt>
              <c:pt idx="162">
                <c:v>4.0500000000000007</c:v>
              </c:pt>
              <c:pt idx="163">
                <c:v>4.0749999999999993</c:v>
              </c:pt>
              <c:pt idx="164">
                <c:v>4.0999999999999996</c:v>
              </c:pt>
              <c:pt idx="165">
                <c:v>4.125</c:v>
              </c:pt>
              <c:pt idx="166">
                <c:v>4.1499999999999995</c:v>
              </c:pt>
              <c:pt idx="167">
                <c:v>4.1749999999999998</c:v>
              </c:pt>
              <c:pt idx="168">
                <c:v>4.2</c:v>
              </c:pt>
              <c:pt idx="169">
                <c:v>4.2249999999999996</c:v>
              </c:pt>
              <c:pt idx="170">
                <c:v>4.25</c:v>
              </c:pt>
              <c:pt idx="171">
                <c:v>4.2750000000000004</c:v>
              </c:pt>
              <c:pt idx="172">
                <c:v>4.3</c:v>
              </c:pt>
              <c:pt idx="173">
                <c:v>4.3250000000000002</c:v>
              </c:pt>
              <c:pt idx="174">
                <c:v>4.3499999999999996</c:v>
              </c:pt>
              <c:pt idx="175">
                <c:v>4.375</c:v>
              </c:pt>
              <c:pt idx="176">
                <c:v>4.4000000000000004</c:v>
              </c:pt>
              <c:pt idx="177">
                <c:v>4.4249999999999998</c:v>
              </c:pt>
              <c:pt idx="178">
                <c:v>4.45</c:v>
              </c:pt>
              <c:pt idx="179">
                <c:v>4.4749999999999996</c:v>
              </c:pt>
              <c:pt idx="180">
                <c:v>4.5</c:v>
              </c:pt>
              <c:pt idx="181">
                <c:v>4.5250000000000004</c:v>
              </c:pt>
              <c:pt idx="182">
                <c:v>4.55</c:v>
              </c:pt>
              <c:pt idx="183">
                <c:v>4.5750000000000002</c:v>
              </c:pt>
              <c:pt idx="184">
                <c:v>4.6000000000000005</c:v>
              </c:pt>
              <c:pt idx="185">
                <c:v>4.625</c:v>
              </c:pt>
              <c:pt idx="186">
                <c:v>4.6500000000000004</c:v>
              </c:pt>
              <c:pt idx="187">
                <c:v>4.6750000000000007</c:v>
              </c:pt>
              <c:pt idx="188">
                <c:v>4.6999999999999993</c:v>
              </c:pt>
              <c:pt idx="189">
                <c:v>4.7249999999999996</c:v>
              </c:pt>
              <c:pt idx="190">
                <c:v>4.75</c:v>
              </c:pt>
              <c:pt idx="191">
                <c:v>4.7749999999999995</c:v>
              </c:pt>
              <c:pt idx="192">
                <c:v>4.8</c:v>
              </c:pt>
              <c:pt idx="193">
                <c:v>4.8250000000000002</c:v>
              </c:pt>
              <c:pt idx="194">
                <c:v>4.8499999999999996</c:v>
              </c:pt>
              <c:pt idx="195">
                <c:v>4.875</c:v>
              </c:pt>
              <c:pt idx="196">
                <c:v>4.9000000000000004</c:v>
              </c:pt>
              <c:pt idx="197">
                <c:v>4.9249999999999998</c:v>
              </c:pt>
              <c:pt idx="198">
                <c:v>4.95</c:v>
              </c:pt>
              <c:pt idx="199">
                <c:v>4.9749999999999996</c:v>
              </c:pt>
              <c:pt idx="200">
                <c:v>5</c:v>
              </c:pt>
            </c:numLit>
          </c:cat>
          <c:val>
            <c:numRef>
              <c:f>'Calculations - Dual'!$BX$5:$BX$105</c:f>
              <c:numCache>
                <c:formatCode>0.0</c:formatCode>
                <c:ptCount val="10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numCache>
            </c:numRef>
          </c:val>
          <c:smooth val="0"/>
          <c:extLst>
            <c:ext xmlns:c16="http://schemas.microsoft.com/office/drawing/2014/chart" uri="{C3380CC4-5D6E-409C-BE32-E72D297353CC}">
              <c16:uniqueId val="{00000003-F70F-43A3-985B-8D7256906BEC}"/>
            </c:ext>
          </c:extLst>
        </c:ser>
        <c:dLbls>
          <c:showLegendKey val="0"/>
          <c:showVal val="0"/>
          <c:showCatName val="0"/>
          <c:showSerName val="0"/>
          <c:showPercent val="0"/>
          <c:showBubbleSize val="0"/>
        </c:dLbls>
        <c:marker val="1"/>
        <c:smooth val="0"/>
        <c:axId val="141621888"/>
        <c:axId val="141619968"/>
      </c:lineChart>
      <c:catAx>
        <c:axId val="141607680"/>
        <c:scaling>
          <c:orientation val="minMax"/>
        </c:scaling>
        <c:delete val="0"/>
        <c:axPos val="b"/>
        <c:majorGridlines>
          <c:spPr>
            <a:ln w="15875">
              <a:solidFill>
                <a:srgbClr val="969696"/>
              </a:solidFill>
              <a:prstDash val="sysDash"/>
            </a:ln>
          </c:spPr>
        </c:majorGridlines>
        <c:minorGridlines/>
        <c:title>
          <c:tx>
            <c:rich>
              <a:bodyPr/>
              <a:lstStyle/>
              <a:p>
                <a:pPr>
                  <a:defRPr sz="1200" b="1" i="0" u="none" strike="noStrike" baseline="0">
                    <a:solidFill>
                      <a:srgbClr val="0000FF"/>
                    </a:solidFill>
                    <a:latin typeface="Arial" pitchFamily="34" charset="0"/>
                    <a:ea typeface="Calibri"/>
                    <a:cs typeface="Arial" pitchFamily="34" charset="0"/>
                  </a:defRPr>
                </a:pPr>
                <a:r>
                  <a:rPr lang="en-US" sz="1200">
                    <a:solidFill>
                      <a:srgbClr val="0000FF"/>
                    </a:solidFill>
                    <a:latin typeface="Arial" pitchFamily="34" charset="0"/>
                    <a:cs typeface="Arial" pitchFamily="34" charset="0"/>
                  </a:rPr>
                  <a:t>%</a:t>
                </a:r>
                <a:r>
                  <a:rPr lang="en-US" sz="1200" baseline="0">
                    <a:solidFill>
                      <a:srgbClr val="0000FF"/>
                    </a:solidFill>
                    <a:latin typeface="Arial" pitchFamily="34" charset="0"/>
                    <a:cs typeface="Arial" pitchFamily="34" charset="0"/>
                  </a:rPr>
                  <a:t> Total Rated Output Power</a:t>
                </a:r>
                <a:endParaRPr lang="en-US" sz="1200">
                  <a:solidFill>
                    <a:srgbClr val="0000FF"/>
                  </a:solidFill>
                  <a:latin typeface="Arial" pitchFamily="34" charset="0"/>
                  <a:cs typeface="Arial" pitchFamily="34" charset="0"/>
                </a:endParaRPr>
              </a:p>
            </c:rich>
          </c:tx>
          <c:layout>
            <c:manualLayout>
              <c:xMode val="edge"/>
              <c:yMode val="edge"/>
              <c:x val="0.42471011396394504"/>
              <c:y val="0.93853771636955563"/>
            </c:manualLayout>
          </c:layout>
          <c:overlay val="0"/>
          <c:spPr>
            <a:noFill/>
            <a:ln w="25400">
              <a:noFill/>
            </a:ln>
          </c:spPr>
        </c:title>
        <c:numFmt formatCode="General" sourceLinked="1"/>
        <c:majorTickMark val="in"/>
        <c:minorTickMark val="in"/>
        <c:tickLblPos val="nextTo"/>
        <c:spPr>
          <a:ln w="3175">
            <a:solidFill>
              <a:srgbClr val="000000"/>
            </a:solidFill>
            <a:prstDash val="solid"/>
          </a:ln>
        </c:spPr>
        <c:txPr>
          <a:bodyPr rot="0" vert="horz"/>
          <a:lstStyle/>
          <a:p>
            <a:pPr>
              <a:defRPr sz="1100" b="1" i="0" u="none" strike="noStrike" baseline="0">
                <a:solidFill>
                  <a:srgbClr val="0000FF"/>
                </a:solidFill>
                <a:latin typeface="Arial" pitchFamily="34" charset="0"/>
                <a:ea typeface="Calibri"/>
                <a:cs typeface="Arial" pitchFamily="34" charset="0"/>
              </a:defRPr>
            </a:pPr>
            <a:endParaRPr lang="en-US"/>
          </a:p>
        </c:txPr>
        <c:crossAx val="141609600"/>
        <c:crosses val="autoZero"/>
        <c:auto val="1"/>
        <c:lblAlgn val="ctr"/>
        <c:lblOffset val="100"/>
        <c:tickLblSkip val="20"/>
        <c:tickMarkSkip val="20"/>
        <c:noMultiLvlLbl val="0"/>
      </c:catAx>
      <c:valAx>
        <c:axId val="141609600"/>
        <c:scaling>
          <c:orientation val="minMax"/>
          <c:max val="100"/>
          <c:min val="55"/>
        </c:scaling>
        <c:delete val="0"/>
        <c:axPos val="l"/>
        <c:majorGridlines>
          <c:spPr>
            <a:ln w="15875">
              <a:solidFill>
                <a:srgbClr val="808080"/>
              </a:solidFill>
              <a:prstDash val="solid"/>
            </a:ln>
          </c:spPr>
        </c:majorGridlines>
        <c:title>
          <c:tx>
            <c:rich>
              <a:bodyPr/>
              <a:lstStyle/>
              <a:p>
                <a:pPr>
                  <a:defRPr sz="1400" b="1" i="0" u="none" strike="noStrike" baseline="0">
                    <a:solidFill>
                      <a:srgbClr val="FF0000"/>
                    </a:solidFill>
                    <a:latin typeface="Arial" pitchFamily="34" charset="0"/>
                    <a:ea typeface="Calibri"/>
                    <a:cs typeface="Arial" pitchFamily="34" charset="0"/>
                  </a:defRPr>
                </a:pPr>
                <a:r>
                  <a:rPr lang="en-US" sz="1200" b="1">
                    <a:solidFill>
                      <a:srgbClr val="FF0000"/>
                    </a:solidFill>
                    <a:latin typeface="Arial" pitchFamily="34" charset="0"/>
                    <a:cs typeface="Arial" pitchFamily="34" charset="0"/>
                  </a:rPr>
                  <a:t>Efficiency  (%)</a:t>
                </a:r>
              </a:p>
            </c:rich>
          </c:tx>
          <c:layout>
            <c:manualLayout>
              <c:xMode val="edge"/>
              <c:yMode val="edge"/>
              <c:x val="1.2871858674081443E-2"/>
              <c:y val="0.37638177915688309"/>
            </c:manualLayout>
          </c:layout>
          <c:overlay val="0"/>
          <c:spPr>
            <a:noFill/>
            <a:ln w="25400">
              <a:noFill/>
            </a:ln>
          </c:spPr>
        </c:title>
        <c:numFmt formatCode="General" sourceLinked="0"/>
        <c:majorTickMark val="in"/>
        <c:minorTickMark val="in"/>
        <c:tickLblPos val="nextTo"/>
        <c:spPr>
          <a:ln w="3175">
            <a:solidFill>
              <a:srgbClr val="000000"/>
            </a:solidFill>
            <a:prstDash val="solid"/>
          </a:ln>
        </c:spPr>
        <c:txPr>
          <a:bodyPr rot="0" vert="horz"/>
          <a:lstStyle/>
          <a:p>
            <a:pPr>
              <a:defRPr sz="1100" b="1" i="0" u="none" strike="noStrike" baseline="0">
                <a:solidFill>
                  <a:srgbClr val="FF0000"/>
                </a:solidFill>
                <a:latin typeface="Arial" pitchFamily="34" charset="0"/>
                <a:ea typeface="Calibri"/>
                <a:cs typeface="Arial" pitchFamily="34" charset="0"/>
              </a:defRPr>
            </a:pPr>
            <a:endParaRPr lang="en-US"/>
          </a:p>
        </c:txPr>
        <c:crossAx val="141607680"/>
        <c:crossesAt val="0"/>
        <c:crossBetween val="between"/>
        <c:majorUnit val="5"/>
        <c:minorUnit val="2.5"/>
      </c:valAx>
      <c:valAx>
        <c:axId val="141619968"/>
        <c:scaling>
          <c:orientation val="minMax"/>
        </c:scaling>
        <c:delete val="0"/>
        <c:axPos val="r"/>
        <c:title>
          <c:tx>
            <c:rich>
              <a:bodyPr rot="-5400000" vert="horz"/>
              <a:lstStyle/>
              <a:p>
                <a:pPr>
                  <a:defRPr sz="1200" b="1"/>
                </a:pPr>
                <a:r>
                  <a:rPr lang="en-US" sz="1200" b="1"/>
                  <a:t>Power Loss (mW)</a:t>
                </a:r>
              </a:p>
            </c:rich>
          </c:tx>
          <c:layout>
            <c:manualLayout>
              <c:xMode val="edge"/>
              <c:yMode val="edge"/>
              <c:x val="0.95168474305601269"/>
              <c:y val="0.38117714045368295"/>
            </c:manualLayout>
          </c:layout>
          <c:overlay val="0"/>
        </c:title>
        <c:numFmt formatCode="General" sourceLinked="0"/>
        <c:majorTickMark val="out"/>
        <c:minorTickMark val="none"/>
        <c:tickLblPos val="nextTo"/>
        <c:txPr>
          <a:bodyPr/>
          <a:lstStyle/>
          <a:p>
            <a:pPr>
              <a:defRPr sz="1100" b="1">
                <a:solidFill>
                  <a:sysClr val="windowText" lastClr="000000"/>
                </a:solidFill>
              </a:defRPr>
            </a:pPr>
            <a:endParaRPr lang="en-US"/>
          </a:p>
        </c:txPr>
        <c:crossAx val="141621888"/>
        <c:crosses val="max"/>
        <c:crossBetween val="between"/>
      </c:valAx>
      <c:catAx>
        <c:axId val="141621888"/>
        <c:scaling>
          <c:orientation val="minMax"/>
        </c:scaling>
        <c:delete val="1"/>
        <c:axPos val="b"/>
        <c:numFmt formatCode="General" sourceLinked="1"/>
        <c:majorTickMark val="out"/>
        <c:minorTickMark val="none"/>
        <c:tickLblPos val="nextTo"/>
        <c:crossAx val="141619968"/>
        <c:crosses val="autoZero"/>
        <c:auto val="1"/>
        <c:lblAlgn val="ctr"/>
        <c:lblOffset val="100"/>
        <c:noMultiLvlLbl val="0"/>
      </c:catAx>
      <c:spPr>
        <a:noFill/>
        <a:ln w="25400">
          <a:noFill/>
        </a:ln>
      </c:spPr>
    </c:plotArea>
    <c:legend>
      <c:legendPos val="t"/>
      <c:layout>
        <c:manualLayout>
          <c:xMode val="edge"/>
          <c:yMode val="edge"/>
          <c:x val="0.40102557566231317"/>
          <c:y val="1.1892633038167682E-2"/>
          <c:w val="0.50550962619267337"/>
          <c:h val="8.9795049320617604E-2"/>
        </c:manualLayout>
      </c:layout>
      <c:overlay val="0"/>
      <c:spPr>
        <a:solidFill>
          <a:srgbClr val="FFFFFF"/>
        </a:solidFill>
        <a:ln w="25400">
          <a:noFill/>
        </a:ln>
      </c:spPr>
      <c:txPr>
        <a:bodyPr/>
        <a:lstStyle/>
        <a:p>
          <a:pPr>
            <a:defRPr sz="1100" b="0" i="0" u="none" strike="noStrike" baseline="0">
              <a:solidFill>
                <a:srgbClr val="000000"/>
              </a:solidFill>
              <a:latin typeface="Arial" pitchFamily="34" charset="0"/>
              <a:ea typeface="Calibri"/>
              <a:cs typeface="Arial" pitchFamily="34" charset="0"/>
            </a:defRPr>
          </a:pPr>
          <a:endParaRPr lang="en-US"/>
        </a:p>
      </c:txPr>
    </c:legend>
    <c:plotVisOnly val="1"/>
    <c:dispBlanksAs val="gap"/>
    <c:showDLblsOverMax val="0"/>
  </c:chart>
  <c:spPr>
    <a:solidFill>
      <a:srgbClr val="FFFFFF"/>
    </a:solidFill>
    <a:ln w="9525">
      <a:solidFill>
        <a:srgbClr val="808080"/>
      </a:solidFill>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0000000000006" r="0.750000000000006" t="1" header="0.5" footer="0.5"/>
    <c:pageSetup paperSize="5" orientation="portrait"/>
  </c:printSettings>
</c:chartSpace>
</file>

<file path=xl/ctrlProps/ctrlProp1.xml><?xml version="1.0" encoding="utf-8"?>
<formControlPr xmlns="http://schemas.microsoft.com/office/spreadsheetml/2009/9/main" objectType="Spin" dx="16" fmlaLink="$E$7" max="65" min="3" page="10" val="15"/>
</file>

<file path=xl/ctrlProps/ctrlProp10.xml><?xml version="1.0" encoding="utf-8"?>
<formControlPr xmlns="http://schemas.microsoft.com/office/spreadsheetml/2009/9/main" objectType="Drop" dropStyle="combo" dx="16" fmlaLink="$Q$36" fmlaRange="'Variable Mgmt'!$W$67:$W$71" noThreeD="1" sel="2" val="0"/>
</file>

<file path=xl/ctrlProps/ctrlProp11.xml><?xml version="1.0" encoding="utf-8"?>
<formControlPr xmlns="http://schemas.microsoft.com/office/spreadsheetml/2009/9/main" objectType="Drop" dropStyle="combo" dx="16" fmlaLink="$Q$42" fmlaRange="'Variable Mgmt'!$R$56:$R$58" noThreeD="1" sel="1" val="0"/>
</file>

<file path=xl/ctrlProps/ctrlProp12.xml><?xml version="1.0" encoding="utf-8"?>
<formControlPr xmlns="http://schemas.microsoft.com/office/spreadsheetml/2009/9/main" objectType="Drop" dropLines="2" dropStyle="combo" dx="16" fmlaLink="$Q$38" fmlaRange="'Variable Mgmt'!$W$67:$W$68" noThreeD="1" sel="2" val="0"/>
</file>

<file path=xl/ctrlProps/ctrlProp13.xml><?xml version="1.0" encoding="utf-8"?>
<formControlPr xmlns="http://schemas.microsoft.com/office/spreadsheetml/2009/9/main" objectType="Drop" dropStyle="combo" dx="16" fmlaLink="$Q$37" fmlaRange="'Variable Mgmt'!$W$65:$W$67" noThreeD="1" sel="3" val="0"/>
</file>

<file path=xl/ctrlProps/ctrlProp14.xml><?xml version="1.0" encoding="utf-8"?>
<formControlPr xmlns="http://schemas.microsoft.com/office/spreadsheetml/2009/9/main" objectType="Drop" dropStyle="combo" dx="16" fmlaLink="$Q$41" fmlaRange="'Variable Mgmt'!$R$56:$R$58" noThreeD="1" sel="1" val="0"/>
</file>

<file path=xl/ctrlProps/ctrlProp15.xml><?xml version="1.0" encoding="utf-8"?>
<formControlPr xmlns="http://schemas.microsoft.com/office/spreadsheetml/2009/9/main" objectType="Drop" dropStyle="combo" dx="16" fmlaLink="$Q$43" fmlaRange="'Variable Mgmt'!$R$56:$R$58" noThreeD="1" sel="1" val="0"/>
</file>

<file path=xl/ctrlProps/ctrlProp16.xml><?xml version="1.0" encoding="utf-8"?>
<formControlPr xmlns="http://schemas.microsoft.com/office/spreadsheetml/2009/9/main" objectType="Drop" dropStyle="combo" dx="16" fmlaLink="$Q$44" fmlaRange="'Variable Mgmt'!$R$56:$R$58" noThreeD="1" sel="1" val="0"/>
</file>

<file path=xl/ctrlProps/ctrlProp17.xml><?xml version="1.0" encoding="utf-8"?>
<formControlPr xmlns="http://schemas.microsoft.com/office/spreadsheetml/2009/9/main" objectType="Drop" dropStyle="combo" dx="16" fmlaLink="$Q$45" fmlaRange="'Variable Mgmt'!$R$56:$R$58" noThreeD="1" sel="1" val="0"/>
</file>

<file path=xl/ctrlProps/ctrlProp18.xml><?xml version="1.0" encoding="utf-8"?>
<formControlPr xmlns="http://schemas.microsoft.com/office/spreadsheetml/2009/9/main" objectType="Drop" dropStyle="combo" dx="16" fmlaLink="$Q$35" fmlaRange="'Variable Mgmt'!$W$67:$W$71" noThreeD="1" sel="2" val="0"/>
</file>

<file path=xl/ctrlProps/ctrlProp19.xml><?xml version="1.0" encoding="utf-8"?>
<formControlPr xmlns="http://schemas.microsoft.com/office/spreadsheetml/2009/9/main" objectType="Drop" dropStyle="combo" dx="16" fmlaLink="$Q$46" fmlaRange="'Variable Mgmt'!$R$65:$R$71" noThreeD="1" sel="7" val="0"/>
</file>

<file path=xl/ctrlProps/ctrlProp2.xml><?xml version="1.0" encoding="utf-8"?>
<formControlPr xmlns="http://schemas.microsoft.com/office/spreadsheetml/2009/9/main" objectType="Drop" dropStyle="combo" dx="16" fmlaLink="'Variable Mgmt'!$J$56" fmlaRange="'Variable Mgmt'!$I$54:$I$55" noThreeD="1" sel="1" val="0"/>
</file>

<file path=xl/ctrlProps/ctrlProp20.xml><?xml version="1.0" encoding="utf-8"?>
<formControlPr xmlns="http://schemas.microsoft.com/office/spreadsheetml/2009/9/main" objectType="Drop" dropStyle="combo" dx="16" fmlaLink="$Q$34" fmlaRange="'Variable Mgmt'!$R$56:$R$58" noThreeD="1" sel="1" val="0"/>
</file>

<file path=xl/ctrlProps/ctrlProp21.xml><?xml version="1.0" encoding="utf-8"?>
<formControlPr xmlns="http://schemas.microsoft.com/office/spreadsheetml/2009/9/main" objectType="Drop" dropStyle="combo" dx="16" fmlaLink="$Q$33" fmlaRange="'Variable Mgmt'!$R$56:$R$60" noThreeD="1" sel="5" val="0"/>
</file>

<file path=xl/ctrlProps/ctrlProp22.xml><?xml version="1.0" encoding="utf-8"?>
<formControlPr xmlns="http://schemas.microsoft.com/office/spreadsheetml/2009/9/main" objectType="Drop" dropLines="2" dropStyle="combo" dx="16" fmlaLink="$Q$39" fmlaRange="'Variable Mgmt'!$W$65:$W$66" noThreeD="1" sel="1" val="0"/>
</file>

<file path=xl/ctrlProps/ctrlProp23.xml><?xml version="1.0" encoding="utf-8"?>
<formControlPr xmlns="http://schemas.microsoft.com/office/spreadsheetml/2009/9/main" objectType="Drop" dropLines="2" dropStyle="combo" dx="16" fmlaLink="$Q$39" fmlaRange="'Variable Mgmt'!$W$65:$W$66" noThreeD="1" sel="1" val="0"/>
</file>

<file path=xl/ctrlProps/ctrlProp24.xml><?xml version="1.0" encoding="utf-8"?>
<formControlPr xmlns="http://schemas.microsoft.com/office/spreadsheetml/2009/9/main" objectType="Drop" dropLines="2" dropStyle="combo" dx="16" fmlaLink="'Variable Mgmt'!$M$56" fmlaRange="'Variable Mgmt'!$L$54:$L$55" noThreeD="1" sel="1" val="0"/>
</file>

<file path=xl/ctrlProps/ctrlProp3.xml><?xml version="1.0" encoding="utf-8"?>
<formControlPr xmlns="http://schemas.microsoft.com/office/spreadsheetml/2009/9/main" objectType="Drop" dropLines="2" dropStyle="combo" dx="16" fmlaLink="'Variable Mgmt'!$G$56" fmlaRange="'Variable Mgmt'!$F$54:$F$55" noThreeD="1" sel="1" val="0"/>
</file>

<file path=xl/ctrlProps/ctrlProp4.xml><?xml version="1.0" encoding="utf-8"?>
<formControlPr xmlns="http://schemas.microsoft.com/office/spreadsheetml/2009/9/main" objectType="Drop" dropLines="10" dropStyle="combo" dx="16" fmlaLink="'Variable Mgmt'!$S$38" fmlaRange="'Variable Mgmt'!$R$28:$R$37" noThreeD="1" sel="5" val="0"/>
</file>

<file path=xl/ctrlProps/ctrlProp5.xml><?xml version="1.0" encoding="utf-8"?>
<formControlPr xmlns="http://schemas.microsoft.com/office/spreadsheetml/2009/9/main" objectType="Drop" dropStyle="combo" dx="16" fmlaLink="'Variable Mgmt'!$G$50" fmlaRange="'Variable Mgmt'!$F$48:$F$49" noThreeD="1" sel="1" val="0"/>
</file>

<file path=xl/ctrlProps/ctrlProp6.xml><?xml version="1.0" encoding="utf-8"?>
<formControlPr xmlns="http://schemas.microsoft.com/office/spreadsheetml/2009/9/main" objectType="Drop" dropLines="10" dropStyle="combo" dx="16" fmlaLink="'Variable Mgmt'!$C$51" fmlaRange="'Variable Mgmt'!$B$48:$B$49" noThreeD="1" sel="2" val="0"/>
</file>

<file path=xl/ctrlProps/ctrlProp7.xml><?xml version="1.0" encoding="utf-8"?>
<formControlPr xmlns="http://schemas.microsoft.com/office/spreadsheetml/2009/9/main" objectType="Drop" dropLines="4" dropStyle="combo" dx="16" fmlaLink="'Variable Mgmt'!$S$20" fmlaRange="'Variable Mgmt'!$R$18:$R$19" noThreeD="1" sel="2" val="0"/>
</file>

<file path=xl/ctrlProps/ctrlProp8.xml><?xml version="1.0" encoding="utf-8"?>
<formControlPr xmlns="http://schemas.microsoft.com/office/spreadsheetml/2009/9/main" objectType="Drop" dropStyle="combo" dx="16" fmlaLink="'BOM &amp; Schematic'!$Q$31" fmlaRange="'Variable Mgmt'!$R$56:$R$60" noThreeD="1" sel="4" val="0"/>
</file>

<file path=xl/ctrlProps/ctrlProp9.xml><?xml version="1.0" encoding="utf-8"?>
<formControlPr xmlns="http://schemas.microsoft.com/office/spreadsheetml/2009/9/main" objectType="Drop" dropStyle="combo" dx="16" fmlaLink="$Q$32" fmlaRange="'Variable Mgmt'!$R$56:$R$60" noThreeD="1" sel="5" val="0"/>
</file>

<file path=xl/drawings/_rels/drawing1.xml.rels><?xml version="1.0" encoding="UTF-8" standalone="yes"?>
<Relationships xmlns="http://schemas.openxmlformats.org/package/2006/relationships"><Relationship Id="rId8" Type="http://schemas.openxmlformats.org/officeDocument/2006/relationships/image" Target="../media/image5.jpg"/><Relationship Id="rId3" Type="http://schemas.openxmlformats.org/officeDocument/2006/relationships/hyperlink" Target="http://www.ti.com/widevin" TargetMode="External"/><Relationship Id="rId7" Type="http://schemas.openxmlformats.org/officeDocument/2006/relationships/hyperlink" Target="http://www.ti.com/automotive" TargetMode="External"/><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4.jpg"/><Relationship Id="rId5" Type="http://schemas.openxmlformats.org/officeDocument/2006/relationships/hyperlink" Target="http://www.ti.com/industrial" TargetMode="External"/><Relationship Id="rId4" Type="http://schemas.openxmlformats.org/officeDocument/2006/relationships/image" Target="../media/image3.jpg"/><Relationship Id="rId9" Type="http://schemas.openxmlformats.org/officeDocument/2006/relationships/image" Target="../media/image6.emf"/></Relationships>
</file>

<file path=xl/drawings/_rels/drawing11.xml.rels><?xml version="1.0" encoding="UTF-8" standalone="yes"?>
<Relationships xmlns="http://schemas.openxmlformats.org/package/2006/relationships"><Relationship Id="rId3" Type="http://schemas.openxmlformats.org/officeDocument/2006/relationships/image" Target="../media/image17.emf"/><Relationship Id="rId2" Type="http://schemas.openxmlformats.org/officeDocument/2006/relationships/chart" Target="../charts/chart19.xml"/><Relationship Id="rId1" Type="http://schemas.openxmlformats.org/officeDocument/2006/relationships/chart" Target="../charts/chart18.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image" Target="../media/image19.emf"/></Relationships>
</file>

<file path=xl/drawings/_rels/drawing13.xml.rels><?xml version="1.0" encoding="UTF-8" standalone="yes"?>
<Relationships xmlns="http://schemas.openxmlformats.org/package/2006/relationships"><Relationship Id="rId8" Type="http://schemas.openxmlformats.org/officeDocument/2006/relationships/image" Target="../media/image28.emf"/><Relationship Id="rId13" Type="http://schemas.openxmlformats.org/officeDocument/2006/relationships/image" Target="../media/image33.emf"/><Relationship Id="rId18" Type="http://schemas.openxmlformats.org/officeDocument/2006/relationships/image" Target="../media/image38.emf"/><Relationship Id="rId3" Type="http://schemas.openxmlformats.org/officeDocument/2006/relationships/image" Target="../media/image23.emf"/><Relationship Id="rId21" Type="http://schemas.openxmlformats.org/officeDocument/2006/relationships/image" Target="../media/image41.emf"/><Relationship Id="rId7" Type="http://schemas.openxmlformats.org/officeDocument/2006/relationships/image" Target="../media/image27.emf"/><Relationship Id="rId12" Type="http://schemas.openxmlformats.org/officeDocument/2006/relationships/image" Target="../media/image32.emf"/><Relationship Id="rId17" Type="http://schemas.openxmlformats.org/officeDocument/2006/relationships/image" Target="../media/image37.emf"/><Relationship Id="rId2" Type="http://schemas.openxmlformats.org/officeDocument/2006/relationships/image" Target="../media/image22.emf"/><Relationship Id="rId16" Type="http://schemas.openxmlformats.org/officeDocument/2006/relationships/image" Target="../media/image36.emf"/><Relationship Id="rId20" Type="http://schemas.openxmlformats.org/officeDocument/2006/relationships/image" Target="../media/image40.emf"/><Relationship Id="rId1" Type="http://schemas.openxmlformats.org/officeDocument/2006/relationships/image" Target="../media/image21.emf"/><Relationship Id="rId6" Type="http://schemas.openxmlformats.org/officeDocument/2006/relationships/image" Target="../media/image26.emf"/><Relationship Id="rId11" Type="http://schemas.openxmlformats.org/officeDocument/2006/relationships/image" Target="../media/image31.emf"/><Relationship Id="rId24" Type="http://schemas.openxmlformats.org/officeDocument/2006/relationships/image" Target="../media/image44.emf"/><Relationship Id="rId5" Type="http://schemas.openxmlformats.org/officeDocument/2006/relationships/image" Target="../media/image25.emf"/><Relationship Id="rId15" Type="http://schemas.openxmlformats.org/officeDocument/2006/relationships/image" Target="../media/image35.emf"/><Relationship Id="rId23" Type="http://schemas.openxmlformats.org/officeDocument/2006/relationships/image" Target="../media/image43.emf"/><Relationship Id="rId10" Type="http://schemas.openxmlformats.org/officeDocument/2006/relationships/image" Target="../media/image30.emf"/><Relationship Id="rId19" Type="http://schemas.openxmlformats.org/officeDocument/2006/relationships/image" Target="../media/image39.emf"/><Relationship Id="rId4" Type="http://schemas.openxmlformats.org/officeDocument/2006/relationships/image" Target="../media/image24.emf"/><Relationship Id="rId9" Type="http://schemas.openxmlformats.org/officeDocument/2006/relationships/image" Target="../media/image29.emf"/><Relationship Id="rId14" Type="http://schemas.openxmlformats.org/officeDocument/2006/relationships/image" Target="../media/image34.emf"/><Relationship Id="rId22" Type="http://schemas.openxmlformats.org/officeDocument/2006/relationships/image" Target="../media/image42.emf"/></Relationships>
</file>

<file path=xl/drawings/_rels/drawing2.xml.rels><?xml version="1.0" encoding="UTF-8" standalone="yes"?>
<Relationships xmlns="http://schemas.openxmlformats.org/package/2006/relationships"><Relationship Id="rId1" Type="http://schemas.openxmlformats.org/officeDocument/2006/relationships/image" Target="../media/image11.emf"/></Relationships>
</file>

<file path=xl/drawings/_rels/drawing3.xml.rels><?xml version="1.0" encoding="UTF-8" standalone="yes"?>
<Relationships xmlns="http://schemas.openxmlformats.org/package/2006/relationships"><Relationship Id="rId2" Type="http://schemas.openxmlformats.org/officeDocument/2006/relationships/image" Target="../media/image14.emf"/><Relationship Id="rId1" Type="http://schemas.openxmlformats.org/officeDocument/2006/relationships/image" Target="../media/image13.emf"/></Relationships>
</file>

<file path=xl/drawings/_rels/drawing5.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5" Type="http://schemas.openxmlformats.org/officeDocument/2006/relationships/chart" Target="../charts/chart10.xml"/><Relationship Id="rId4" Type="http://schemas.openxmlformats.org/officeDocument/2006/relationships/chart" Target="../charts/chart9.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3.xml"/><Relationship Id="rId7" Type="http://schemas.openxmlformats.org/officeDocument/2006/relationships/chart" Target="../charts/chart17.xml"/><Relationship Id="rId2" Type="http://schemas.openxmlformats.org/officeDocument/2006/relationships/image" Target="../media/image16.png"/><Relationship Id="rId1" Type="http://schemas.openxmlformats.org/officeDocument/2006/relationships/chart" Target="../charts/chart12.xml"/><Relationship Id="rId6" Type="http://schemas.openxmlformats.org/officeDocument/2006/relationships/chart" Target="../charts/chart16.xml"/><Relationship Id="rId5" Type="http://schemas.openxmlformats.org/officeDocument/2006/relationships/chart" Target="../charts/chart15.xml"/><Relationship Id="rId4" Type="http://schemas.openxmlformats.org/officeDocument/2006/relationships/chart" Target="../charts/chart14.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9.emf"/><Relationship Id="rId2" Type="http://schemas.openxmlformats.org/officeDocument/2006/relationships/image" Target="../media/image8.emf"/><Relationship Id="rId1" Type="http://schemas.openxmlformats.org/officeDocument/2006/relationships/image" Target="../media/image7.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0.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2.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5.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8.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20.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209550</xdr:colOff>
          <xdr:row>24</xdr:row>
          <xdr:rowOff>243409</xdr:rowOff>
        </xdr:from>
        <xdr:to>
          <xdr:col>25</xdr:col>
          <xdr:colOff>1895036</xdr:colOff>
          <xdr:row>45</xdr:row>
          <xdr:rowOff>91228</xdr:rowOff>
        </xdr:to>
        <xdr:pic>
          <xdr:nvPicPr>
            <xdr:cNvPr id="59" name="Picture 8888">
              <a:extLst>
                <a:ext uri="{FF2B5EF4-FFF2-40B4-BE49-F238E27FC236}">
                  <a16:creationId xmlns:a16="http://schemas.microsoft.com/office/drawing/2014/main" id="{00000000-0008-0000-0000-00003B000000}"/>
                </a:ext>
              </a:extLst>
            </xdr:cNvPr>
            <xdr:cNvPicPr>
              <a:picLocks noChangeAspect="1" noChangeArrowheads="1"/>
              <a:extLst>
                <a:ext uri="{84589F7E-364E-4C9E-8A38-B11213B215E9}">
                  <a14:cameraTool cellRange="PICTURE3" spid="_x0000_s737085"/>
                </a:ext>
              </a:extLst>
            </xdr:cNvPicPr>
          </xdr:nvPicPr>
          <xdr:blipFill>
            <a:blip xmlns:r="http://schemas.openxmlformats.org/officeDocument/2006/relationships" r:embed="rId1"/>
            <a:srcRect/>
            <a:stretch>
              <a:fillRect/>
            </a:stretch>
          </xdr:blipFill>
          <xdr:spPr bwMode="auto">
            <a:xfrm>
              <a:off x="10701704" y="5408890"/>
              <a:ext cx="6675120" cy="4090107"/>
            </a:xfrm>
            <a:prstGeom prst="rect">
              <a:avLst/>
            </a:prstGeom>
            <a:noFill/>
            <a:ln w="15875">
              <a:noFill/>
              <a:miter lim="800000"/>
              <a:headEnd/>
              <a:tailEnd/>
            </a:ln>
            <a:extLst>
              <a:ext uri="{909E8E84-426E-40DD-AFC4-6F175D3DCCD1}">
                <a14:hiddenFill>
                  <a:solidFill>
                    <a:srgbClr val="FFFFFF" mc:Ignorable="a14" a14:legacySpreadsheetColorIndex="65"/>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305021</xdr:colOff>
          <xdr:row>4</xdr:row>
          <xdr:rowOff>103292</xdr:rowOff>
        </xdr:from>
        <xdr:to>
          <xdr:col>25</xdr:col>
          <xdr:colOff>46264</xdr:colOff>
          <xdr:row>24</xdr:row>
          <xdr:rowOff>212257</xdr:rowOff>
        </xdr:to>
        <xdr:pic>
          <xdr:nvPicPr>
            <xdr:cNvPr id="45" name="Picture 8888">
              <a:extLst>
                <a:ext uri="{FF2B5EF4-FFF2-40B4-BE49-F238E27FC236}">
                  <a16:creationId xmlns:a16="http://schemas.microsoft.com/office/drawing/2014/main" id="{00000000-0008-0000-0000-00002D000000}"/>
                </a:ext>
              </a:extLst>
            </xdr:cNvPr>
            <xdr:cNvPicPr>
              <a:picLocks noChangeAspect="1" noChangeArrowheads="1"/>
              <a:extLst>
                <a:ext uri="{84589F7E-364E-4C9E-8A38-B11213B215E9}">
                  <a14:cameraTool cellRange="PICTURE1" spid="_x0000_s737086"/>
                </a:ext>
              </a:extLst>
            </xdr:cNvPicPr>
          </xdr:nvPicPr>
          <xdr:blipFill>
            <a:blip xmlns:r="http://schemas.openxmlformats.org/officeDocument/2006/relationships" r:embed="rId2"/>
            <a:srcRect/>
            <a:stretch>
              <a:fillRect/>
            </a:stretch>
          </xdr:blipFill>
          <xdr:spPr bwMode="auto">
            <a:xfrm>
              <a:off x="8239346" y="1246292"/>
              <a:ext cx="7313618" cy="4166615"/>
            </a:xfrm>
            <a:prstGeom prst="rect">
              <a:avLst/>
            </a:prstGeom>
            <a:noFill/>
            <a:ln w="15875">
              <a:noFill/>
              <a:miter lim="800000"/>
              <a:headEnd/>
              <a:tailEnd/>
            </a:ln>
            <a:extLst>
              <a:ext uri="{909E8E84-426E-40DD-AFC4-6F175D3DCCD1}">
                <a14:hiddenFill>
                  <a:solidFill>
                    <a:srgbClr val="FFFFFF" mc:Ignorable="a14" a14:legacySpreadsheetColorIndex="65"/>
                  </a:solidFill>
                </a14:hiddenFill>
              </a:ext>
            </a:extLst>
          </xdr:spPr>
        </xdr:pic>
        <xdr:clientData/>
      </xdr:twoCellAnchor>
    </mc:Choice>
    <mc:Fallback/>
  </mc:AlternateContent>
  <xdr:twoCellAnchor>
    <xdr:from>
      <xdr:col>14</xdr:col>
      <xdr:colOff>381978</xdr:colOff>
      <xdr:row>11</xdr:row>
      <xdr:rowOff>72357</xdr:rowOff>
    </xdr:from>
    <xdr:to>
      <xdr:col>15</xdr:col>
      <xdr:colOff>99301</xdr:colOff>
      <xdr:row>12</xdr:row>
      <xdr:rowOff>95485</xdr:rowOff>
    </xdr:to>
    <xdr:sp macro="" textlink="">
      <xdr:nvSpPr>
        <xdr:cNvPr id="2292" name="Text Box 244">
          <a:extLst>
            <a:ext uri="{FF2B5EF4-FFF2-40B4-BE49-F238E27FC236}">
              <a16:creationId xmlns:a16="http://schemas.microsoft.com/office/drawing/2014/main" id="{00000000-0008-0000-0000-0000F4080000}"/>
            </a:ext>
          </a:extLst>
        </xdr:cNvPr>
        <xdr:cNvSpPr txBox="1">
          <a:spLocks noChangeArrowheads="1"/>
        </xdr:cNvSpPr>
      </xdr:nvSpPr>
      <xdr:spPr bwMode="auto">
        <a:xfrm>
          <a:off x="8925903" y="2644107"/>
          <a:ext cx="326923" cy="223153"/>
        </a:xfrm>
        <a:prstGeom prst="rect">
          <a:avLst/>
        </a:prstGeom>
        <a:noFill/>
        <a:ln w="9525">
          <a:noFill/>
          <a:miter lim="800000"/>
          <a:headEnd/>
          <a:tailEnd/>
        </a:ln>
      </xdr:spPr>
      <xdr:txBody>
        <a:bodyPr vertOverflow="clip" wrap="square" lIns="27432" tIns="27432" rIns="0" bIns="0" anchor="t" upright="1"/>
        <a:lstStyle/>
        <a:p>
          <a:pPr algn="l" rtl="0">
            <a:defRPr sz="1000"/>
          </a:pPr>
          <a:r>
            <a:rPr lang="en-US" sz="1100" b="0" i="0" strike="noStrike">
              <a:solidFill>
                <a:srgbClr val="000000"/>
              </a:solidFill>
              <a:latin typeface="Arial" pitchFamily="34" charset="0"/>
              <a:cs typeface="Arial" pitchFamily="34" charset="0"/>
            </a:rPr>
            <a:t>C</a:t>
          </a:r>
          <a:r>
            <a:rPr lang="en-US" sz="1100" b="0" i="0" strike="noStrike" baseline="-25000">
              <a:solidFill>
                <a:srgbClr val="000000"/>
              </a:solidFill>
              <a:latin typeface="Arial" pitchFamily="34" charset="0"/>
              <a:cs typeface="Arial" pitchFamily="34" charset="0"/>
            </a:rPr>
            <a:t>IN</a:t>
          </a:r>
        </a:p>
      </xdr:txBody>
    </xdr:sp>
    <xdr:clientData/>
  </xdr:twoCellAnchor>
  <xdr:twoCellAnchor>
    <xdr:from>
      <xdr:col>23</xdr:col>
      <xdr:colOff>132557</xdr:colOff>
      <xdr:row>9</xdr:row>
      <xdr:rowOff>152400</xdr:rowOff>
    </xdr:from>
    <xdr:to>
      <xdr:col>24</xdr:col>
      <xdr:colOff>16035</xdr:colOff>
      <xdr:row>10</xdr:row>
      <xdr:rowOff>152762</xdr:rowOff>
    </xdr:to>
    <xdr:sp macro="" textlink="'Variable Mgmt'!B206">
      <xdr:nvSpPr>
        <xdr:cNvPr id="2315" name="Text Box 267">
          <a:extLst>
            <a:ext uri="{FF2B5EF4-FFF2-40B4-BE49-F238E27FC236}">
              <a16:creationId xmlns:a16="http://schemas.microsoft.com/office/drawing/2014/main" id="{00000000-0008-0000-0000-00000B090000}"/>
            </a:ext>
          </a:extLst>
        </xdr:cNvPr>
        <xdr:cNvSpPr txBox="1">
          <a:spLocks noChangeArrowheads="1" noTextEdit="1"/>
        </xdr:cNvSpPr>
      </xdr:nvSpPr>
      <xdr:spPr bwMode="auto">
        <a:xfrm>
          <a:off x="14420057" y="2324100"/>
          <a:ext cx="493078" cy="200387"/>
        </a:xfrm>
        <a:prstGeom prst="rect">
          <a:avLst/>
        </a:prstGeom>
        <a:noFill/>
        <a:ln w="9525">
          <a:noFill/>
          <a:miter lim="800000"/>
          <a:headEnd/>
          <a:tailEnd/>
        </a:ln>
      </xdr:spPr>
      <xdr:txBody>
        <a:bodyPr vertOverflow="clip" wrap="square" lIns="27432" tIns="22860" rIns="0" bIns="0" anchor="ctr" upright="1"/>
        <a:lstStyle/>
        <a:p>
          <a:pPr algn="l" rtl="0">
            <a:defRPr sz="1000"/>
          </a:pPr>
          <a:fld id="{DEF62FD0-959B-4627-B7E8-61CA1688D174}" type="TxLink">
            <a:rPr lang="en-US" sz="1100" b="0" i="0" u="none" strike="noStrike" baseline="0">
              <a:solidFill>
                <a:srgbClr val="000000"/>
              </a:solidFill>
              <a:latin typeface="Arial" pitchFamily="34" charset="0"/>
              <a:cs typeface="Arial" pitchFamily="34" charset="0"/>
            </a:rPr>
            <a:pPr algn="l" rtl="0">
              <a:defRPr sz="1000"/>
            </a:pPr>
            <a:t>44µF</a:t>
          </a:fld>
          <a:endParaRPr lang="en-US" sz="1100" b="0" i="0" u="none" strike="noStrike" baseline="0">
            <a:solidFill>
              <a:srgbClr val="000000"/>
            </a:solidFill>
            <a:latin typeface="Arial" pitchFamily="34" charset="0"/>
            <a:cs typeface="Arial" pitchFamily="34" charset="0"/>
          </a:endParaRPr>
        </a:p>
      </xdr:txBody>
    </xdr:sp>
    <xdr:clientData/>
  </xdr:twoCellAnchor>
  <xdr:twoCellAnchor>
    <xdr:from>
      <xdr:col>20</xdr:col>
      <xdr:colOff>471028</xdr:colOff>
      <xdr:row>11</xdr:row>
      <xdr:rowOff>166894</xdr:rowOff>
    </xdr:from>
    <xdr:to>
      <xdr:col>21</xdr:col>
      <xdr:colOff>310312</xdr:colOff>
      <xdr:row>13</xdr:row>
      <xdr:rowOff>15767</xdr:rowOff>
    </xdr:to>
    <xdr:sp macro="" textlink="'Variable Mgmt'!B192">
      <xdr:nvSpPr>
        <xdr:cNvPr id="2323" name="Text Box 275">
          <a:extLst>
            <a:ext uri="{FF2B5EF4-FFF2-40B4-BE49-F238E27FC236}">
              <a16:creationId xmlns:a16="http://schemas.microsoft.com/office/drawing/2014/main" id="{00000000-0008-0000-0000-000013090000}"/>
            </a:ext>
          </a:extLst>
        </xdr:cNvPr>
        <xdr:cNvSpPr txBox="1">
          <a:spLocks noChangeArrowheads="1" noTextEdit="1"/>
        </xdr:cNvSpPr>
      </xdr:nvSpPr>
      <xdr:spPr bwMode="auto">
        <a:xfrm>
          <a:off x="12929728" y="2738644"/>
          <a:ext cx="448884" cy="248923"/>
        </a:xfrm>
        <a:prstGeom prst="rect">
          <a:avLst/>
        </a:prstGeom>
        <a:noFill/>
        <a:ln w="9525">
          <a:noFill/>
          <a:miter lim="800000"/>
          <a:headEnd/>
          <a:tailEnd/>
        </a:ln>
      </xdr:spPr>
      <xdr:txBody>
        <a:bodyPr vertOverflow="clip" wrap="square" lIns="27432" tIns="22860" rIns="0" bIns="0" anchor="ctr" upright="1"/>
        <a:lstStyle/>
        <a:p>
          <a:pPr algn="ctr" rtl="0">
            <a:defRPr sz="1000"/>
          </a:pPr>
          <a:fld id="{08583DE7-3129-476B-98BE-2887A134E956}" type="TxLink">
            <a:rPr lang="en-US" sz="1050" b="0" i="0" u="none" strike="noStrike" baseline="0">
              <a:solidFill>
                <a:srgbClr val="000000"/>
              </a:solidFill>
              <a:latin typeface="Arial" pitchFamily="34" charset="0"/>
              <a:cs typeface="Arial" pitchFamily="34" charset="0"/>
            </a:rPr>
            <a:pPr algn="ctr" rtl="0">
              <a:defRPr sz="1000"/>
            </a:pPr>
            <a:t>7µH</a:t>
          </a:fld>
          <a:endParaRPr lang="en-US" sz="1050" b="0" i="0" u="none" strike="noStrike" baseline="0">
            <a:solidFill>
              <a:srgbClr val="000000"/>
            </a:solidFill>
            <a:latin typeface="Arial" pitchFamily="34" charset="0"/>
            <a:cs typeface="Arial" pitchFamily="34" charset="0"/>
          </a:endParaRPr>
        </a:p>
      </xdr:txBody>
    </xdr:sp>
    <xdr:clientData/>
  </xdr:twoCellAnchor>
  <xdr:twoCellAnchor>
    <xdr:from>
      <xdr:col>14</xdr:col>
      <xdr:colOff>291064</xdr:colOff>
      <xdr:row>12</xdr:row>
      <xdr:rowOff>96249</xdr:rowOff>
    </xdr:from>
    <xdr:to>
      <xdr:col>15</xdr:col>
      <xdr:colOff>155296</xdr:colOff>
      <xdr:row>13</xdr:row>
      <xdr:rowOff>88852</xdr:rowOff>
    </xdr:to>
    <xdr:sp macro="" textlink="'Variable Mgmt'!B211">
      <xdr:nvSpPr>
        <xdr:cNvPr id="2324" name="Text Box 276">
          <a:extLst>
            <a:ext uri="{FF2B5EF4-FFF2-40B4-BE49-F238E27FC236}">
              <a16:creationId xmlns:a16="http://schemas.microsoft.com/office/drawing/2014/main" id="{00000000-0008-0000-0000-000014090000}"/>
            </a:ext>
          </a:extLst>
        </xdr:cNvPr>
        <xdr:cNvSpPr txBox="1">
          <a:spLocks noChangeArrowheads="1" noTextEdit="1"/>
        </xdr:cNvSpPr>
      </xdr:nvSpPr>
      <xdr:spPr bwMode="auto">
        <a:xfrm>
          <a:off x="8834989" y="2868024"/>
          <a:ext cx="473832" cy="192628"/>
        </a:xfrm>
        <a:prstGeom prst="rect">
          <a:avLst/>
        </a:prstGeom>
        <a:noFill/>
        <a:ln w="9525">
          <a:noFill/>
          <a:miter lim="800000"/>
          <a:headEnd/>
          <a:tailEnd/>
        </a:ln>
      </xdr:spPr>
      <xdr:txBody>
        <a:bodyPr vertOverflow="clip" wrap="square" lIns="27432" tIns="22860" rIns="0" bIns="0" anchor="ctr" upright="1"/>
        <a:lstStyle/>
        <a:p>
          <a:pPr algn="ctr" rtl="0">
            <a:defRPr sz="1000"/>
          </a:pPr>
          <a:fld id="{7E8F3901-1453-4951-8E28-510E65401D4C}" type="TxLink">
            <a:rPr lang="en-US" sz="1100" b="0" i="0" u="none" strike="noStrike" baseline="0">
              <a:solidFill>
                <a:srgbClr val="000000"/>
              </a:solidFill>
              <a:latin typeface="Arial" pitchFamily="34" charset="0"/>
              <a:cs typeface="Arial" pitchFamily="34" charset="0"/>
            </a:rPr>
            <a:pPr algn="ctr" rtl="0">
              <a:defRPr sz="1000"/>
            </a:pPr>
            <a:t>10µF</a:t>
          </a:fld>
          <a:endParaRPr lang="en-US" sz="1100" b="0" i="0" u="none" strike="noStrike" baseline="0">
            <a:solidFill>
              <a:srgbClr val="000000"/>
            </a:solidFill>
            <a:latin typeface="Arial" pitchFamily="34" charset="0"/>
            <a:cs typeface="Arial" pitchFamily="34" charset="0"/>
          </a:endParaRPr>
        </a:p>
      </xdr:txBody>
    </xdr:sp>
    <xdr:clientData/>
  </xdr:twoCellAnchor>
  <xdr:twoCellAnchor>
    <xdr:from>
      <xdr:col>15</xdr:col>
      <xdr:colOff>240362</xdr:colOff>
      <xdr:row>21</xdr:row>
      <xdr:rowOff>19528</xdr:rowOff>
    </xdr:from>
    <xdr:to>
      <xdr:col>16</xdr:col>
      <xdr:colOff>8055</xdr:colOff>
      <xdr:row>22</xdr:row>
      <xdr:rowOff>97673</xdr:rowOff>
    </xdr:to>
    <xdr:sp macro="" textlink="'Variable Mgmt'!D238">
      <xdr:nvSpPr>
        <xdr:cNvPr id="2329" name="Text Box 281">
          <a:extLst>
            <a:ext uri="{FF2B5EF4-FFF2-40B4-BE49-F238E27FC236}">
              <a16:creationId xmlns:a16="http://schemas.microsoft.com/office/drawing/2014/main" id="{00000000-0008-0000-0000-000019090000}"/>
            </a:ext>
          </a:extLst>
        </xdr:cNvPr>
        <xdr:cNvSpPr txBox="1">
          <a:spLocks noChangeArrowheads="1" noTextEdit="1"/>
        </xdr:cNvSpPr>
      </xdr:nvSpPr>
      <xdr:spPr bwMode="auto">
        <a:xfrm>
          <a:off x="9393887" y="4639153"/>
          <a:ext cx="443968" cy="287695"/>
        </a:xfrm>
        <a:prstGeom prst="rect">
          <a:avLst/>
        </a:prstGeom>
        <a:noFill/>
        <a:ln w="9525">
          <a:noFill/>
          <a:miter lim="800000"/>
          <a:headEnd/>
          <a:tailEnd/>
        </a:ln>
      </xdr:spPr>
      <xdr:txBody>
        <a:bodyPr vertOverflow="clip" wrap="square" lIns="27432" tIns="22860" rIns="0" bIns="0" anchor="ctr" upright="1"/>
        <a:lstStyle/>
        <a:p>
          <a:pPr algn="ctr" rtl="0">
            <a:defRPr sz="1000"/>
          </a:pPr>
          <a:fld id="{F2115F91-8BFD-4C9B-9969-8B2C04ADF4C5}" type="TxLink">
            <a:rPr lang="en-US" sz="1100" b="0" i="0" u="none" strike="noStrike">
              <a:solidFill>
                <a:srgbClr val="000000"/>
              </a:solidFill>
              <a:latin typeface="Arial"/>
              <a:cs typeface="Arial"/>
            </a:rPr>
            <a:pPr algn="ctr" rtl="0">
              <a:defRPr sz="1000"/>
            </a:pPr>
            <a:t>47nF</a:t>
          </a:fld>
          <a:endParaRPr lang="en-US" sz="1100" b="0" i="0" strike="noStrike">
            <a:solidFill>
              <a:srgbClr val="000000"/>
            </a:solidFill>
            <a:latin typeface="Arial" pitchFamily="34" charset="0"/>
            <a:cs typeface="Arial" pitchFamily="34" charset="0"/>
          </a:endParaRPr>
        </a:p>
      </xdr:txBody>
    </xdr:sp>
    <xdr:clientData/>
  </xdr:twoCellAnchor>
  <xdr:twoCellAnchor>
    <xdr:from>
      <xdr:col>13</xdr:col>
      <xdr:colOff>383720</xdr:colOff>
      <xdr:row>6</xdr:row>
      <xdr:rowOff>10907</xdr:rowOff>
    </xdr:from>
    <xdr:to>
      <xdr:col>14</xdr:col>
      <xdr:colOff>285286</xdr:colOff>
      <xdr:row>8</xdr:row>
      <xdr:rowOff>95545</xdr:rowOff>
    </xdr:to>
    <xdr:sp macro="" textlink="'Variable Mgmt'!B198">
      <xdr:nvSpPr>
        <xdr:cNvPr id="2331" name="Text Box 283">
          <a:extLst>
            <a:ext uri="{FF2B5EF4-FFF2-40B4-BE49-F238E27FC236}">
              <a16:creationId xmlns:a16="http://schemas.microsoft.com/office/drawing/2014/main" id="{00000000-0008-0000-0000-00001B090000}"/>
            </a:ext>
          </a:extLst>
        </xdr:cNvPr>
        <xdr:cNvSpPr txBox="1">
          <a:spLocks noChangeArrowheads="1" noTextEdit="1"/>
        </xdr:cNvSpPr>
      </xdr:nvSpPr>
      <xdr:spPr bwMode="auto">
        <a:xfrm>
          <a:off x="8318045" y="1601582"/>
          <a:ext cx="511166" cy="465638"/>
        </a:xfrm>
        <a:prstGeom prst="rect">
          <a:avLst/>
        </a:prstGeom>
        <a:noFill/>
        <a:ln w="9525">
          <a:noFill/>
          <a:miter lim="800000"/>
          <a:headEnd/>
          <a:tailEnd/>
        </a:ln>
      </xdr:spPr>
      <xdr:txBody>
        <a:bodyPr vertOverflow="clip" wrap="square" lIns="27432" tIns="22860" rIns="0" bIns="0" anchor="ctr" upright="1"/>
        <a:lstStyle/>
        <a:p>
          <a:pPr algn="r" rtl="0">
            <a:defRPr sz="1000"/>
          </a:pPr>
          <a:fld id="{211B0151-B00E-493E-8C8F-6E492416D93B}" type="TxLink">
            <a:rPr lang="en-US" sz="1400" b="1" i="0" u="none" strike="noStrike">
              <a:solidFill>
                <a:srgbClr val="FF0000"/>
              </a:solidFill>
              <a:latin typeface="Arial" pitchFamily="34" charset="0"/>
              <a:cs typeface="Arial" pitchFamily="34" charset="0"/>
            </a:rPr>
            <a:pPr algn="r" rtl="0">
              <a:defRPr sz="1000"/>
            </a:pPr>
            <a:t>15V</a:t>
          </a:fld>
          <a:endParaRPr lang="en-US" sz="1400" b="1" i="0" strike="noStrike">
            <a:solidFill>
              <a:srgbClr val="FF0000"/>
            </a:solidFill>
            <a:latin typeface="Arial" pitchFamily="34" charset="0"/>
            <a:cs typeface="Arial" pitchFamily="34" charset="0"/>
          </a:endParaRPr>
        </a:p>
      </xdr:txBody>
    </xdr:sp>
    <xdr:clientData/>
  </xdr:twoCellAnchor>
  <xdr:twoCellAnchor>
    <xdr:from>
      <xdr:col>24</xdr:col>
      <xdr:colOff>19339</xdr:colOff>
      <xdr:row>6</xdr:row>
      <xdr:rowOff>57503</xdr:rowOff>
    </xdr:from>
    <xdr:to>
      <xdr:col>25</xdr:col>
      <xdr:colOff>74772</xdr:colOff>
      <xdr:row>8</xdr:row>
      <xdr:rowOff>34017</xdr:rowOff>
    </xdr:to>
    <xdr:sp macro="" textlink="'Variable Mgmt'!B201">
      <xdr:nvSpPr>
        <xdr:cNvPr id="2333" name="Text Box 285">
          <a:extLst>
            <a:ext uri="{FF2B5EF4-FFF2-40B4-BE49-F238E27FC236}">
              <a16:creationId xmlns:a16="http://schemas.microsoft.com/office/drawing/2014/main" id="{00000000-0008-0000-0000-00001D090000}"/>
            </a:ext>
          </a:extLst>
        </xdr:cNvPr>
        <xdr:cNvSpPr txBox="1">
          <a:spLocks noChangeArrowheads="1" noTextEdit="1"/>
        </xdr:cNvSpPr>
      </xdr:nvSpPr>
      <xdr:spPr bwMode="auto">
        <a:xfrm>
          <a:off x="14916439" y="1648178"/>
          <a:ext cx="665033" cy="357514"/>
        </a:xfrm>
        <a:prstGeom prst="rect">
          <a:avLst/>
        </a:prstGeom>
        <a:noFill/>
        <a:ln w="9525">
          <a:noFill/>
          <a:miter lim="800000"/>
          <a:headEnd/>
          <a:tailEnd/>
        </a:ln>
      </xdr:spPr>
      <xdr:txBody>
        <a:bodyPr vertOverflow="clip" wrap="square" lIns="27432" tIns="22860" rIns="0" bIns="0" anchor="ctr" upright="1"/>
        <a:lstStyle/>
        <a:p>
          <a:pPr algn="l" rtl="0">
            <a:defRPr sz="1000"/>
          </a:pPr>
          <a:fld id="{702C2B8A-7C4B-4FDB-B229-3170089D9686}" type="TxLink">
            <a:rPr lang="en-US" sz="1400" b="1" i="0" u="none" strike="noStrike" baseline="0">
              <a:solidFill>
                <a:srgbClr val="FF0000"/>
              </a:solidFill>
              <a:latin typeface="Arial" pitchFamily="34" charset="0"/>
              <a:cs typeface="Arial" pitchFamily="34" charset="0"/>
            </a:rPr>
            <a:pPr algn="l" rtl="0">
              <a:defRPr sz="1000"/>
            </a:pPr>
            <a:t>15V</a:t>
          </a:fld>
          <a:endParaRPr lang="en-US" sz="1400" b="1" i="0" u="none" strike="noStrike" baseline="0">
            <a:solidFill>
              <a:srgbClr val="FF0000"/>
            </a:solidFill>
            <a:latin typeface="Arial" pitchFamily="34" charset="0"/>
            <a:cs typeface="Arial" pitchFamily="34" charset="0"/>
          </a:endParaRPr>
        </a:p>
      </xdr:txBody>
    </xdr:sp>
    <xdr:clientData/>
  </xdr:twoCellAnchor>
  <xdr:twoCellAnchor>
    <xdr:from>
      <xdr:col>23</xdr:col>
      <xdr:colOff>466725</xdr:colOff>
      <xdr:row>7</xdr:row>
      <xdr:rowOff>153310</xdr:rowOff>
    </xdr:from>
    <xdr:to>
      <xdr:col>24</xdr:col>
      <xdr:colOff>408213</xdr:colOff>
      <xdr:row>9</xdr:row>
      <xdr:rowOff>64353</xdr:rowOff>
    </xdr:to>
    <xdr:sp macro="" textlink="'Variable Mgmt'!B256">
      <xdr:nvSpPr>
        <xdr:cNvPr id="2334" name="Text Box 286">
          <a:extLst>
            <a:ext uri="{FF2B5EF4-FFF2-40B4-BE49-F238E27FC236}">
              <a16:creationId xmlns:a16="http://schemas.microsoft.com/office/drawing/2014/main" id="{00000000-0008-0000-0000-00001E090000}"/>
            </a:ext>
          </a:extLst>
        </xdr:cNvPr>
        <xdr:cNvSpPr txBox="1">
          <a:spLocks noChangeArrowheads="1" noTextEdit="1"/>
        </xdr:cNvSpPr>
      </xdr:nvSpPr>
      <xdr:spPr bwMode="auto">
        <a:xfrm>
          <a:off x="14754225" y="1924960"/>
          <a:ext cx="551088" cy="311093"/>
        </a:xfrm>
        <a:prstGeom prst="rect">
          <a:avLst/>
        </a:prstGeom>
        <a:noFill/>
        <a:ln w="9525">
          <a:noFill/>
          <a:miter lim="800000"/>
          <a:headEnd/>
          <a:tailEnd/>
        </a:ln>
      </xdr:spPr>
      <xdr:txBody>
        <a:bodyPr vertOverflow="clip" wrap="square" lIns="27432" tIns="22860" rIns="0" bIns="0" anchor="ctr" upright="1"/>
        <a:lstStyle/>
        <a:p>
          <a:pPr algn="ctr" rtl="0">
            <a:defRPr sz="1000"/>
          </a:pPr>
          <a:fld id="{E0FB88FA-F39E-4ACF-AB5E-DCB628763AAE}" type="TxLink">
            <a:rPr lang="en-US" sz="1350" b="1" i="0" u="none" strike="noStrike">
              <a:solidFill>
                <a:srgbClr val="FF0000"/>
              </a:solidFill>
              <a:latin typeface="Arial" pitchFamily="34" charset="0"/>
              <a:cs typeface="Arial" pitchFamily="34" charset="0"/>
            </a:rPr>
            <a:pPr algn="ctr" rtl="0">
              <a:defRPr sz="1000"/>
            </a:pPr>
            <a:t>1A</a:t>
          </a:fld>
          <a:endParaRPr lang="en-US" sz="1350" b="1" i="0" strike="noStrike">
            <a:solidFill>
              <a:srgbClr val="FF0000"/>
            </a:solidFill>
            <a:latin typeface="Arial" pitchFamily="34" charset="0"/>
            <a:cs typeface="Arial" pitchFamily="34" charset="0"/>
          </a:endParaRPr>
        </a:p>
      </xdr:txBody>
    </xdr:sp>
    <xdr:clientData/>
  </xdr:twoCellAnchor>
  <mc:AlternateContent xmlns:mc="http://schemas.openxmlformats.org/markup-compatibility/2006">
    <mc:Choice xmlns:a14="http://schemas.microsoft.com/office/drawing/2010/main" Requires="a14">
      <xdr:twoCellAnchor>
        <xdr:from>
          <xdr:col>5</xdr:col>
          <xdr:colOff>121920</xdr:colOff>
          <xdr:row>6</xdr:row>
          <xdr:rowOff>7620</xdr:rowOff>
        </xdr:from>
        <xdr:to>
          <xdr:col>5</xdr:col>
          <xdr:colOff>304800</xdr:colOff>
          <xdr:row>7</xdr:row>
          <xdr:rowOff>30480</xdr:rowOff>
        </xdr:to>
        <xdr:sp macro="" textlink="">
          <xdr:nvSpPr>
            <xdr:cNvPr id="672895" name="Spinner 127" hidden="1">
              <a:extLst>
                <a:ext uri="{63B3BB69-23CF-44E3-9099-C40C66FF867C}">
                  <a14:compatExt spid="_x0000_s672895"/>
                </a:ext>
                <a:ext uri="{FF2B5EF4-FFF2-40B4-BE49-F238E27FC236}">
                  <a16:creationId xmlns:a16="http://schemas.microsoft.com/office/drawing/2014/main" id="{00000000-0008-0000-0000-00007F440A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xdr:from>
      <xdr:col>15</xdr:col>
      <xdr:colOff>335079</xdr:colOff>
      <xdr:row>10</xdr:row>
      <xdr:rowOff>32564</xdr:rowOff>
    </xdr:from>
    <xdr:to>
      <xdr:col>16</xdr:col>
      <xdr:colOff>183502</xdr:colOff>
      <xdr:row>11</xdr:row>
      <xdr:rowOff>77904</xdr:rowOff>
    </xdr:to>
    <xdr:sp macro="" textlink="'Variable Mgmt'!C230">
      <xdr:nvSpPr>
        <xdr:cNvPr id="71" name="Text Box 268">
          <a:extLst>
            <a:ext uri="{FF2B5EF4-FFF2-40B4-BE49-F238E27FC236}">
              <a16:creationId xmlns:a16="http://schemas.microsoft.com/office/drawing/2014/main" id="{00000000-0008-0000-0000-000047000000}"/>
            </a:ext>
          </a:extLst>
        </xdr:cNvPr>
        <xdr:cNvSpPr txBox="1">
          <a:spLocks noChangeArrowheads="1" noTextEdit="1"/>
        </xdr:cNvSpPr>
      </xdr:nvSpPr>
      <xdr:spPr bwMode="auto">
        <a:xfrm>
          <a:off x="9488604" y="2404289"/>
          <a:ext cx="524698" cy="245365"/>
        </a:xfrm>
        <a:prstGeom prst="rect">
          <a:avLst/>
        </a:prstGeom>
        <a:noFill/>
        <a:ln w="9525">
          <a:noFill/>
          <a:miter lim="800000"/>
          <a:headEnd/>
          <a:tailEnd/>
        </a:ln>
      </xdr:spPr>
      <xdr:txBody>
        <a:bodyPr vertOverflow="clip" wrap="square" lIns="27432" tIns="22860" rIns="0" bIns="0" anchor="ctr" upright="1"/>
        <a:lstStyle/>
        <a:p>
          <a:pPr algn="l" rtl="0">
            <a:defRPr sz="1000"/>
          </a:pPr>
          <a:fld id="{1D1A3E7F-1E53-43A2-8796-92E471B27515}" type="TxLink">
            <a:rPr lang="en-US" sz="1000" b="0" i="0" u="none" strike="noStrike">
              <a:solidFill>
                <a:srgbClr val="000000"/>
              </a:solidFill>
              <a:latin typeface="Arial"/>
              <a:cs typeface="Arial"/>
            </a:rPr>
            <a:pPr algn="l" rtl="0">
              <a:defRPr sz="1000"/>
            </a:pPr>
            <a:t>340kΩ</a:t>
          </a:fld>
          <a:endParaRPr lang="el-GR" sz="1000" b="0" i="0" strike="noStrike">
            <a:solidFill>
              <a:srgbClr val="000000"/>
            </a:solidFill>
            <a:latin typeface="Arial" pitchFamily="34" charset="0"/>
            <a:cs typeface="Arial" pitchFamily="34" charset="0"/>
          </a:endParaRPr>
        </a:p>
      </xdr:txBody>
    </xdr:sp>
    <xdr:clientData/>
  </xdr:twoCellAnchor>
  <xdr:twoCellAnchor>
    <xdr:from>
      <xdr:col>15</xdr:col>
      <xdr:colOff>316029</xdr:colOff>
      <xdr:row>14</xdr:row>
      <xdr:rowOff>215084</xdr:rowOff>
    </xdr:from>
    <xdr:to>
      <xdr:col>16</xdr:col>
      <xdr:colOff>164452</xdr:colOff>
      <xdr:row>15</xdr:row>
      <xdr:rowOff>176021</xdr:rowOff>
    </xdr:to>
    <xdr:sp macro="" textlink="'Variable Mgmt'!C231">
      <xdr:nvSpPr>
        <xdr:cNvPr id="73" name="Text Box 268">
          <a:extLst>
            <a:ext uri="{FF2B5EF4-FFF2-40B4-BE49-F238E27FC236}">
              <a16:creationId xmlns:a16="http://schemas.microsoft.com/office/drawing/2014/main" id="{00000000-0008-0000-0000-000049000000}"/>
            </a:ext>
          </a:extLst>
        </xdr:cNvPr>
        <xdr:cNvSpPr txBox="1">
          <a:spLocks noChangeArrowheads="1" noTextEdit="1"/>
        </xdr:cNvSpPr>
      </xdr:nvSpPr>
      <xdr:spPr bwMode="auto">
        <a:xfrm>
          <a:off x="9469554" y="3386909"/>
          <a:ext cx="524698" cy="208587"/>
        </a:xfrm>
        <a:prstGeom prst="rect">
          <a:avLst/>
        </a:prstGeom>
        <a:noFill/>
        <a:ln w="9525">
          <a:noFill/>
          <a:miter lim="800000"/>
          <a:headEnd/>
          <a:tailEnd/>
        </a:ln>
      </xdr:spPr>
      <xdr:txBody>
        <a:bodyPr vertOverflow="clip" wrap="square" lIns="27432" tIns="22860" rIns="0" bIns="0" anchor="ctr" upright="1"/>
        <a:lstStyle/>
        <a:p>
          <a:pPr algn="l" rtl="0">
            <a:defRPr sz="1000"/>
          </a:pPr>
          <a:fld id="{0720E52E-2A5C-45C2-9027-CC896682AFB7}" type="TxLink">
            <a:rPr lang="en-US" sz="1000" b="0" i="0" u="none" strike="noStrike">
              <a:solidFill>
                <a:srgbClr val="000000"/>
              </a:solidFill>
              <a:latin typeface="Arial"/>
              <a:cs typeface="Arial"/>
            </a:rPr>
            <a:pPr algn="l" rtl="0">
              <a:defRPr sz="1000"/>
            </a:pPr>
            <a:t>68.1kΩ</a:t>
          </a:fld>
          <a:endParaRPr lang="el-GR" sz="1000" b="0" i="0" strike="noStrike">
            <a:solidFill>
              <a:srgbClr val="000000"/>
            </a:solidFill>
            <a:latin typeface="Arial" pitchFamily="34" charset="0"/>
            <a:cs typeface="Arial" pitchFamily="34" charset="0"/>
          </a:endParaRPr>
        </a:p>
      </xdr:txBody>
    </xdr:sp>
    <xdr:clientData/>
  </xdr:twoCellAnchor>
  <xdr:twoCellAnchor>
    <xdr:from>
      <xdr:col>19</xdr:col>
      <xdr:colOff>325713</xdr:colOff>
      <xdr:row>15</xdr:row>
      <xdr:rowOff>30701</xdr:rowOff>
    </xdr:from>
    <xdr:to>
      <xdr:col>20</xdr:col>
      <xdr:colOff>235357</xdr:colOff>
      <xdr:row>16</xdr:row>
      <xdr:rowOff>65648</xdr:rowOff>
    </xdr:to>
    <xdr:sp macro="" textlink="'Variable Mgmt'!C220">
      <xdr:nvSpPr>
        <xdr:cNvPr id="89" name="Text Box 268">
          <a:extLst>
            <a:ext uri="{FF2B5EF4-FFF2-40B4-BE49-F238E27FC236}">
              <a16:creationId xmlns:a16="http://schemas.microsoft.com/office/drawing/2014/main" id="{00000000-0008-0000-0000-000059000000}"/>
            </a:ext>
          </a:extLst>
        </xdr:cNvPr>
        <xdr:cNvSpPr txBox="1">
          <a:spLocks noChangeArrowheads="1" noTextEdit="1"/>
        </xdr:cNvSpPr>
      </xdr:nvSpPr>
      <xdr:spPr bwMode="auto">
        <a:xfrm>
          <a:off x="12174813" y="3450176"/>
          <a:ext cx="519244" cy="234972"/>
        </a:xfrm>
        <a:prstGeom prst="rect">
          <a:avLst/>
        </a:prstGeom>
        <a:noFill/>
        <a:ln w="9525">
          <a:noFill/>
          <a:miter lim="800000"/>
          <a:headEnd/>
          <a:tailEnd/>
        </a:ln>
      </xdr:spPr>
      <xdr:txBody>
        <a:bodyPr vertOverflow="clip" wrap="square" lIns="27432" tIns="22860" rIns="0" bIns="0" anchor="ctr" upright="1"/>
        <a:lstStyle/>
        <a:p>
          <a:pPr algn="l" rtl="0">
            <a:defRPr sz="1000"/>
          </a:pPr>
          <a:fld id="{748954DB-E280-498C-BC91-9439B9EC7524}" type="TxLink">
            <a:rPr lang="en-US" sz="1100" b="0" i="0" u="none" strike="noStrike">
              <a:solidFill>
                <a:srgbClr val="000000"/>
              </a:solidFill>
              <a:latin typeface="Arial"/>
              <a:cs typeface="Arial"/>
            </a:rPr>
            <a:pPr algn="l" rtl="0">
              <a:defRPr sz="1000"/>
            </a:pPr>
            <a:t>240kΩ</a:t>
          </a:fld>
          <a:endParaRPr lang="el-GR" sz="1800" b="0" i="0" strike="noStrike">
            <a:solidFill>
              <a:srgbClr val="000000"/>
            </a:solidFill>
            <a:latin typeface="Arial" pitchFamily="34" charset="0"/>
            <a:cs typeface="Arial" pitchFamily="34" charset="0"/>
          </a:endParaRPr>
        </a:p>
      </xdr:txBody>
    </xdr:sp>
    <xdr:clientData/>
  </xdr:twoCellAnchor>
  <xdr:twoCellAnchor>
    <xdr:from>
      <xdr:col>20</xdr:col>
      <xdr:colOff>366817</xdr:colOff>
      <xdr:row>20</xdr:row>
      <xdr:rowOff>42569</xdr:rowOff>
    </xdr:from>
    <xdr:to>
      <xdr:col>21</xdr:col>
      <xdr:colOff>268980</xdr:colOff>
      <xdr:row>21</xdr:row>
      <xdr:rowOff>43965</xdr:rowOff>
    </xdr:to>
    <xdr:sp macro="" textlink="'Variable Mgmt'!C234">
      <xdr:nvSpPr>
        <xdr:cNvPr id="91" name="Text Box 265">
          <a:extLst>
            <a:ext uri="{FF2B5EF4-FFF2-40B4-BE49-F238E27FC236}">
              <a16:creationId xmlns:a16="http://schemas.microsoft.com/office/drawing/2014/main" id="{00000000-0008-0000-0000-00005B000000}"/>
            </a:ext>
          </a:extLst>
        </xdr:cNvPr>
        <xdr:cNvSpPr txBox="1">
          <a:spLocks noChangeArrowheads="1" noTextEdit="1"/>
        </xdr:cNvSpPr>
      </xdr:nvSpPr>
      <xdr:spPr bwMode="auto">
        <a:xfrm>
          <a:off x="12825517" y="4462169"/>
          <a:ext cx="511763" cy="201421"/>
        </a:xfrm>
        <a:prstGeom prst="rect">
          <a:avLst/>
        </a:prstGeom>
        <a:noFill/>
        <a:ln w="9525">
          <a:noFill/>
          <a:miter lim="800000"/>
          <a:headEnd/>
          <a:tailEnd/>
        </a:ln>
      </xdr:spPr>
      <xdr:txBody>
        <a:bodyPr vertOverflow="clip" wrap="square" lIns="27432" tIns="22860" rIns="0" bIns="0" anchor="t" upright="1"/>
        <a:lstStyle/>
        <a:p>
          <a:pPr algn="l" rtl="0">
            <a:defRPr sz="1000"/>
          </a:pPr>
          <a:fld id="{B2616B24-776D-472C-9328-875E07CFCCA9}" type="TxLink">
            <a:rPr lang="en-US" sz="1100" b="0" i="0" u="none" strike="noStrike" baseline="0">
              <a:solidFill>
                <a:srgbClr val="000000"/>
              </a:solidFill>
              <a:latin typeface="Arial"/>
              <a:cs typeface="Arial"/>
            </a:rPr>
            <a:pPr algn="l" rtl="0">
              <a:defRPr sz="1000"/>
            </a:pPr>
            <a:t>12.1kΩ</a:t>
          </a:fld>
          <a:endParaRPr lang="el-GR" sz="1200" b="0" i="0" u="none" strike="noStrike" baseline="0">
            <a:solidFill>
              <a:srgbClr val="000000"/>
            </a:solidFill>
            <a:latin typeface="Arial" pitchFamily="34" charset="0"/>
            <a:cs typeface="Arial" pitchFamily="34" charset="0"/>
          </a:endParaRPr>
        </a:p>
      </xdr:txBody>
    </xdr:sp>
    <xdr:clientData/>
  </xdr:twoCellAnchor>
  <xdr:twoCellAnchor>
    <xdr:from>
      <xdr:col>13</xdr:col>
      <xdr:colOff>390526</xdr:colOff>
      <xdr:row>8</xdr:row>
      <xdr:rowOff>14707</xdr:rowOff>
    </xdr:from>
    <xdr:to>
      <xdr:col>15</xdr:col>
      <xdr:colOff>200026</xdr:colOff>
      <xdr:row>9</xdr:row>
      <xdr:rowOff>100569</xdr:rowOff>
    </xdr:to>
    <xdr:sp macro="" textlink="'Variable Mgmt'!B199">
      <xdr:nvSpPr>
        <xdr:cNvPr id="35" name="Text Box 283">
          <a:extLst>
            <a:ext uri="{FF2B5EF4-FFF2-40B4-BE49-F238E27FC236}">
              <a16:creationId xmlns:a16="http://schemas.microsoft.com/office/drawing/2014/main" id="{00000000-0008-0000-0000-000023000000}"/>
            </a:ext>
          </a:extLst>
        </xdr:cNvPr>
        <xdr:cNvSpPr txBox="1">
          <a:spLocks noChangeArrowheads="1" noTextEdit="1"/>
        </xdr:cNvSpPr>
      </xdr:nvSpPr>
      <xdr:spPr bwMode="auto">
        <a:xfrm>
          <a:off x="8324851" y="1986382"/>
          <a:ext cx="1028700" cy="285887"/>
        </a:xfrm>
        <a:prstGeom prst="rect">
          <a:avLst/>
        </a:prstGeom>
        <a:noFill/>
        <a:ln w="9525">
          <a:noFill/>
          <a:miter lim="800000"/>
          <a:headEnd/>
          <a:tailEnd/>
        </a:ln>
      </xdr:spPr>
      <xdr:txBody>
        <a:bodyPr vertOverflow="clip" wrap="square" lIns="27432" tIns="22860" rIns="0" bIns="0" anchor="t" upright="1"/>
        <a:lstStyle/>
        <a:p>
          <a:pPr algn="l" rtl="0">
            <a:defRPr sz="1000"/>
          </a:pPr>
          <a:fld id="{47315316-35F3-49E7-A4CE-EA42773D1FAE}" type="TxLink">
            <a:rPr lang="en-US" sz="1200" b="1" i="0" u="none" strike="noStrike">
              <a:solidFill>
                <a:srgbClr val="000000"/>
              </a:solidFill>
              <a:latin typeface="Arial"/>
              <a:cs typeface="Arial"/>
            </a:rPr>
            <a:pPr algn="l" rtl="0">
              <a:defRPr sz="1000"/>
            </a:pPr>
            <a:t>12V...17V</a:t>
          </a:fld>
          <a:endParaRPr lang="en-US" sz="1200" b="1" i="0" strike="noStrike">
            <a:solidFill>
              <a:srgbClr val="000000"/>
            </a:solidFill>
            <a:latin typeface="Arial" pitchFamily="34" charset="0"/>
            <a:cs typeface="Arial"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4</xdr:col>
          <xdr:colOff>7620</xdr:colOff>
          <xdr:row>27</xdr:row>
          <xdr:rowOff>0</xdr:rowOff>
        </xdr:from>
        <xdr:to>
          <xdr:col>5</xdr:col>
          <xdr:colOff>274320</xdr:colOff>
          <xdr:row>28</xdr:row>
          <xdr:rowOff>30480</xdr:rowOff>
        </xdr:to>
        <xdr:sp macro="" textlink="">
          <xdr:nvSpPr>
            <xdr:cNvPr id="672935" name="Drop Down 167" hidden="1">
              <a:extLst>
                <a:ext uri="{63B3BB69-23CF-44E3-9099-C40C66FF867C}">
                  <a14:compatExt spid="_x0000_s672935"/>
                </a:ext>
                <a:ext uri="{FF2B5EF4-FFF2-40B4-BE49-F238E27FC236}">
                  <a16:creationId xmlns:a16="http://schemas.microsoft.com/office/drawing/2014/main" id="{00000000-0008-0000-0000-0000A7440A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19</xdr:col>
      <xdr:colOff>345191</xdr:colOff>
      <xdr:row>18</xdr:row>
      <xdr:rowOff>179673</xdr:rowOff>
    </xdr:from>
    <xdr:to>
      <xdr:col>20</xdr:col>
      <xdr:colOff>66463</xdr:colOff>
      <xdr:row>20</xdr:row>
      <xdr:rowOff>31513</xdr:rowOff>
    </xdr:to>
    <xdr:sp macro="" textlink="'Variable Mgmt'!C226">
      <xdr:nvSpPr>
        <xdr:cNvPr id="43" name="Text Box 225">
          <a:extLst>
            <a:ext uri="{FF2B5EF4-FFF2-40B4-BE49-F238E27FC236}">
              <a16:creationId xmlns:a16="http://schemas.microsoft.com/office/drawing/2014/main" id="{00000000-0008-0000-0000-00002B000000}"/>
            </a:ext>
          </a:extLst>
        </xdr:cNvPr>
        <xdr:cNvSpPr txBox="1">
          <a:spLocks noChangeArrowheads="1"/>
        </xdr:cNvSpPr>
      </xdr:nvSpPr>
      <xdr:spPr bwMode="auto">
        <a:xfrm>
          <a:off x="12194291" y="4199223"/>
          <a:ext cx="330872" cy="251890"/>
        </a:xfrm>
        <a:prstGeom prst="rect">
          <a:avLst/>
        </a:prstGeom>
        <a:noFill/>
        <a:ln w="9525">
          <a:noFill/>
          <a:miter lim="800000"/>
          <a:headEnd/>
          <a:tailEnd/>
        </a:ln>
      </xdr:spPr>
      <xdr:txBody>
        <a:bodyPr vertOverflow="clip" wrap="square" lIns="27432" tIns="27432" rIns="0" bIns="0" anchor="ctr" upright="1"/>
        <a:lstStyle/>
        <a:p>
          <a:pPr algn="l" rtl="0">
            <a:defRPr sz="1000"/>
          </a:pPr>
          <a:fld id="{C394427D-AAFB-4910-BFD4-26E4AF094E1D}" type="TxLink">
            <a:rPr lang="en-US" sz="1000" b="0" i="0" u="none" strike="noStrike">
              <a:solidFill>
                <a:srgbClr val="000000"/>
              </a:solidFill>
              <a:latin typeface="Arial"/>
              <a:cs typeface="Arial"/>
            </a:rPr>
            <a:pPr algn="l" rtl="0">
              <a:defRPr sz="1000"/>
            </a:pPr>
            <a:t>Rtc</a:t>
          </a:fld>
          <a:endParaRPr lang="en-US" sz="1100" b="0" i="0" strike="noStrike" baseline="-25000">
            <a:solidFill>
              <a:srgbClr val="000000"/>
            </a:solidFill>
            <a:latin typeface="Arial" pitchFamily="34" charset="0"/>
            <a:cs typeface="Arial" pitchFamily="34" charset="0"/>
          </a:endParaRPr>
        </a:p>
      </xdr:txBody>
    </xdr:sp>
    <xdr:clientData/>
  </xdr:twoCellAnchor>
  <xdr:twoCellAnchor>
    <xdr:from>
      <xdr:col>19</xdr:col>
      <xdr:colOff>294863</xdr:colOff>
      <xdr:row>20</xdr:row>
      <xdr:rowOff>24818</xdr:rowOff>
    </xdr:from>
    <xdr:to>
      <xdr:col>20</xdr:col>
      <xdr:colOff>200643</xdr:colOff>
      <xdr:row>21</xdr:row>
      <xdr:rowOff>57525</xdr:rowOff>
    </xdr:to>
    <xdr:sp macro="" textlink="'Variable Mgmt'!B226">
      <xdr:nvSpPr>
        <xdr:cNvPr id="44" name="Text Box 268">
          <a:extLst>
            <a:ext uri="{FF2B5EF4-FFF2-40B4-BE49-F238E27FC236}">
              <a16:creationId xmlns:a16="http://schemas.microsoft.com/office/drawing/2014/main" id="{00000000-0008-0000-0000-00002C000000}"/>
            </a:ext>
          </a:extLst>
        </xdr:cNvPr>
        <xdr:cNvSpPr txBox="1">
          <a:spLocks noChangeArrowheads="1" noTextEdit="1"/>
        </xdr:cNvSpPr>
      </xdr:nvSpPr>
      <xdr:spPr bwMode="auto">
        <a:xfrm>
          <a:off x="12143963" y="4444418"/>
          <a:ext cx="515380" cy="232732"/>
        </a:xfrm>
        <a:prstGeom prst="rect">
          <a:avLst/>
        </a:prstGeom>
        <a:noFill/>
        <a:ln w="9525">
          <a:noFill/>
          <a:miter lim="800000"/>
          <a:headEnd/>
          <a:tailEnd/>
        </a:ln>
      </xdr:spPr>
      <xdr:txBody>
        <a:bodyPr vertOverflow="clip" wrap="square" lIns="27432" tIns="22860" rIns="0" bIns="0" anchor="ctr" upright="1"/>
        <a:lstStyle/>
        <a:p>
          <a:pPr algn="l" rtl="0">
            <a:defRPr sz="1000"/>
          </a:pPr>
          <a:fld id="{35437053-6AF1-4CB6-8BC9-CEEF911045AA}" type="TxLink">
            <a:rPr lang="en-US" sz="1100" b="0" i="0" u="none" strike="noStrike">
              <a:solidFill>
                <a:srgbClr val="000000"/>
              </a:solidFill>
              <a:latin typeface="Arial"/>
              <a:cs typeface="Arial"/>
            </a:rPr>
            <a:pPr algn="l" rtl="0">
              <a:defRPr sz="1000"/>
            </a:pPr>
            <a:t>316kΩ</a:t>
          </a:fld>
          <a:endParaRPr lang="el-GR" sz="1100" b="0" i="0" strike="noStrike">
            <a:solidFill>
              <a:srgbClr val="000000"/>
            </a:solidFill>
            <a:latin typeface="Arial" pitchFamily="34" charset="0"/>
            <a:cs typeface="Arial"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4</xdr:col>
          <xdr:colOff>7620</xdr:colOff>
          <xdr:row>33</xdr:row>
          <xdr:rowOff>0</xdr:rowOff>
        </xdr:from>
        <xdr:to>
          <xdr:col>5</xdr:col>
          <xdr:colOff>259080</xdr:colOff>
          <xdr:row>33</xdr:row>
          <xdr:rowOff>198120</xdr:rowOff>
        </xdr:to>
        <xdr:sp macro="" textlink="">
          <xdr:nvSpPr>
            <xdr:cNvPr id="673043" name="Drop Down 275" hidden="1">
              <a:extLst>
                <a:ext uri="{63B3BB69-23CF-44E3-9099-C40C66FF867C}">
                  <a14:compatExt spid="_x0000_s673043"/>
                </a:ext>
                <a:ext uri="{FF2B5EF4-FFF2-40B4-BE49-F238E27FC236}">
                  <a16:creationId xmlns:a16="http://schemas.microsoft.com/office/drawing/2014/main" id="{00000000-0008-0000-0000-000013450A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15</xdr:col>
      <xdr:colOff>355276</xdr:colOff>
      <xdr:row>9</xdr:row>
      <xdr:rowOff>29108</xdr:rowOff>
    </xdr:from>
    <xdr:to>
      <xdr:col>16</xdr:col>
      <xdr:colOff>81051</xdr:colOff>
      <xdr:row>10</xdr:row>
      <xdr:rowOff>59124</xdr:rowOff>
    </xdr:to>
    <xdr:sp macro="" textlink="'Variable Mgmt'!C229">
      <xdr:nvSpPr>
        <xdr:cNvPr id="48" name="Text Box 264">
          <a:extLst>
            <a:ext uri="{FF2B5EF4-FFF2-40B4-BE49-F238E27FC236}">
              <a16:creationId xmlns:a16="http://schemas.microsoft.com/office/drawing/2014/main" id="{00000000-0008-0000-0000-000030000000}"/>
            </a:ext>
          </a:extLst>
        </xdr:cNvPr>
        <xdr:cNvSpPr txBox="1">
          <a:spLocks noChangeArrowheads="1" noTextEdit="1"/>
        </xdr:cNvSpPr>
      </xdr:nvSpPr>
      <xdr:spPr bwMode="auto">
        <a:xfrm>
          <a:off x="9508801" y="2200808"/>
          <a:ext cx="402050" cy="230041"/>
        </a:xfrm>
        <a:prstGeom prst="rect">
          <a:avLst/>
        </a:prstGeom>
        <a:noFill/>
        <a:ln w="9525">
          <a:noFill/>
          <a:miter lim="800000"/>
          <a:headEnd/>
          <a:tailEnd/>
        </a:ln>
      </xdr:spPr>
      <xdr:txBody>
        <a:bodyPr vertOverflow="clip" wrap="square" lIns="27432" tIns="22860" rIns="0" bIns="0" anchor="ctr" upright="1"/>
        <a:lstStyle/>
        <a:p>
          <a:pPr algn="l" rtl="0">
            <a:defRPr sz="1000"/>
          </a:pPr>
          <a:fld id="{31380AD2-7EE8-49DF-ADF3-9022D781233D}" type="TxLink">
            <a:rPr lang="en-US" sz="1000" b="0" i="0" u="none" strike="noStrike" baseline="0">
              <a:solidFill>
                <a:srgbClr val="000000"/>
              </a:solidFill>
              <a:latin typeface="Arial"/>
              <a:cs typeface="Arial"/>
            </a:rPr>
            <a:pPr algn="l" rtl="0">
              <a:defRPr sz="1000"/>
            </a:pPr>
            <a:t>Ruv1</a:t>
          </a:fld>
          <a:endParaRPr lang="el-GR" sz="1000" b="0" i="0" u="none" strike="noStrike" baseline="0">
            <a:solidFill>
              <a:srgbClr val="000000"/>
            </a:solidFill>
            <a:latin typeface="Arial" pitchFamily="34" charset="0"/>
            <a:cs typeface="Arial" pitchFamily="34" charset="0"/>
          </a:endParaRPr>
        </a:p>
      </xdr:txBody>
    </xdr:sp>
    <xdr:clientData/>
  </xdr:twoCellAnchor>
  <xdr:twoCellAnchor>
    <xdr:from>
      <xdr:col>15</xdr:col>
      <xdr:colOff>355276</xdr:colOff>
      <xdr:row>14</xdr:row>
      <xdr:rowOff>23943</xdr:rowOff>
    </xdr:from>
    <xdr:to>
      <xdr:col>16</xdr:col>
      <xdr:colOff>103031</xdr:colOff>
      <xdr:row>14</xdr:row>
      <xdr:rowOff>213188</xdr:rowOff>
    </xdr:to>
    <xdr:sp macro="" textlink="'Variable Mgmt'!D229">
      <xdr:nvSpPr>
        <xdr:cNvPr id="50" name="Text Box 264">
          <a:extLst>
            <a:ext uri="{FF2B5EF4-FFF2-40B4-BE49-F238E27FC236}">
              <a16:creationId xmlns:a16="http://schemas.microsoft.com/office/drawing/2014/main" id="{00000000-0008-0000-0000-000032000000}"/>
            </a:ext>
          </a:extLst>
        </xdr:cNvPr>
        <xdr:cNvSpPr txBox="1">
          <a:spLocks noChangeArrowheads="1" noTextEdit="1"/>
        </xdr:cNvSpPr>
      </xdr:nvSpPr>
      <xdr:spPr bwMode="auto">
        <a:xfrm>
          <a:off x="9508801" y="3195768"/>
          <a:ext cx="424030" cy="189245"/>
        </a:xfrm>
        <a:prstGeom prst="rect">
          <a:avLst/>
        </a:prstGeom>
        <a:noFill/>
        <a:ln w="9525">
          <a:noFill/>
          <a:miter lim="800000"/>
          <a:headEnd/>
          <a:tailEnd/>
        </a:ln>
      </xdr:spPr>
      <xdr:txBody>
        <a:bodyPr vertOverflow="clip" wrap="square" lIns="27432" tIns="22860" rIns="0" bIns="0" anchor="ctr" upright="1"/>
        <a:lstStyle/>
        <a:p>
          <a:pPr algn="l" rtl="0">
            <a:defRPr sz="1000"/>
          </a:pPr>
          <a:fld id="{873432C6-E14A-45C8-BEDA-C8EFF8641C5C}" type="TxLink">
            <a:rPr lang="en-US" sz="1000" b="0" i="0" u="none" strike="noStrike" baseline="0">
              <a:solidFill>
                <a:srgbClr val="000000"/>
              </a:solidFill>
              <a:latin typeface="Arial"/>
              <a:cs typeface="Arial"/>
            </a:rPr>
            <a:pPr algn="l" rtl="0">
              <a:defRPr sz="1000"/>
            </a:pPr>
            <a:t>Ruv2</a:t>
          </a:fld>
          <a:endParaRPr lang="el-GR" sz="1000" b="0" i="0" u="none" strike="noStrike" baseline="0">
            <a:solidFill>
              <a:srgbClr val="000000"/>
            </a:solidFill>
            <a:latin typeface="Arial" pitchFamily="34" charset="0"/>
            <a:cs typeface="Arial" pitchFamily="34" charset="0"/>
          </a:endParaRPr>
        </a:p>
      </xdr:txBody>
    </xdr:sp>
    <xdr:clientData/>
  </xdr:twoCellAnchor>
  <xdr:twoCellAnchor>
    <xdr:from>
      <xdr:col>15</xdr:col>
      <xdr:colOff>305571</xdr:colOff>
      <xdr:row>19</xdr:row>
      <xdr:rowOff>153969</xdr:rowOff>
    </xdr:from>
    <xdr:to>
      <xdr:col>16</xdr:col>
      <xdr:colOff>73264</xdr:colOff>
      <xdr:row>21</xdr:row>
      <xdr:rowOff>95474</xdr:rowOff>
    </xdr:to>
    <xdr:sp macro="" textlink="'Variable Mgmt'!C239">
      <xdr:nvSpPr>
        <xdr:cNvPr id="49" name="Text Box 281">
          <a:extLst>
            <a:ext uri="{FF2B5EF4-FFF2-40B4-BE49-F238E27FC236}">
              <a16:creationId xmlns:a16="http://schemas.microsoft.com/office/drawing/2014/main" id="{00000000-0008-0000-0000-000031000000}"/>
            </a:ext>
          </a:extLst>
        </xdr:cNvPr>
        <xdr:cNvSpPr txBox="1">
          <a:spLocks noChangeArrowheads="1" noTextEdit="1"/>
        </xdr:cNvSpPr>
      </xdr:nvSpPr>
      <xdr:spPr bwMode="auto">
        <a:xfrm>
          <a:off x="9459096" y="4373544"/>
          <a:ext cx="443968" cy="341555"/>
        </a:xfrm>
        <a:prstGeom prst="rect">
          <a:avLst/>
        </a:prstGeom>
        <a:noFill/>
        <a:ln w="9525">
          <a:noFill/>
          <a:miter lim="800000"/>
          <a:headEnd/>
          <a:tailEnd/>
        </a:ln>
      </xdr:spPr>
      <xdr:txBody>
        <a:bodyPr vertOverflow="clip" wrap="square" lIns="27432" tIns="22860" rIns="0" bIns="0" anchor="ctr" upright="1"/>
        <a:lstStyle/>
        <a:p>
          <a:pPr algn="l" rtl="0">
            <a:defRPr sz="1000"/>
          </a:pPr>
          <a:fld id="{B81C36CF-66FD-4734-B04F-DAE82AF849A9}" type="TxLink">
            <a:rPr lang="en-US" sz="1100" b="0" i="0" u="none" strike="noStrike">
              <a:solidFill>
                <a:srgbClr val="000000"/>
              </a:solidFill>
              <a:latin typeface="Arial"/>
              <a:cs typeface="Arial"/>
            </a:rPr>
            <a:pPr algn="l" rtl="0">
              <a:defRPr sz="1000"/>
            </a:pPr>
            <a:t>Css</a:t>
          </a:fld>
          <a:endParaRPr lang="en-US" sz="1100" b="0" i="0" strike="noStrike">
            <a:solidFill>
              <a:srgbClr val="000000"/>
            </a:solidFill>
            <a:latin typeface="Arial" pitchFamily="34" charset="0"/>
            <a:cs typeface="Arial" pitchFamily="34" charset="0"/>
          </a:endParaRPr>
        </a:p>
      </xdr:txBody>
    </xdr:sp>
    <xdr:clientData/>
  </xdr:twoCellAnchor>
  <xdr:twoCellAnchor editAs="oneCell">
    <xdr:from>
      <xdr:col>0</xdr:col>
      <xdr:colOff>78143</xdr:colOff>
      <xdr:row>0</xdr:row>
      <xdr:rowOff>32845</xdr:rowOff>
    </xdr:from>
    <xdr:to>
      <xdr:col>3</xdr:col>
      <xdr:colOff>351439</xdr:colOff>
      <xdr:row>0</xdr:row>
      <xdr:rowOff>571501</xdr:rowOff>
    </xdr:to>
    <xdr:pic macro="[0]!OpenLM27403ProductFolder">
      <xdr:nvPicPr>
        <xdr:cNvPr id="4" name="Picture 3">
          <a:hlinkClick xmlns:r="http://schemas.openxmlformats.org/officeDocument/2006/relationships" r:id="rId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t="4896" b="8304"/>
        <a:stretch/>
      </xdr:blipFill>
      <xdr:spPr>
        <a:xfrm>
          <a:off x="78143" y="32845"/>
          <a:ext cx="2283071" cy="538656"/>
        </a:xfrm>
        <a:prstGeom prst="rect">
          <a:avLst/>
        </a:prstGeom>
      </xdr:spPr>
    </xdr:pic>
    <xdr:clientData/>
  </xdr:twoCellAnchor>
  <xdr:twoCellAnchor editAs="oneCell">
    <xdr:from>
      <xdr:col>21</xdr:col>
      <xdr:colOff>400381</xdr:colOff>
      <xdr:row>0</xdr:row>
      <xdr:rowOff>123825</xdr:rowOff>
    </xdr:from>
    <xdr:to>
      <xdr:col>23</xdr:col>
      <xdr:colOff>432054</xdr:colOff>
      <xdr:row>3</xdr:row>
      <xdr:rowOff>123825</xdr:rowOff>
    </xdr:to>
    <xdr:pic macro="[0]!OpenLM27403ProductFolder">
      <xdr:nvPicPr>
        <xdr:cNvPr id="53" name="Picture 52">
          <a:hlinkClick xmlns:r="http://schemas.openxmlformats.org/officeDocument/2006/relationships" r:id="rId5"/>
          <a:extLst>
            <a:ext uri="{FF2B5EF4-FFF2-40B4-BE49-F238E27FC236}">
              <a16:creationId xmlns:a16="http://schemas.microsoft.com/office/drawing/2014/main" id="{00000000-0008-0000-0000-000035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5478456" y="123825"/>
          <a:ext cx="1250873" cy="971550"/>
        </a:xfrm>
        <a:prstGeom prst="rect">
          <a:avLst/>
        </a:prstGeom>
      </xdr:spPr>
    </xdr:pic>
    <xdr:clientData/>
  </xdr:twoCellAnchor>
  <xdr:twoCellAnchor editAs="oneCell">
    <xdr:from>
      <xdr:col>23</xdr:col>
      <xdr:colOff>514350</xdr:colOff>
      <xdr:row>0</xdr:row>
      <xdr:rowOff>117830</xdr:rowOff>
    </xdr:from>
    <xdr:to>
      <xdr:col>25</xdr:col>
      <xdr:colOff>542193</xdr:colOff>
      <xdr:row>3</xdr:row>
      <xdr:rowOff>120958</xdr:rowOff>
    </xdr:to>
    <xdr:pic macro="[0]!OpenLM27403ProductFolder">
      <xdr:nvPicPr>
        <xdr:cNvPr id="54" name="Picture 53">
          <a:hlinkClick xmlns:r="http://schemas.openxmlformats.org/officeDocument/2006/relationships" r:id="rId7"/>
          <a:extLst>
            <a:ext uri="{FF2B5EF4-FFF2-40B4-BE49-F238E27FC236}">
              <a16:creationId xmlns:a16="http://schemas.microsoft.com/office/drawing/2014/main" id="{00000000-0008-0000-0000-000036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6787446" y="117830"/>
          <a:ext cx="1244112" cy="97028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11</xdr:col>
          <xdr:colOff>7620</xdr:colOff>
          <xdr:row>11</xdr:row>
          <xdr:rowOff>0</xdr:rowOff>
        </xdr:from>
        <xdr:to>
          <xdr:col>12</xdr:col>
          <xdr:colOff>68580</xdr:colOff>
          <xdr:row>12</xdr:row>
          <xdr:rowOff>7620</xdr:rowOff>
        </xdr:to>
        <xdr:sp macro="" textlink="">
          <xdr:nvSpPr>
            <xdr:cNvPr id="697343" name="Drop Down 3071" hidden="1">
              <a:extLst>
                <a:ext uri="{63B3BB69-23CF-44E3-9099-C40C66FF867C}">
                  <a14:compatExt spid="_x0000_s697343"/>
                </a:ext>
                <a:ext uri="{FF2B5EF4-FFF2-40B4-BE49-F238E27FC236}">
                  <a16:creationId xmlns:a16="http://schemas.microsoft.com/office/drawing/2014/main" id="{00000000-0008-0000-0000-0000FFA30A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19</xdr:col>
      <xdr:colOff>348376</xdr:colOff>
      <xdr:row>14</xdr:row>
      <xdr:rowOff>69974</xdr:rowOff>
    </xdr:from>
    <xdr:to>
      <xdr:col>20</xdr:col>
      <xdr:colOff>61616</xdr:colOff>
      <xdr:row>15</xdr:row>
      <xdr:rowOff>61702</xdr:rowOff>
    </xdr:to>
    <xdr:sp macro="" textlink="">
      <xdr:nvSpPr>
        <xdr:cNvPr id="57" name="Text Box 244">
          <a:extLst>
            <a:ext uri="{FF2B5EF4-FFF2-40B4-BE49-F238E27FC236}">
              <a16:creationId xmlns:a16="http://schemas.microsoft.com/office/drawing/2014/main" id="{00000000-0008-0000-0000-000039000000}"/>
            </a:ext>
          </a:extLst>
        </xdr:cNvPr>
        <xdr:cNvSpPr txBox="1">
          <a:spLocks noChangeArrowheads="1"/>
        </xdr:cNvSpPr>
      </xdr:nvSpPr>
      <xdr:spPr bwMode="auto">
        <a:xfrm>
          <a:off x="12197476" y="3241799"/>
          <a:ext cx="322840" cy="239378"/>
        </a:xfrm>
        <a:prstGeom prst="rect">
          <a:avLst/>
        </a:prstGeom>
        <a:noFill/>
        <a:ln w="9525">
          <a:noFill/>
          <a:miter lim="800000"/>
          <a:headEnd/>
          <a:tailEnd/>
        </a:ln>
      </xdr:spPr>
      <xdr:txBody>
        <a:bodyPr vertOverflow="clip" wrap="square" lIns="27432" tIns="27432" rIns="0" bIns="0" anchor="t" upright="1"/>
        <a:lstStyle/>
        <a:p>
          <a:pPr algn="l" rtl="0">
            <a:defRPr sz="1000"/>
          </a:pPr>
          <a:r>
            <a:rPr lang="en-US" sz="1100" b="0" i="0" strike="noStrike">
              <a:solidFill>
                <a:srgbClr val="000000"/>
              </a:solidFill>
              <a:latin typeface="Arial" pitchFamily="34" charset="0"/>
              <a:cs typeface="Arial" pitchFamily="34" charset="0"/>
            </a:rPr>
            <a:t>R</a:t>
          </a:r>
          <a:r>
            <a:rPr lang="en-US" sz="1100" b="0" i="0" strike="noStrike" baseline="-25000">
              <a:solidFill>
                <a:srgbClr val="000000"/>
              </a:solidFill>
              <a:latin typeface="Arial" pitchFamily="34" charset="0"/>
              <a:cs typeface="Arial" pitchFamily="34" charset="0"/>
            </a:rPr>
            <a:t>FB</a:t>
          </a:r>
        </a:p>
      </xdr:txBody>
    </xdr:sp>
    <xdr:clientData/>
  </xdr:twoCellAnchor>
  <xdr:twoCellAnchor>
    <xdr:from>
      <xdr:col>20</xdr:col>
      <xdr:colOff>374043</xdr:colOff>
      <xdr:row>19</xdr:row>
      <xdr:rowOff>1514</xdr:rowOff>
    </xdr:from>
    <xdr:to>
      <xdr:col>21</xdr:col>
      <xdr:colOff>148739</xdr:colOff>
      <xdr:row>20</xdr:row>
      <xdr:rowOff>34871</xdr:rowOff>
    </xdr:to>
    <xdr:sp macro="" textlink="">
      <xdr:nvSpPr>
        <xdr:cNvPr id="58" name="Text Box 244">
          <a:extLst>
            <a:ext uri="{FF2B5EF4-FFF2-40B4-BE49-F238E27FC236}">
              <a16:creationId xmlns:a16="http://schemas.microsoft.com/office/drawing/2014/main" id="{00000000-0008-0000-0000-00003A000000}"/>
            </a:ext>
          </a:extLst>
        </xdr:cNvPr>
        <xdr:cNvSpPr txBox="1">
          <a:spLocks noChangeArrowheads="1"/>
        </xdr:cNvSpPr>
      </xdr:nvSpPr>
      <xdr:spPr bwMode="auto">
        <a:xfrm>
          <a:off x="12832743" y="4221089"/>
          <a:ext cx="384296" cy="233382"/>
        </a:xfrm>
        <a:prstGeom prst="rect">
          <a:avLst/>
        </a:prstGeom>
        <a:noFill/>
        <a:ln w="9525">
          <a:noFill/>
          <a:miter lim="800000"/>
          <a:headEnd/>
          <a:tailEnd/>
        </a:ln>
      </xdr:spPr>
      <xdr:txBody>
        <a:bodyPr vertOverflow="clip" wrap="square" lIns="27432" tIns="27432" rIns="0" bIns="0" anchor="t" upright="1"/>
        <a:lstStyle/>
        <a:p>
          <a:pPr algn="l" rtl="0">
            <a:defRPr sz="1000"/>
          </a:pPr>
          <a:r>
            <a:rPr lang="en-US" sz="1100" b="0" i="0" strike="noStrike">
              <a:solidFill>
                <a:srgbClr val="000000"/>
              </a:solidFill>
              <a:latin typeface="Arial" pitchFamily="34" charset="0"/>
              <a:cs typeface="Arial" pitchFamily="34" charset="0"/>
            </a:rPr>
            <a:t>R</a:t>
          </a:r>
          <a:r>
            <a:rPr lang="en-US" sz="1100" b="0" i="0" strike="noStrike" baseline="-25000">
              <a:solidFill>
                <a:srgbClr val="000000"/>
              </a:solidFill>
              <a:latin typeface="Arial" pitchFamily="34" charset="0"/>
              <a:cs typeface="Arial" pitchFamily="34" charset="0"/>
            </a:rPr>
            <a:t>SET</a:t>
          </a:r>
        </a:p>
      </xdr:txBody>
    </xdr:sp>
    <xdr:clientData/>
  </xdr:twoCellAnchor>
  <xdr:twoCellAnchor>
    <xdr:from>
      <xdr:col>18</xdr:col>
      <xdr:colOff>548052</xdr:colOff>
      <xdr:row>8</xdr:row>
      <xdr:rowOff>15972</xdr:rowOff>
    </xdr:from>
    <xdr:to>
      <xdr:col>19</xdr:col>
      <xdr:colOff>346548</xdr:colOff>
      <xdr:row>9</xdr:row>
      <xdr:rowOff>76319</xdr:rowOff>
    </xdr:to>
    <xdr:sp macro="" textlink="">
      <xdr:nvSpPr>
        <xdr:cNvPr id="60" name="Text Box 235">
          <a:extLst>
            <a:ext uri="{FF2B5EF4-FFF2-40B4-BE49-F238E27FC236}">
              <a16:creationId xmlns:a16="http://schemas.microsoft.com/office/drawing/2014/main" id="{00000000-0008-0000-0000-00003C000000}"/>
            </a:ext>
          </a:extLst>
        </xdr:cNvPr>
        <xdr:cNvSpPr txBox="1">
          <a:spLocks noChangeArrowheads="1"/>
        </xdr:cNvSpPr>
      </xdr:nvSpPr>
      <xdr:spPr bwMode="auto">
        <a:xfrm>
          <a:off x="11730402" y="1987647"/>
          <a:ext cx="465246" cy="260372"/>
        </a:xfrm>
        <a:prstGeom prst="rect">
          <a:avLst/>
        </a:prstGeom>
        <a:noFill/>
        <a:ln w="9525">
          <a:noFill/>
          <a:miter lim="800000"/>
          <a:headEnd/>
          <a:tailEnd/>
        </a:ln>
      </xdr:spPr>
      <xdr:txBody>
        <a:bodyPr vertOverflow="clip" wrap="square" lIns="27432" tIns="27432" rIns="0" bIns="0" anchor="ctr" upright="1"/>
        <a:lstStyle/>
        <a:p>
          <a:pPr algn="l" rtl="0">
            <a:defRPr sz="1000"/>
          </a:pPr>
          <a:r>
            <a:rPr lang="en-US" sz="1100" b="0" i="0" strike="noStrike">
              <a:solidFill>
                <a:srgbClr val="000000"/>
              </a:solidFill>
              <a:latin typeface="Arial" pitchFamily="34" charset="0"/>
              <a:cs typeface="Arial" pitchFamily="34" charset="0"/>
            </a:rPr>
            <a:t>D</a:t>
          </a:r>
          <a:r>
            <a:rPr lang="en-US" sz="1100" b="0" i="0" strike="noStrike" baseline="-25000">
              <a:solidFill>
                <a:srgbClr val="000000"/>
              </a:solidFill>
              <a:latin typeface="Arial" pitchFamily="34" charset="0"/>
              <a:cs typeface="Arial" pitchFamily="34" charset="0"/>
            </a:rPr>
            <a:t>CLAMP</a:t>
          </a:r>
        </a:p>
      </xdr:txBody>
    </xdr:sp>
    <xdr:clientData/>
  </xdr:twoCellAnchor>
  <xdr:twoCellAnchor>
    <xdr:from>
      <xdr:col>19</xdr:col>
      <xdr:colOff>164558</xdr:colOff>
      <xdr:row>11</xdr:row>
      <xdr:rowOff>69250</xdr:rowOff>
    </xdr:from>
    <xdr:to>
      <xdr:col>19</xdr:col>
      <xdr:colOff>436580</xdr:colOff>
      <xdr:row>12</xdr:row>
      <xdr:rowOff>119548</xdr:rowOff>
    </xdr:to>
    <xdr:sp macro="" textlink="">
      <xdr:nvSpPr>
        <xdr:cNvPr id="61" name="Text Box 235">
          <a:extLst>
            <a:ext uri="{FF2B5EF4-FFF2-40B4-BE49-F238E27FC236}">
              <a16:creationId xmlns:a16="http://schemas.microsoft.com/office/drawing/2014/main" id="{00000000-0008-0000-0000-00003D000000}"/>
            </a:ext>
          </a:extLst>
        </xdr:cNvPr>
        <xdr:cNvSpPr txBox="1">
          <a:spLocks noChangeArrowheads="1"/>
        </xdr:cNvSpPr>
      </xdr:nvSpPr>
      <xdr:spPr bwMode="auto">
        <a:xfrm>
          <a:off x="12013658" y="2641000"/>
          <a:ext cx="272022" cy="250323"/>
        </a:xfrm>
        <a:prstGeom prst="rect">
          <a:avLst/>
        </a:prstGeom>
        <a:noFill/>
        <a:ln w="9525">
          <a:noFill/>
          <a:miter lim="800000"/>
          <a:headEnd/>
          <a:tailEnd/>
        </a:ln>
      </xdr:spPr>
      <xdr:txBody>
        <a:bodyPr vertOverflow="clip" wrap="square" lIns="27432" tIns="27432" rIns="0" bIns="0" anchor="ctr" upright="1"/>
        <a:lstStyle/>
        <a:p>
          <a:pPr algn="l" rtl="0">
            <a:defRPr sz="1000"/>
          </a:pPr>
          <a:r>
            <a:rPr lang="en-US" sz="1100" b="0" i="0" strike="noStrike">
              <a:solidFill>
                <a:srgbClr val="000000"/>
              </a:solidFill>
              <a:latin typeface="Arial" pitchFamily="34" charset="0"/>
              <a:cs typeface="Arial" pitchFamily="34" charset="0"/>
            </a:rPr>
            <a:t>D</a:t>
          </a:r>
          <a:r>
            <a:rPr lang="en-US" sz="1100" b="0" i="0" strike="noStrike" baseline="-25000">
              <a:solidFill>
                <a:srgbClr val="000000"/>
              </a:solidFill>
              <a:latin typeface="Arial" pitchFamily="34" charset="0"/>
              <a:cs typeface="Arial" pitchFamily="34" charset="0"/>
            </a:rPr>
            <a:t>F</a:t>
          </a:r>
        </a:p>
      </xdr:txBody>
    </xdr:sp>
    <xdr:clientData/>
  </xdr:twoCellAnchor>
  <mc:AlternateContent xmlns:mc="http://schemas.openxmlformats.org/markup-compatibility/2006">
    <mc:Choice xmlns:a14="http://schemas.microsoft.com/office/drawing/2010/main" Requires="a14">
      <xdr:twoCellAnchor editAs="oneCell">
        <xdr:from>
          <xdr:col>4</xdr:col>
          <xdr:colOff>0</xdr:colOff>
          <xdr:row>30</xdr:row>
          <xdr:rowOff>7620</xdr:rowOff>
        </xdr:from>
        <xdr:to>
          <xdr:col>5</xdr:col>
          <xdr:colOff>266700</xdr:colOff>
          <xdr:row>31</xdr:row>
          <xdr:rowOff>7620</xdr:rowOff>
        </xdr:to>
        <xdr:sp macro="" textlink="">
          <xdr:nvSpPr>
            <xdr:cNvPr id="714798" name="Drop Down 3118" hidden="1">
              <a:extLst>
                <a:ext uri="{63B3BB69-23CF-44E3-9099-C40C66FF867C}">
                  <a14:compatExt spid="_x0000_s714798"/>
                </a:ext>
                <a:ext uri="{FF2B5EF4-FFF2-40B4-BE49-F238E27FC236}">
                  <a16:creationId xmlns:a16="http://schemas.microsoft.com/office/drawing/2014/main" id="{00000000-0008-0000-0000-00002EE80A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20</xdr:col>
      <xdr:colOff>304800</xdr:colOff>
      <xdr:row>10</xdr:row>
      <xdr:rowOff>191738</xdr:rowOff>
    </xdr:from>
    <xdr:to>
      <xdr:col>21</xdr:col>
      <xdr:colOff>447675</xdr:colOff>
      <xdr:row>12</xdr:row>
      <xdr:rowOff>38100</xdr:rowOff>
    </xdr:to>
    <xdr:sp macro="" textlink="'Variable Mgmt'!B194">
      <xdr:nvSpPr>
        <xdr:cNvPr id="62" name="Text Box 265">
          <a:extLst>
            <a:ext uri="{FF2B5EF4-FFF2-40B4-BE49-F238E27FC236}">
              <a16:creationId xmlns:a16="http://schemas.microsoft.com/office/drawing/2014/main" id="{00000000-0008-0000-0000-00003E000000}"/>
            </a:ext>
          </a:extLst>
        </xdr:cNvPr>
        <xdr:cNvSpPr txBox="1">
          <a:spLocks noChangeArrowheads="1" noTextEdit="1"/>
        </xdr:cNvSpPr>
      </xdr:nvSpPr>
      <xdr:spPr bwMode="auto">
        <a:xfrm>
          <a:off x="12763500" y="2563463"/>
          <a:ext cx="752475" cy="246412"/>
        </a:xfrm>
        <a:prstGeom prst="rect">
          <a:avLst/>
        </a:prstGeom>
        <a:noFill/>
        <a:ln w="9525">
          <a:noFill/>
          <a:miter lim="800000"/>
          <a:headEnd/>
          <a:tailEnd/>
        </a:ln>
      </xdr:spPr>
      <xdr:txBody>
        <a:bodyPr vertOverflow="clip" wrap="square" lIns="27432" tIns="22860" rIns="0" bIns="0" anchor="t" upright="1"/>
        <a:lstStyle/>
        <a:p>
          <a:pPr algn="ctr" rtl="0">
            <a:defRPr sz="1000"/>
          </a:pPr>
          <a:fld id="{4DF3E085-FEDD-406F-9003-D894075812A3}" type="TxLink">
            <a:rPr lang="en-US" sz="1000" b="0" i="0" u="none" strike="noStrike" baseline="0">
              <a:solidFill>
                <a:srgbClr val="000000"/>
              </a:solidFill>
              <a:latin typeface="Arial"/>
              <a:cs typeface="Arial"/>
            </a:rPr>
            <a:pPr algn="ctr" rtl="0">
              <a:defRPr sz="1000"/>
            </a:pPr>
            <a:t>1.5 : 1 : 0.5</a:t>
          </a:fld>
          <a:endParaRPr lang="el-GR" sz="1200" b="0" i="0" u="none" strike="noStrike" baseline="0">
            <a:solidFill>
              <a:srgbClr val="000000"/>
            </a:solidFill>
            <a:latin typeface="Arial" pitchFamily="34" charset="0"/>
            <a:cs typeface="Arial" pitchFamily="34" charset="0"/>
          </a:endParaRPr>
        </a:p>
      </xdr:txBody>
    </xdr:sp>
    <xdr:clientData/>
  </xdr:twoCellAnchor>
  <xdr:twoCellAnchor>
    <xdr:from>
      <xdr:col>25</xdr:col>
      <xdr:colOff>571500</xdr:colOff>
      <xdr:row>27</xdr:row>
      <xdr:rowOff>113959</xdr:rowOff>
    </xdr:from>
    <xdr:to>
      <xdr:col>25</xdr:col>
      <xdr:colOff>1049263</xdr:colOff>
      <xdr:row>29</xdr:row>
      <xdr:rowOff>12359</xdr:rowOff>
    </xdr:to>
    <xdr:sp macro="" textlink="'Variable Mgmt'!$B$247">
      <xdr:nvSpPr>
        <xdr:cNvPr id="56" name="Text Box 24">
          <a:extLst>
            <a:ext uri="{FF2B5EF4-FFF2-40B4-BE49-F238E27FC236}">
              <a16:creationId xmlns:a16="http://schemas.microsoft.com/office/drawing/2014/main" id="{00000000-0008-0000-0000-000038000000}"/>
            </a:ext>
          </a:extLst>
        </xdr:cNvPr>
        <xdr:cNvSpPr txBox="1">
          <a:spLocks noChangeArrowheads="1" noTextEdit="1"/>
        </xdr:cNvSpPr>
      </xdr:nvSpPr>
      <xdr:spPr bwMode="auto">
        <a:xfrm>
          <a:off x="16078200" y="5962309"/>
          <a:ext cx="477763" cy="279400"/>
        </a:xfrm>
        <a:prstGeom prst="rect">
          <a:avLst/>
        </a:prstGeom>
        <a:noFill/>
        <a:ln w="9525">
          <a:noFill/>
          <a:miter lim="800000"/>
          <a:headEnd/>
          <a:tailEnd/>
        </a:ln>
      </xdr:spPr>
      <xdr:txBody>
        <a:bodyPr wrap="square" lIns="27432" tIns="22860" rIns="0" bIns="2286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fld id="{1F0AFB1C-0795-4024-9821-D34D86340D40}" type="TxLink">
            <a:rPr lang="en-US" sz="1000" b="0" i="0" u="none" strike="noStrike" baseline="0">
              <a:solidFill>
                <a:srgbClr val="000000"/>
              </a:solidFill>
              <a:latin typeface="Arial"/>
              <a:cs typeface="Arial"/>
            </a:rPr>
            <a:pPr algn="l" rtl="0">
              <a:defRPr sz="1000"/>
            </a:pPr>
            <a:t>90.1%</a:t>
          </a:fld>
          <a:endParaRPr lang="en-US" sz="1000" b="1" i="0" u="none" strike="noStrike" baseline="0">
            <a:solidFill>
              <a:srgbClr val="000000"/>
            </a:solidFill>
            <a:latin typeface="Arial" pitchFamily="34" charset="0"/>
            <a:cs typeface="Arial" pitchFamily="34" charset="0"/>
          </a:endParaRPr>
        </a:p>
      </xdr:txBody>
    </xdr:sp>
    <xdr:clientData/>
  </xdr:twoCellAnchor>
  <xdr:twoCellAnchor>
    <xdr:from>
      <xdr:col>24</xdr:col>
      <xdr:colOff>38389</xdr:colOff>
      <xdr:row>13</xdr:row>
      <xdr:rowOff>88799</xdr:rowOff>
    </xdr:from>
    <xdr:to>
      <xdr:col>25</xdr:col>
      <xdr:colOff>93822</xdr:colOff>
      <xdr:row>14</xdr:row>
      <xdr:rowOff>236764</xdr:rowOff>
    </xdr:to>
    <xdr:sp macro="" textlink="'Variable Mgmt'!B202">
      <xdr:nvSpPr>
        <xdr:cNvPr id="42" name="Text Box 285">
          <a:extLst>
            <a:ext uri="{FF2B5EF4-FFF2-40B4-BE49-F238E27FC236}">
              <a16:creationId xmlns:a16="http://schemas.microsoft.com/office/drawing/2014/main" id="{00000000-0008-0000-0000-00002A000000}"/>
            </a:ext>
          </a:extLst>
        </xdr:cNvPr>
        <xdr:cNvSpPr txBox="1">
          <a:spLocks noChangeArrowheads="1" noTextEdit="1"/>
        </xdr:cNvSpPr>
      </xdr:nvSpPr>
      <xdr:spPr bwMode="auto">
        <a:xfrm>
          <a:off x="14935489" y="3060599"/>
          <a:ext cx="665033" cy="347990"/>
        </a:xfrm>
        <a:prstGeom prst="rect">
          <a:avLst/>
        </a:prstGeom>
        <a:noFill/>
        <a:ln w="9525">
          <a:noFill/>
          <a:miter lim="800000"/>
          <a:headEnd/>
          <a:tailEnd/>
        </a:ln>
      </xdr:spPr>
      <xdr:txBody>
        <a:bodyPr vertOverflow="clip" wrap="square" lIns="27432" tIns="22860" rIns="0" bIns="0" anchor="ctr" upright="1"/>
        <a:lstStyle/>
        <a:p>
          <a:pPr algn="l" rtl="0">
            <a:defRPr sz="1000"/>
          </a:pPr>
          <a:fld id="{1EB32AF4-7354-4114-B6DF-5AD8FEB0166D}" type="TxLink">
            <a:rPr lang="en-US" sz="1350" b="1" i="0" u="none" strike="noStrike" baseline="0">
              <a:solidFill>
                <a:srgbClr val="FF0000"/>
              </a:solidFill>
              <a:latin typeface="Arial"/>
              <a:cs typeface="Arial"/>
            </a:rPr>
            <a:pPr algn="l" rtl="0">
              <a:defRPr sz="1000"/>
            </a:pPr>
            <a:t>7V</a:t>
          </a:fld>
          <a:endParaRPr lang="en-US" sz="1350" b="1" i="0" u="none" strike="noStrike" baseline="0">
            <a:solidFill>
              <a:srgbClr val="FF0000"/>
            </a:solidFill>
            <a:latin typeface="Arial" pitchFamily="34" charset="0"/>
            <a:cs typeface="Arial" pitchFamily="34" charset="0"/>
          </a:endParaRPr>
        </a:p>
      </xdr:txBody>
    </xdr:sp>
    <xdr:clientData/>
  </xdr:twoCellAnchor>
  <xdr:twoCellAnchor>
    <xdr:from>
      <xdr:col>23</xdr:col>
      <xdr:colOff>418167</xdr:colOff>
      <xdr:row>14</xdr:row>
      <xdr:rowOff>147867</xdr:rowOff>
    </xdr:from>
    <xdr:to>
      <xdr:col>24</xdr:col>
      <xdr:colOff>561280</xdr:colOff>
      <xdr:row>15</xdr:row>
      <xdr:rowOff>199064</xdr:rowOff>
    </xdr:to>
    <xdr:sp macro="" textlink="'Variable Mgmt'!B257">
      <xdr:nvSpPr>
        <xdr:cNvPr id="46" name="Text Box 286">
          <a:extLst>
            <a:ext uri="{FF2B5EF4-FFF2-40B4-BE49-F238E27FC236}">
              <a16:creationId xmlns:a16="http://schemas.microsoft.com/office/drawing/2014/main" id="{00000000-0008-0000-0000-00002E000000}"/>
            </a:ext>
          </a:extLst>
        </xdr:cNvPr>
        <xdr:cNvSpPr txBox="1">
          <a:spLocks noChangeArrowheads="1" noTextEdit="1"/>
        </xdr:cNvSpPr>
      </xdr:nvSpPr>
      <xdr:spPr bwMode="auto">
        <a:xfrm>
          <a:off x="14705667" y="3319692"/>
          <a:ext cx="752713" cy="298847"/>
        </a:xfrm>
        <a:prstGeom prst="rect">
          <a:avLst/>
        </a:prstGeom>
        <a:noFill/>
        <a:ln w="9525">
          <a:noFill/>
          <a:miter lim="800000"/>
          <a:headEnd/>
          <a:tailEnd/>
        </a:ln>
      </xdr:spPr>
      <xdr:txBody>
        <a:bodyPr vertOverflow="clip" wrap="square" lIns="27432" tIns="22860" rIns="0" bIns="0" anchor="ctr" upright="1"/>
        <a:lstStyle/>
        <a:p>
          <a:pPr algn="ctr" rtl="0">
            <a:defRPr sz="1000"/>
          </a:pPr>
          <a:fld id="{F430775D-5566-4B2B-9D86-4FABD1E02F13}" type="TxLink">
            <a:rPr lang="en-US" sz="1350" b="1" i="0" u="none" strike="noStrike">
              <a:solidFill>
                <a:srgbClr val="FF0000"/>
              </a:solidFill>
              <a:latin typeface="Arial"/>
              <a:cs typeface="Arial"/>
            </a:rPr>
            <a:pPr algn="ctr" rtl="0">
              <a:defRPr sz="1000"/>
            </a:pPr>
            <a:t>0.25A</a:t>
          </a:fld>
          <a:endParaRPr lang="en-US" sz="1350" b="1" i="0" strike="noStrike">
            <a:solidFill>
              <a:srgbClr val="FF0000"/>
            </a:solidFill>
            <a:latin typeface="Arial" pitchFamily="34" charset="0"/>
            <a:cs typeface="Arial" pitchFamily="34" charset="0"/>
          </a:endParaRPr>
        </a:p>
      </xdr:txBody>
    </xdr:sp>
    <xdr:clientData/>
  </xdr:twoCellAnchor>
  <xdr:twoCellAnchor>
    <xdr:from>
      <xdr:col>24</xdr:col>
      <xdr:colOff>289</xdr:colOff>
      <xdr:row>15</xdr:row>
      <xdr:rowOff>128260</xdr:rowOff>
    </xdr:from>
    <xdr:to>
      <xdr:col>25</xdr:col>
      <xdr:colOff>55722</xdr:colOff>
      <xdr:row>17</xdr:row>
      <xdr:rowOff>74839</xdr:rowOff>
    </xdr:to>
    <xdr:sp macro="" textlink="'Variable Mgmt'!B203">
      <xdr:nvSpPr>
        <xdr:cNvPr id="47" name="Text Box 285">
          <a:extLst>
            <a:ext uri="{FF2B5EF4-FFF2-40B4-BE49-F238E27FC236}">
              <a16:creationId xmlns:a16="http://schemas.microsoft.com/office/drawing/2014/main" id="{00000000-0008-0000-0000-00002F000000}"/>
            </a:ext>
          </a:extLst>
        </xdr:cNvPr>
        <xdr:cNvSpPr txBox="1">
          <a:spLocks noChangeArrowheads="1" noTextEdit="1"/>
        </xdr:cNvSpPr>
      </xdr:nvSpPr>
      <xdr:spPr bwMode="auto">
        <a:xfrm>
          <a:off x="14897389" y="3547735"/>
          <a:ext cx="665033" cy="346629"/>
        </a:xfrm>
        <a:prstGeom prst="rect">
          <a:avLst/>
        </a:prstGeom>
        <a:noFill/>
        <a:ln w="9525">
          <a:noFill/>
          <a:miter lim="800000"/>
          <a:headEnd/>
          <a:tailEnd/>
        </a:ln>
      </xdr:spPr>
      <xdr:txBody>
        <a:bodyPr vertOverflow="clip" wrap="square" lIns="27432" tIns="22860" rIns="0" bIns="0" anchor="ctr" upright="1"/>
        <a:lstStyle/>
        <a:p>
          <a:pPr algn="l" rtl="0">
            <a:defRPr sz="1000"/>
          </a:pPr>
          <a:fld id="{6CC6AC32-C574-4CE6-AE26-39476DAD0777}" type="TxLink">
            <a:rPr lang="en-US" sz="1350" b="1" i="0" u="none" strike="noStrike" baseline="0">
              <a:solidFill>
                <a:srgbClr val="FF0000"/>
              </a:solidFill>
              <a:latin typeface="Arial"/>
              <a:cs typeface="Arial"/>
            </a:rPr>
            <a:pPr algn="l" rtl="0">
              <a:defRPr sz="1000"/>
            </a:pPr>
            <a:t> </a:t>
          </a:fld>
          <a:endParaRPr lang="en-US" sz="1350" b="1" i="0" u="none" strike="noStrike" baseline="0">
            <a:solidFill>
              <a:srgbClr val="FF0000"/>
            </a:solidFill>
            <a:latin typeface="Arial" pitchFamily="34" charset="0"/>
            <a:cs typeface="Arial" pitchFamily="34" charset="0"/>
          </a:endParaRPr>
        </a:p>
      </xdr:txBody>
    </xdr:sp>
    <xdr:clientData/>
  </xdr:twoCellAnchor>
  <xdr:twoCellAnchor>
    <xdr:from>
      <xdr:col>23</xdr:col>
      <xdr:colOff>437217</xdr:colOff>
      <xdr:row>16</xdr:row>
      <xdr:rowOff>190049</xdr:rowOff>
    </xdr:from>
    <xdr:to>
      <xdr:col>24</xdr:col>
      <xdr:colOff>580330</xdr:colOff>
      <xdr:row>18</xdr:row>
      <xdr:rowOff>90207</xdr:rowOff>
    </xdr:to>
    <xdr:sp macro="" textlink="'Variable Mgmt'!B258">
      <xdr:nvSpPr>
        <xdr:cNvPr id="51" name="Text Box 286">
          <a:extLst>
            <a:ext uri="{FF2B5EF4-FFF2-40B4-BE49-F238E27FC236}">
              <a16:creationId xmlns:a16="http://schemas.microsoft.com/office/drawing/2014/main" id="{00000000-0008-0000-0000-000033000000}"/>
            </a:ext>
          </a:extLst>
        </xdr:cNvPr>
        <xdr:cNvSpPr txBox="1">
          <a:spLocks noChangeArrowheads="1" noTextEdit="1"/>
        </xdr:cNvSpPr>
      </xdr:nvSpPr>
      <xdr:spPr bwMode="auto">
        <a:xfrm>
          <a:off x="14724717" y="3809549"/>
          <a:ext cx="752713" cy="300208"/>
        </a:xfrm>
        <a:prstGeom prst="rect">
          <a:avLst/>
        </a:prstGeom>
        <a:noFill/>
        <a:ln w="9525">
          <a:noFill/>
          <a:miter lim="800000"/>
          <a:headEnd/>
          <a:tailEnd/>
        </a:ln>
      </xdr:spPr>
      <xdr:txBody>
        <a:bodyPr vertOverflow="clip" wrap="square" lIns="27432" tIns="22860" rIns="0" bIns="0" anchor="ctr" upright="1"/>
        <a:lstStyle/>
        <a:p>
          <a:pPr algn="ctr" rtl="0">
            <a:defRPr sz="1000"/>
          </a:pPr>
          <a:fld id="{21AE0BE5-7426-43AE-A5A8-768A4DEE6C58}" type="TxLink">
            <a:rPr lang="en-US" sz="1350" b="1" i="0" u="none" strike="noStrike">
              <a:solidFill>
                <a:srgbClr val="FF0000"/>
              </a:solidFill>
              <a:latin typeface="Arial"/>
              <a:cs typeface="Arial"/>
            </a:rPr>
            <a:pPr algn="ctr" rtl="0">
              <a:defRPr sz="1000"/>
            </a:pPr>
            <a:t> </a:t>
          </a:fld>
          <a:endParaRPr lang="en-US" sz="1350" b="1" i="0" strike="noStrike">
            <a:solidFill>
              <a:srgbClr val="FF0000"/>
            </a:solidFill>
            <a:latin typeface="Arial" pitchFamily="34" charset="0"/>
            <a:cs typeface="Arial" pitchFamily="34" charset="0"/>
          </a:endParaRPr>
        </a:p>
      </xdr:txBody>
    </xdr:sp>
    <xdr:clientData/>
  </xdr:twoCellAnchor>
  <xdr:twoCellAnchor>
    <xdr:from>
      <xdr:col>23</xdr:col>
      <xdr:colOff>132557</xdr:colOff>
      <xdr:row>14</xdr:row>
      <xdr:rowOff>179147</xdr:rowOff>
    </xdr:from>
    <xdr:to>
      <xdr:col>24</xdr:col>
      <xdr:colOff>16035</xdr:colOff>
      <xdr:row>15</xdr:row>
      <xdr:rowOff>105137</xdr:rowOff>
    </xdr:to>
    <xdr:sp macro="" textlink="'Variable Mgmt'!D206">
      <xdr:nvSpPr>
        <xdr:cNvPr id="55" name="Text Box 267">
          <a:extLst>
            <a:ext uri="{FF2B5EF4-FFF2-40B4-BE49-F238E27FC236}">
              <a16:creationId xmlns:a16="http://schemas.microsoft.com/office/drawing/2014/main" id="{00000000-0008-0000-0000-000037000000}"/>
            </a:ext>
          </a:extLst>
        </xdr:cNvPr>
        <xdr:cNvSpPr txBox="1">
          <a:spLocks noChangeArrowheads="1" noTextEdit="1"/>
        </xdr:cNvSpPr>
      </xdr:nvSpPr>
      <xdr:spPr bwMode="auto">
        <a:xfrm>
          <a:off x="14420057" y="3350972"/>
          <a:ext cx="493078" cy="173640"/>
        </a:xfrm>
        <a:prstGeom prst="rect">
          <a:avLst/>
        </a:prstGeom>
        <a:noFill/>
        <a:ln w="9525">
          <a:noFill/>
          <a:miter lim="800000"/>
          <a:headEnd/>
          <a:tailEnd/>
        </a:ln>
      </xdr:spPr>
      <xdr:txBody>
        <a:bodyPr vertOverflow="clip" wrap="square" lIns="27432" tIns="22860" rIns="0" bIns="0" anchor="ctr" upright="1"/>
        <a:lstStyle/>
        <a:p>
          <a:pPr algn="l" rtl="0">
            <a:defRPr sz="1000"/>
          </a:pPr>
          <a:fld id="{2B13305E-FBF9-43A5-B29E-67B7B248F534}" type="TxLink">
            <a:rPr lang="en-US" sz="1000" b="0" i="0" u="none" strike="noStrike" baseline="0">
              <a:solidFill>
                <a:srgbClr val="000000"/>
              </a:solidFill>
              <a:latin typeface="Arial"/>
              <a:cs typeface="Arial"/>
            </a:rPr>
            <a:pPr algn="l" rtl="0">
              <a:defRPr sz="1000"/>
            </a:pPr>
            <a:t> </a:t>
          </a:fld>
          <a:endParaRPr lang="en-US" sz="1100" b="0" i="0" u="none" strike="noStrike" baseline="0">
            <a:solidFill>
              <a:srgbClr val="000000"/>
            </a:solidFill>
            <a:latin typeface="Arial" pitchFamily="34" charset="0"/>
            <a:cs typeface="Arial" pitchFamily="34" charset="0"/>
          </a:endParaRPr>
        </a:p>
      </xdr:txBody>
    </xdr:sp>
    <xdr:clientData/>
  </xdr:twoCellAnchor>
  <xdr:twoCellAnchor>
    <xdr:from>
      <xdr:col>23</xdr:col>
      <xdr:colOff>132557</xdr:colOff>
      <xdr:row>16</xdr:row>
      <xdr:rowOff>141047</xdr:rowOff>
    </xdr:from>
    <xdr:to>
      <xdr:col>24</xdr:col>
      <xdr:colOff>16035</xdr:colOff>
      <xdr:row>17</xdr:row>
      <xdr:rowOff>124187</xdr:rowOff>
    </xdr:to>
    <xdr:sp macro="" textlink="'Variable Mgmt'!C206">
      <xdr:nvSpPr>
        <xdr:cNvPr id="67" name="Text Box 267">
          <a:extLst>
            <a:ext uri="{FF2B5EF4-FFF2-40B4-BE49-F238E27FC236}">
              <a16:creationId xmlns:a16="http://schemas.microsoft.com/office/drawing/2014/main" id="{00000000-0008-0000-0000-000043000000}"/>
            </a:ext>
          </a:extLst>
        </xdr:cNvPr>
        <xdr:cNvSpPr txBox="1">
          <a:spLocks noChangeArrowheads="1" noTextEdit="1"/>
        </xdr:cNvSpPr>
      </xdr:nvSpPr>
      <xdr:spPr bwMode="auto">
        <a:xfrm>
          <a:off x="14420057" y="3760547"/>
          <a:ext cx="493078" cy="183165"/>
        </a:xfrm>
        <a:prstGeom prst="rect">
          <a:avLst/>
        </a:prstGeom>
        <a:noFill/>
        <a:ln w="9525">
          <a:noFill/>
          <a:miter lim="800000"/>
          <a:headEnd/>
          <a:tailEnd/>
        </a:ln>
      </xdr:spPr>
      <xdr:txBody>
        <a:bodyPr vertOverflow="clip" wrap="square" lIns="27432" tIns="22860" rIns="0" bIns="0" anchor="ctr" upright="1"/>
        <a:lstStyle/>
        <a:p>
          <a:pPr algn="l" rtl="0">
            <a:defRPr sz="1000"/>
          </a:pPr>
          <a:fld id="{EB8BEA1C-AFA8-40F4-BE4F-A41F4D085390}" type="TxLink">
            <a:rPr lang="en-US" sz="1100" b="0" i="0" u="none" strike="noStrike" baseline="0">
              <a:solidFill>
                <a:srgbClr val="000000"/>
              </a:solidFill>
              <a:latin typeface="Arial"/>
              <a:cs typeface="Arial"/>
            </a:rPr>
            <a:pPr algn="l" rtl="0">
              <a:defRPr sz="1000"/>
            </a:pPr>
            <a:t>44µF</a:t>
          </a:fld>
          <a:endParaRPr lang="en-US" sz="1400" b="0" i="0" u="none" strike="noStrike" baseline="0">
            <a:solidFill>
              <a:srgbClr val="000000"/>
            </a:solidFill>
            <a:latin typeface="Arial" pitchFamily="34" charset="0"/>
            <a:cs typeface="Arial" pitchFamily="34" charset="0"/>
          </a:endParaRPr>
        </a:p>
      </xdr:txBody>
    </xdr:sp>
    <xdr:clientData/>
  </xdr:twoCellAnchor>
  <xdr:twoCellAnchor>
    <xdr:from>
      <xdr:col>20</xdr:col>
      <xdr:colOff>461791</xdr:colOff>
      <xdr:row>5</xdr:row>
      <xdr:rowOff>140393</xdr:rowOff>
    </xdr:from>
    <xdr:to>
      <xdr:col>21</xdr:col>
      <xdr:colOff>172310</xdr:colOff>
      <xdr:row>7</xdr:row>
      <xdr:rowOff>7039</xdr:rowOff>
    </xdr:to>
    <xdr:sp macro="" textlink="">
      <xdr:nvSpPr>
        <xdr:cNvPr id="52" name="Text Box 244">
          <a:extLst>
            <a:ext uri="{FF2B5EF4-FFF2-40B4-BE49-F238E27FC236}">
              <a16:creationId xmlns:a16="http://schemas.microsoft.com/office/drawing/2014/main" id="{00000000-0008-0000-0000-000034000000}"/>
            </a:ext>
          </a:extLst>
        </xdr:cNvPr>
        <xdr:cNvSpPr txBox="1">
          <a:spLocks noChangeArrowheads="1"/>
        </xdr:cNvSpPr>
      </xdr:nvSpPr>
      <xdr:spPr bwMode="auto">
        <a:xfrm>
          <a:off x="12920491" y="1531043"/>
          <a:ext cx="320119" cy="247646"/>
        </a:xfrm>
        <a:prstGeom prst="rect">
          <a:avLst/>
        </a:prstGeom>
        <a:noFill/>
        <a:ln w="9525">
          <a:noFill/>
          <a:miter lim="800000"/>
          <a:headEnd/>
          <a:tailEnd/>
        </a:ln>
      </xdr:spPr>
      <xdr:txBody>
        <a:bodyPr vertOverflow="clip" wrap="square" lIns="27432" tIns="27432" rIns="0" bIns="0" anchor="t" upright="1"/>
        <a:lstStyle/>
        <a:p>
          <a:pPr algn="ctr" rtl="0">
            <a:defRPr sz="1000"/>
          </a:pPr>
          <a:r>
            <a:rPr lang="en-US" sz="1100" b="0" i="0" strike="noStrike">
              <a:solidFill>
                <a:srgbClr val="000000"/>
              </a:solidFill>
              <a:latin typeface="Arial" pitchFamily="34" charset="0"/>
              <a:cs typeface="Arial" pitchFamily="34" charset="0"/>
            </a:rPr>
            <a:t>T</a:t>
          </a:r>
          <a:r>
            <a:rPr lang="en-US" sz="1100" b="0" i="0" strike="noStrike" baseline="-25000">
              <a:solidFill>
                <a:srgbClr val="000000"/>
              </a:solidFill>
              <a:latin typeface="Arial" pitchFamily="34" charset="0"/>
              <a:cs typeface="Arial" pitchFamily="34" charset="0"/>
            </a:rPr>
            <a:t>1</a:t>
          </a:r>
        </a:p>
      </xdr:txBody>
    </xdr:sp>
    <xdr:clientData/>
  </xdr:twoCellAnchor>
  <mc:AlternateContent xmlns:mc="http://schemas.openxmlformats.org/markup-compatibility/2006">
    <mc:Choice xmlns:a14="http://schemas.microsoft.com/office/drawing/2010/main" Requires="a14">
      <xdr:twoCellAnchor editAs="oneCell">
        <xdr:from>
          <xdr:col>4</xdr:col>
          <xdr:colOff>0</xdr:colOff>
          <xdr:row>7</xdr:row>
          <xdr:rowOff>190500</xdr:rowOff>
        </xdr:from>
        <xdr:to>
          <xdr:col>5</xdr:col>
          <xdr:colOff>76200</xdr:colOff>
          <xdr:row>8</xdr:row>
          <xdr:rowOff>190500</xdr:rowOff>
        </xdr:to>
        <xdr:sp macro="" textlink="">
          <xdr:nvSpPr>
            <xdr:cNvPr id="715085" name="Drop Down 3405" hidden="1">
              <a:extLst>
                <a:ext uri="{63B3BB69-23CF-44E3-9099-C40C66FF867C}">
                  <a14:compatExt spid="_x0000_s715085"/>
                </a:ext>
                <a:ext uri="{FF2B5EF4-FFF2-40B4-BE49-F238E27FC236}">
                  <a16:creationId xmlns:a16="http://schemas.microsoft.com/office/drawing/2014/main" id="{00000000-0008-0000-0000-00004DE90A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24</xdr:row>
          <xdr:rowOff>247649</xdr:rowOff>
        </xdr:from>
        <xdr:to>
          <xdr:col>17</xdr:col>
          <xdr:colOff>141358</xdr:colOff>
          <xdr:row>45</xdr:row>
          <xdr:rowOff>104774</xdr:rowOff>
        </xdr:to>
        <xdr:pic>
          <xdr:nvPicPr>
            <xdr:cNvPr id="65" name="Picture 8888">
              <a:extLst>
                <a:ext uri="{FF2B5EF4-FFF2-40B4-BE49-F238E27FC236}">
                  <a16:creationId xmlns:a16="http://schemas.microsoft.com/office/drawing/2014/main" id="{00000000-0008-0000-0000-000041000000}"/>
                </a:ext>
              </a:extLst>
            </xdr:cNvPr>
            <xdr:cNvPicPr>
              <a:picLocks noChangeAspect="1" noChangeArrowheads="1"/>
              <a:extLst>
                <a:ext uri="{84589F7E-364E-4C9E-8A38-B11213B215E9}">
                  <a14:cameraTool cellRange="PICTURE2" spid="_x0000_s737087"/>
                </a:ext>
              </a:extLst>
            </xdr:cNvPicPr>
          </xdr:nvPicPr>
          <xdr:blipFill>
            <a:blip xmlns:r="http://schemas.openxmlformats.org/officeDocument/2006/relationships" r:embed="rId9"/>
            <a:srcRect/>
            <a:stretch>
              <a:fillRect/>
            </a:stretch>
          </xdr:blipFill>
          <xdr:spPr bwMode="auto">
            <a:xfrm>
              <a:off x="3962400" y="5448299"/>
              <a:ext cx="6685033" cy="4124325"/>
            </a:xfrm>
            <a:prstGeom prst="rect">
              <a:avLst/>
            </a:prstGeom>
            <a:noFill/>
            <a:ln w="15875">
              <a:noFill/>
              <a:miter lim="800000"/>
              <a:headEnd/>
              <a:tailEnd/>
            </a:ln>
            <a:extLst>
              <a:ext uri="{909E8E84-426E-40DD-AFC4-6F175D3DCCD1}">
                <a14:hiddenFill>
                  <a:solidFill>
                    <a:srgbClr val="FFFFFF" mc:Ignorable="a14" a14:legacySpreadsheetColorIndex="65"/>
                  </a:solidFill>
                </a14:hiddenFill>
              </a:ext>
            </a:extLst>
          </xdr:spPr>
        </xdr:pic>
        <xdr:clientData/>
      </xdr:twoCellAnchor>
    </mc:Choice>
    <mc:Fallback/>
  </mc:AlternateContent>
  <xdr:twoCellAnchor>
    <xdr:from>
      <xdr:col>17</xdr:col>
      <xdr:colOff>95251</xdr:colOff>
      <xdr:row>14</xdr:row>
      <xdr:rowOff>161925</xdr:rowOff>
    </xdr:from>
    <xdr:to>
      <xdr:col>18</xdr:col>
      <xdr:colOff>276226</xdr:colOff>
      <xdr:row>16</xdr:row>
      <xdr:rowOff>28575</xdr:rowOff>
    </xdr:to>
    <xdr:sp macro="" textlink="'Variable Mgmt'!R20">
      <xdr:nvSpPr>
        <xdr:cNvPr id="2" name="TextBox 1">
          <a:extLst>
            <a:ext uri="{FF2B5EF4-FFF2-40B4-BE49-F238E27FC236}">
              <a16:creationId xmlns:a16="http://schemas.microsoft.com/office/drawing/2014/main" id="{00000000-0008-0000-0000-000002000000}"/>
            </a:ext>
          </a:extLst>
        </xdr:cNvPr>
        <xdr:cNvSpPr txBox="1"/>
      </xdr:nvSpPr>
      <xdr:spPr bwMode="auto">
        <a:xfrm>
          <a:off x="10601326" y="3333750"/>
          <a:ext cx="857250" cy="314325"/>
        </a:xfrm>
        <a:prstGeom prst="rect">
          <a:avLst/>
        </a:prstGeom>
        <a:solidFill>
          <a:srgbClr val="CCFFFF"/>
        </a:solidFill>
        <a:ln w="9525">
          <a:noFill/>
          <a:miter lim="800000"/>
          <a:headEnd/>
          <a:tailEnd/>
        </a:ln>
      </xdr:spPr>
      <xdr:txBody>
        <a:bodyPr vertOverflow="clip" horzOverflow="clip" wrap="square" lIns="27432" tIns="27432" rIns="0" bIns="0" rtlCol="0" anchor="ctr" upright="1"/>
        <a:lstStyle/>
        <a:p>
          <a:pPr algn="l" rtl="0"/>
          <a:fld id="{2D1F34BE-62E1-4CF4-9DB2-2839E96E58D3}" type="TxLink">
            <a:rPr lang="en-US" sz="1400" b="1" i="0" u="none" strike="noStrike">
              <a:solidFill>
                <a:srgbClr val="FF0000"/>
              </a:solidFill>
              <a:latin typeface="Arial"/>
              <a:cs typeface="Arial"/>
            </a:rPr>
            <a:pPr algn="l" rtl="0"/>
            <a:t>LM25184</a:t>
          </a:fld>
          <a:endParaRPr lang="en-US" sz="1800" b="1" i="0" strike="noStrike">
            <a:solidFill>
              <a:srgbClr val="FF0000"/>
            </a:solidFill>
            <a:latin typeface="Arial" panose="020B0604020202020204" pitchFamily="34" charset="0"/>
            <a:cs typeface="Arial" panose="020B060402020202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4</xdr:col>
          <xdr:colOff>0</xdr:colOff>
          <xdr:row>4</xdr:row>
          <xdr:rowOff>7620</xdr:rowOff>
        </xdr:from>
        <xdr:to>
          <xdr:col>5</xdr:col>
          <xdr:colOff>266700</xdr:colOff>
          <xdr:row>4</xdr:row>
          <xdr:rowOff>236220</xdr:rowOff>
        </xdr:to>
        <xdr:sp macro="" textlink="">
          <xdr:nvSpPr>
            <xdr:cNvPr id="736565" name="Drop Down 4405" hidden="1">
              <a:extLst>
                <a:ext uri="{63B3BB69-23CF-44E3-9099-C40C66FF867C}">
                  <a14:compatExt spid="_x0000_s736565"/>
                </a:ext>
                <a:ext uri="{FF2B5EF4-FFF2-40B4-BE49-F238E27FC236}">
                  <a16:creationId xmlns:a16="http://schemas.microsoft.com/office/drawing/2014/main" id="{00000000-0008-0000-0000-0000353D0B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10.xml><?xml version="1.0" encoding="utf-8"?>
<c:userShapes xmlns:c="http://schemas.openxmlformats.org/drawingml/2006/chart">
  <cdr:relSizeAnchor xmlns:cdr="http://schemas.openxmlformats.org/drawingml/2006/chartDrawing">
    <cdr:from>
      <cdr:x>0.16877</cdr:x>
      <cdr:y>0.12917</cdr:y>
    </cdr:from>
    <cdr:to>
      <cdr:x>0.23482</cdr:x>
      <cdr:y>0.16636</cdr:y>
    </cdr:to>
    <cdr:sp macro="" textlink="'Variable Mgmt'!$B$249">
      <cdr:nvSpPr>
        <cdr:cNvPr id="2" name="Text Box 24"/>
        <cdr:cNvSpPr txBox="1">
          <a:spLocks xmlns:a="http://schemas.openxmlformats.org/drawingml/2006/main" noChangeArrowheads="1" noTextEdit="1"/>
        </cdr:cNvSpPr>
      </cdr:nvSpPr>
      <cdr:spPr bwMode="auto">
        <a:xfrm xmlns:a="http://schemas.openxmlformats.org/drawingml/2006/main">
          <a:off x="1403360" y="665601"/>
          <a:ext cx="549265" cy="19165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22860" rIns="0" bIns="22860" anchor="b"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fld id="{FB7B9190-533F-41A0-B9F6-41424F4E3D27}" type="TxLink">
            <a:rPr lang="en-US" sz="1100" b="0" i="0" u="none" strike="noStrike" baseline="0">
              <a:solidFill>
                <a:srgbClr val="000000"/>
              </a:solidFill>
              <a:latin typeface="Arial"/>
              <a:cs typeface="Arial"/>
            </a:rPr>
            <a:pPr algn="l" rtl="0">
              <a:defRPr sz="1000"/>
            </a:pPr>
            <a:t>82.4%</a:t>
          </a:fld>
          <a:endParaRPr lang="en-US" sz="1100" b="1" i="0" u="none" strike="noStrike" baseline="0">
            <a:solidFill>
              <a:srgbClr val="000000"/>
            </a:solidFill>
            <a:latin typeface="Arial" pitchFamily="34" charset="0"/>
            <a:cs typeface="Arial" pitchFamily="34" charset="0"/>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3</xdr:col>
      <xdr:colOff>38100</xdr:colOff>
      <xdr:row>6</xdr:row>
      <xdr:rowOff>819150</xdr:rowOff>
    </xdr:from>
    <xdr:to>
      <xdr:col>3</xdr:col>
      <xdr:colOff>561974</xdr:colOff>
      <xdr:row>6</xdr:row>
      <xdr:rowOff>1019175</xdr:rowOff>
    </xdr:to>
    <xdr:sp macro="" textlink="'Variable Mgmt'!$B$247">
      <xdr:nvSpPr>
        <xdr:cNvPr id="5" name="Text Box 24">
          <a:extLst>
            <a:ext uri="{FF2B5EF4-FFF2-40B4-BE49-F238E27FC236}">
              <a16:creationId xmlns:a16="http://schemas.microsoft.com/office/drawing/2014/main" id="{00000000-0008-0000-0800-000005000000}"/>
            </a:ext>
          </a:extLst>
        </xdr:cNvPr>
        <xdr:cNvSpPr txBox="1">
          <a:spLocks noChangeArrowheads="1" noTextEdit="1"/>
        </xdr:cNvSpPr>
      </xdr:nvSpPr>
      <xdr:spPr bwMode="auto">
        <a:xfrm>
          <a:off x="9686925" y="6934200"/>
          <a:ext cx="523874" cy="200025"/>
        </a:xfrm>
        <a:prstGeom prst="rect">
          <a:avLst/>
        </a:prstGeom>
        <a:solidFill>
          <a:schemeClr val="bg1"/>
        </a:solidFill>
        <a:ln w="9525">
          <a:noFill/>
          <a:miter lim="800000"/>
          <a:headEnd/>
          <a:tailEnd/>
        </a:ln>
      </xdr:spPr>
      <xdr:txBody>
        <a:bodyPr wrap="square" lIns="27432" tIns="22860" rIns="0" bIns="22860" anchor="b"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r" rtl="0">
            <a:defRPr sz="1000"/>
          </a:pPr>
          <a:fld id="{1F0AFB1C-0795-4024-9821-D34D86340D40}" type="TxLink">
            <a:rPr lang="en-US" sz="1100" b="0" i="0" u="none" strike="noStrike" baseline="0">
              <a:solidFill>
                <a:srgbClr val="000000"/>
              </a:solidFill>
              <a:latin typeface="Arial"/>
              <a:cs typeface="Arial"/>
            </a:rPr>
            <a:pPr algn="r" rtl="0">
              <a:defRPr sz="1000"/>
            </a:pPr>
            <a:t>90.1%</a:t>
          </a:fld>
          <a:endParaRPr lang="en-US" sz="1100" b="1" i="0" u="none" strike="noStrike" baseline="0">
            <a:solidFill>
              <a:srgbClr val="000000"/>
            </a:solidFill>
            <a:latin typeface="Arial" pitchFamily="34" charset="0"/>
            <a:cs typeface="Arial" pitchFamily="34" charset="0"/>
          </a:endParaRPr>
        </a:p>
      </xdr:txBody>
    </xdr:sp>
    <xdr:clientData/>
  </xdr:twoCellAnchor>
  <xdr:twoCellAnchor>
    <xdr:from>
      <xdr:col>3</xdr:col>
      <xdr:colOff>19050</xdr:colOff>
      <xdr:row>4</xdr:row>
      <xdr:rowOff>704850</xdr:rowOff>
    </xdr:from>
    <xdr:to>
      <xdr:col>3</xdr:col>
      <xdr:colOff>542924</xdr:colOff>
      <xdr:row>4</xdr:row>
      <xdr:rowOff>904875</xdr:rowOff>
    </xdr:to>
    <xdr:sp macro="" textlink="'Variable Mgmt'!$B$247">
      <xdr:nvSpPr>
        <xdr:cNvPr id="6" name="Text Box 24">
          <a:extLst>
            <a:ext uri="{FF2B5EF4-FFF2-40B4-BE49-F238E27FC236}">
              <a16:creationId xmlns:a16="http://schemas.microsoft.com/office/drawing/2014/main" id="{00000000-0008-0000-0800-000006000000}"/>
            </a:ext>
          </a:extLst>
        </xdr:cNvPr>
        <xdr:cNvSpPr txBox="1">
          <a:spLocks noChangeArrowheads="1" noTextEdit="1"/>
        </xdr:cNvSpPr>
      </xdr:nvSpPr>
      <xdr:spPr bwMode="auto">
        <a:xfrm>
          <a:off x="9667875" y="1409700"/>
          <a:ext cx="523874" cy="200025"/>
        </a:xfrm>
        <a:prstGeom prst="rect">
          <a:avLst/>
        </a:prstGeom>
        <a:noFill/>
        <a:ln w="9525">
          <a:noFill/>
          <a:miter lim="800000"/>
          <a:headEnd/>
          <a:tailEnd/>
        </a:ln>
      </xdr:spPr>
      <xdr:txBody>
        <a:bodyPr wrap="square" lIns="27432" tIns="22860" rIns="0" bIns="22860" anchor="b"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r" rtl="0">
            <a:defRPr sz="1000"/>
          </a:pPr>
          <a:fld id="{1F0AFB1C-0795-4024-9821-D34D86340D40}" type="TxLink">
            <a:rPr lang="en-US" sz="1100" b="0" i="0" u="none" strike="noStrike" baseline="0">
              <a:solidFill>
                <a:srgbClr val="000000"/>
              </a:solidFill>
              <a:latin typeface="Arial"/>
              <a:cs typeface="Arial"/>
            </a:rPr>
            <a:pPr algn="r" rtl="0">
              <a:defRPr sz="1000"/>
            </a:pPr>
            <a:t>90.1%</a:t>
          </a:fld>
          <a:endParaRPr lang="en-US" sz="1100" b="1" i="0" u="none" strike="noStrike" baseline="0">
            <a:solidFill>
              <a:srgbClr val="000000"/>
            </a:solidFill>
            <a:latin typeface="Arial" pitchFamily="34" charset="0"/>
            <a:cs typeface="Arial" pitchFamily="34" charset="0"/>
          </a:endParaRPr>
        </a:p>
      </xdr:txBody>
    </xdr:sp>
    <xdr:clientData/>
  </xdr:twoCellAnchor>
  <xdr:twoCellAnchor>
    <xdr:from>
      <xdr:col>1</xdr:col>
      <xdr:colOff>1</xdr:colOff>
      <xdr:row>4</xdr:row>
      <xdr:rowOff>0</xdr:rowOff>
    </xdr:from>
    <xdr:to>
      <xdr:col>1</xdr:col>
      <xdr:colOff>8275321</xdr:colOff>
      <xdr:row>4</xdr:row>
      <xdr:rowOff>5029200</xdr:rowOff>
    </xdr:to>
    <xdr:graphicFrame macro="">
      <xdr:nvGraphicFramePr>
        <xdr:cNvPr id="8" name="Chart 253">
          <a:extLst>
            <a:ext uri="{FF2B5EF4-FFF2-40B4-BE49-F238E27FC236}">
              <a16:creationId xmlns:a16="http://schemas.microsoft.com/office/drawing/2014/main" id="{00000000-0008-0000-08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6</xdr:row>
      <xdr:rowOff>0</xdr:rowOff>
    </xdr:from>
    <xdr:to>
      <xdr:col>1</xdr:col>
      <xdr:colOff>8275320</xdr:colOff>
      <xdr:row>6</xdr:row>
      <xdr:rowOff>5029200</xdr:rowOff>
    </xdr:to>
    <xdr:graphicFrame macro="">
      <xdr:nvGraphicFramePr>
        <xdr:cNvPr id="7" name="Chart 253">
          <a:extLst>
            <a:ext uri="{FF2B5EF4-FFF2-40B4-BE49-F238E27FC236}">
              <a16:creationId xmlns:a16="http://schemas.microsoft.com/office/drawing/2014/main" id="{00000000-0008-0000-08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editAs="oneCell">
        <xdr:from>
          <xdr:col>5</xdr:col>
          <xdr:colOff>0</xdr:colOff>
          <xdr:row>4</xdr:row>
          <xdr:rowOff>0</xdr:rowOff>
        </xdr:from>
        <xdr:to>
          <xdr:col>16</xdr:col>
          <xdr:colOff>18166</xdr:colOff>
          <xdr:row>4</xdr:row>
          <xdr:rowOff>4138092</xdr:rowOff>
        </xdr:to>
        <xdr:pic>
          <xdr:nvPicPr>
            <xdr:cNvPr id="9" name="Picture 8888">
              <a:extLst>
                <a:ext uri="{FF2B5EF4-FFF2-40B4-BE49-F238E27FC236}">
                  <a16:creationId xmlns:a16="http://schemas.microsoft.com/office/drawing/2014/main" id="{00000000-0008-0000-0800-000009000000}"/>
                </a:ext>
              </a:extLst>
            </xdr:cNvPr>
            <xdr:cNvPicPr>
              <a:picLocks noChangeAspect="1" noChangeArrowheads="1"/>
              <a:extLst>
                <a:ext uri="{84589F7E-364E-4C9E-8A38-B11213B215E9}">
                  <a14:cameraTool cellRange="PICTURE3" spid="_x0000_s729562"/>
                </a:ext>
              </a:extLst>
            </xdr:cNvPicPr>
          </xdr:nvPicPr>
          <xdr:blipFill>
            <a:blip xmlns:r="http://schemas.openxmlformats.org/officeDocument/2006/relationships" r:embed="rId3"/>
            <a:srcRect/>
            <a:stretch>
              <a:fillRect/>
            </a:stretch>
          </xdr:blipFill>
          <xdr:spPr bwMode="auto">
            <a:xfrm>
              <a:off x="10868025" y="704850"/>
              <a:ext cx="6723766" cy="4138092"/>
            </a:xfrm>
            <a:prstGeom prst="rect">
              <a:avLst/>
            </a:prstGeom>
            <a:noFill/>
            <a:ln w="15875">
              <a:noFill/>
              <a:miter lim="800000"/>
              <a:headEnd/>
              <a:tailEnd/>
            </a:ln>
            <a:extLst>
              <a:ext uri="{909E8E84-426E-40DD-AFC4-6F175D3DCCD1}">
                <a14:hiddenFill>
                  <a:solidFill>
                    <a:srgbClr val="FFFFFF" mc:Ignorable="a14" a14:legacySpreadsheetColorIndex="65"/>
                  </a:solidFill>
                </a14:hiddenFill>
              </a:ext>
            </a:extLst>
          </xdr:spPr>
        </xdr:pic>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4</xdr:row>
          <xdr:rowOff>0</xdr:rowOff>
        </xdr:from>
        <xdr:to>
          <xdr:col>18</xdr:col>
          <xdr:colOff>504825</xdr:colOff>
          <xdr:row>5</xdr:row>
          <xdr:rowOff>0</xdr:rowOff>
        </xdr:to>
        <xdr:pic>
          <xdr:nvPicPr>
            <xdr:cNvPr id="6" name="Picture 8888">
              <a:extLst>
                <a:ext uri="{FF2B5EF4-FFF2-40B4-BE49-F238E27FC236}">
                  <a16:creationId xmlns:a16="http://schemas.microsoft.com/office/drawing/2014/main" id="{00000000-0008-0000-0900-000006000000}"/>
                </a:ext>
              </a:extLst>
            </xdr:cNvPr>
            <xdr:cNvPicPr>
              <a:picLocks noChangeAspect="1" noChangeArrowheads="1"/>
              <a:extLst>
                <a:ext uri="{84589F7E-364E-4C9E-8A38-B11213B215E9}">
                  <a14:cameraTool cellRange="PICTURE2" spid="_x0000_s733657"/>
                </a:ext>
              </a:extLst>
            </xdr:cNvPicPr>
          </xdr:nvPicPr>
          <xdr:blipFill>
            <a:blip xmlns:r="http://schemas.openxmlformats.org/officeDocument/2006/relationships" r:embed="rId1"/>
            <a:srcRect/>
            <a:stretch>
              <a:fillRect/>
            </a:stretch>
          </xdr:blipFill>
          <xdr:spPr bwMode="auto">
            <a:xfrm>
              <a:off x="10868025" y="704850"/>
              <a:ext cx="8429625" cy="5200650"/>
            </a:xfrm>
            <a:prstGeom prst="rect">
              <a:avLst/>
            </a:prstGeom>
            <a:noFill/>
            <a:ln w="15875">
              <a:noFill/>
              <a:miter lim="800000"/>
              <a:headEnd/>
              <a:tailEnd/>
            </a:ln>
            <a:extLst>
              <a:ext uri="{909E8E84-426E-40DD-AFC4-6F175D3DCCD1}">
                <a14:hiddenFill>
                  <a:solidFill>
                    <a:srgbClr val="FFFFFF" mc:Ignorable="a14" a14:legacySpreadsheetColorIndex="65"/>
                  </a:solidFill>
                </a14:hiddenFill>
              </a:ext>
            </a:extLst>
          </xdr:spPr>
        </xdr:pic>
        <xdr:clientData/>
      </xdr:twoCellAnchor>
    </mc:Choice>
    <mc:Fallback/>
  </mc:AlternateContent>
  <xdr:twoCellAnchor>
    <xdr:from>
      <xdr:col>1</xdr:col>
      <xdr:colOff>1</xdr:colOff>
      <xdr:row>4</xdr:row>
      <xdr:rowOff>0</xdr:rowOff>
    </xdr:from>
    <xdr:to>
      <xdr:col>1</xdr:col>
      <xdr:colOff>8275321</xdr:colOff>
      <xdr:row>4</xdr:row>
      <xdr:rowOff>5029200</xdr:rowOff>
    </xdr:to>
    <xdr:graphicFrame macro="">
      <xdr:nvGraphicFramePr>
        <xdr:cNvPr id="7" name="Chart 253">
          <a:extLst>
            <a:ext uri="{FF2B5EF4-FFF2-40B4-BE49-F238E27FC236}">
              <a16:creationId xmlns:a16="http://schemas.microsoft.com/office/drawing/2014/main" id="{00000000-0008-0000-0900-000007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xdr:colOff>
      <xdr:row>6</xdr:row>
      <xdr:rowOff>19049</xdr:rowOff>
    </xdr:from>
    <xdr:to>
      <xdr:col>1</xdr:col>
      <xdr:colOff>8277225</xdr:colOff>
      <xdr:row>6</xdr:row>
      <xdr:rowOff>5048249</xdr:rowOff>
    </xdr:to>
    <xdr:graphicFrame macro="">
      <xdr:nvGraphicFramePr>
        <xdr:cNvPr id="8" name="Chart 253">
          <a:extLst>
            <a:ext uri="{FF2B5EF4-FFF2-40B4-BE49-F238E27FC236}">
              <a16:creationId xmlns:a16="http://schemas.microsoft.com/office/drawing/2014/main" id="{00000000-0008-0000-0900-000008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15</xdr:col>
      <xdr:colOff>752475</xdr:colOff>
      <xdr:row>30</xdr:row>
      <xdr:rowOff>85725</xdr:rowOff>
    </xdr:from>
    <xdr:to>
      <xdr:col>15</xdr:col>
      <xdr:colOff>1200150</xdr:colOff>
      <xdr:row>31</xdr:row>
      <xdr:rowOff>133350</xdr:rowOff>
    </xdr:to>
    <xdr:sp macro="" textlink="">
      <xdr:nvSpPr>
        <xdr:cNvPr id="3" name="Text Box 2">
          <a:extLst>
            <a:ext uri="{FF2B5EF4-FFF2-40B4-BE49-F238E27FC236}">
              <a16:creationId xmlns:a16="http://schemas.microsoft.com/office/drawing/2014/main" id="{00000000-0008-0000-0A00-000003000000}"/>
            </a:ext>
          </a:extLst>
        </xdr:cNvPr>
        <xdr:cNvSpPr txBox="1">
          <a:spLocks noChangeArrowheads="1"/>
        </xdr:cNvSpPr>
      </xdr:nvSpPr>
      <xdr:spPr bwMode="auto">
        <a:xfrm>
          <a:off x="16906875" y="13973175"/>
          <a:ext cx="0" cy="219075"/>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1" i="0" strike="noStrike">
              <a:solidFill>
                <a:srgbClr val="0000FF"/>
              </a:solidFill>
              <a:latin typeface="Arial"/>
              <a:cs typeface="Arial"/>
            </a:rPr>
            <a:t>V</a:t>
          </a:r>
          <a:r>
            <a:rPr lang="en-US" sz="1000" b="1" i="0" strike="noStrike" baseline="-25000">
              <a:solidFill>
                <a:srgbClr val="0000FF"/>
              </a:solidFill>
              <a:latin typeface="Arial"/>
              <a:cs typeface="Arial"/>
            </a:rPr>
            <a:t>OUT</a:t>
          </a:r>
        </a:p>
      </xdr:txBody>
    </xdr:sp>
    <xdr:clientData/>
  </xdr:twoCellAnchor>
  <xdr:twoCellAnchor>
    <xdr:from>
      <xdr:col>15</xdr:col>
      <xdr:colOff>752475</xdr:colOff>
      <xdr:row>31</xdr:row>
      <xdr:rowOff>104775</xdr:rowOff>
    </xdr:from>
    <xdr:to>
      <xdr:col>15</xdr:col>
      <xdr:colOff>1181100</xdr:colOff>
      <xdr:row>32</xdr:row>
      <xdr:rowOff>152400</xdr:rowOff>
    </xdr:to>
    <xdr:sp macro="" textlink="">
      <xdr:nvSpPr>
        <xdr:cNvPr id="4" name="Text Box 3">
          <a:extLst>
            <a:ext uri="{FF2B5EF4-FFF2-40B4-BE49-F238E27FC236}">
              <a16:creationId xmlns:a16="http://schemas.microsoft.com/office/drawing/2014/main" id="{00000000-0008-0000-0A00-000004000000}"/>
            </a:ext>
          </a:extLst>
        </xdr:cNvPr>
        <xdr:cNvSpPr txBox="1">
          <a:spLocks noChangeArrowheads="1" noTextEdit="1"/>
        </xdr:cNvSpPr>
      </xdr:nvSpPr>
      <xdr:spPr bwMode="auto">
        <a:xfrm>
          <a:off x="16906875" y="14163675"/>
          <a:ext cx="0" cy="219075"/>
        </a:xfrm>
        <a:prstGeom prst="rect">
          <a:avLst/>
        </a:prstGeom>
        <a:noFill/>
        <a:ln w="9525">
          <a:noFill/>
          <a:miter lim="800000"/>
          <a:headEnd/>
          <a:tailEnd/>
        </a:ln>
      </xdr:spPr>
      <xdr:txBody>
        <a:bodyPr vertOverflow="clip" wrap="square" lIns="27432" tIns="22860" rIns="0" bIns="0" anchor="t" upright="1"/>
        <a:lstStyle/>
        <a:p>
          <a:pPr algn="l" rtl="0">
            <a:defRPr sz="1000"/>
          </a:pPr>
          <a:fld id="{0F8B8801-C5EA-4FBD-95F5-162EB7ADACC8}" type="TxLink">
            <a:rPr lang="en-US" sz="1000" b="1" i="0" u="none" strike="noStrike">
              <a:solidFill>
                <a:srgbClr val="0000FF"/>
              </a:solidFill>
              <a:latin typeface="Arial"/>
              <a:cs typeface="Arial"/>
            </a:rPr>
            <a:pPr algn="l" rtl="0">
              <a:defRPr sz="1000"/>
            </a:pPr>
            <a:t>1.2V</a:t>
          </a:fld>
          <a:endParaRPr lang="en-US" sz="1000" b="1" i="0" strike="noStrike">
            <a:solidFill>
              <a:srgbClr val="0000FF"/>
            </a:solidFill>
            <a:latin typeface="Arial"/>
            <a:cs typeface="Arial"/>
          </a:endParaRPr>
        </a:p>
      </xdr:txBody>
    </xdr:sp>
    <xdr:clientData/>
  </xdr:twoCellAnchor>
  <xdr:twoCellAnchor>
    <xdr:from>
      <xdr:col>16</xdr:col>
      <xdr:colOff>0</xdr:colOff>
      <xdr:row>34</xdr:row>
      <xdr:rowOff>142875</xdr:rowOff>
    </xdr:from>
    <xdr:to>
      <xdr:col>16</xdr:col>
      <xdr:colOff>0</xdr:colOff>
      <xdr:row>36</xdr:row>
      <xdr:rowOff>152400</xdr:rowOff>
    </xdr:to>
    <xdr:grpSp>
      <xdr:nvGrpSpPr>
        <xdr:cNvPr id="5" name="Group 25">
          <a:extLst>
            <a:ext uri="{FF2B5EF4-FFF2-40B4-BE49-F238E27FC236}">
              <a16:creationId xmlns:a16="http://schemas.microsoft.com/office/drawing/2014/main" id="{00000000-0008-0000-0A00-000005000000}"/>
            </a:ext>
          </a:extLst>
        </xdr:cNvPr>
        <xdr:cNvGrpSpPr>
          <a:grpSpLocks/>
        </xdr:cNvGrpSpPr>
      </xdr:nvGrpSpPr>
      <xdr:grpSpPr bwMode="auto">
        <a:xfrm>
          <a:off x="33863280" y="65171955"/>
          <a:ext cx="0" cy="4337685"/>
          <a:chOff x="953" y="747"/>
          <a:chExt cx="76" cy="41"/>
        </a:xfrm>
      </xdr:grpSpPr>
      <xdr:sp macro="" textlink="">
        <xdr:nvSpPr>
          <xdr:cNvPr id="6" name="Text Box 26">
            <a:extLst>
              <a:ext uri="{FF2B5EF4-FFF2-40B4-BE49-F238E27FC236}">
                <a16:creationId xmlns:a16="http://schemas.microsoft.com/office/drawing/2014/main" id="{00000000-0008-0000-0A00-000006000000}"/>
              </a:ext>
            </a:extLst>
          </xdr:cNvPr>
          <xdr:cNvSpPr txBox="1">
            <a:spLocks noChangeArrowheads="1"/>
          </xdr:cNvSpPr>
        </xdr:nvSpPr>
        <xdr:spPr bwMode="auto">
          <a:xfrm>
            <a:off x="16906875" y="-6462072205698"/>
            <a:ext cx="0" cy="21"/>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1" i="0" strike="noStrike">
                <a:solidFill>
                  <a:srgbClr val="0000FF"/>
                </a:solidFill>
                <a:latin typeface="Arial"/>
                <a:cs typeface="Arial"/>
              </a:rPr>
              <a:t>C</a:t>
            </a:r>
            <a:r>
              <a:rPr lang="en-US" sz="1000" b="1" i="0" strike="noStrike" baseline="-25000">
                <a:solidFill>
                  <a:srgbClr val="0000FF"/>
                </a:solidFill>
                <a:latin typeface="Arial"/>
                <a:cs typeface="Arial"/>
              </a:rPr>
              <a:t>OUT</a:t>
            </a:r>
          </a:p>
        </xdr:txBody>
      </xdr:sp>
      <xdr:sp macro="" textlink="">
        <xdr:nvSpPr>
          <xdr:cNvPr id="7" name="Text Box 27">
            <a:extLst>
              <a:ext uri="{FF2B5EF4-FFF2-40B4-BE49-F238E27FC236}">
                <a16:creationId xmlns:a16="http://schemas.microsoft.com/office/drawing/2014/main" id="{00000000-0008-0000-0A00-000007000000}"/>
              </a:ext>
            </a:extLst>
          </xdr:cNvPr>
          <xdr:cNvSpPr txBox="1">
            <a:spLocks noChangeArrowheads="1" noTextEdit="1"/>
          </xdr:cNvSpPr>
        </xdr:nvSpPr>
        <xdr:spPr bwMode="auto">
          <a:xfrm>
            <a:off x="16906875" y="-11225863852848"/>
            <a:ext cx="0" cy="21"/>
          </a:xfrm>
          <a:prstGeom prst="rect">
            <a:avLst/>
          </a:prstGeom>
          <a:noFill/>
          <a:ln w="9525">
            <a:noFill/>
            <a:miter lim="800000"/>
            <a:headEnd/>
            <a:tailEnd/>
          </a:ln>
        </xdr:spPr>
        <xdr:txBody>
          <a:bodyPr vertOverflow="clip" wrap="square" lIns="27432" tIns="22860" rIns="0" bIns="0" anchor="t" upright="1"/>
          <a:lstStyle/>
          <a:p>
            <a:pPr algn="l" rtl="0">
              <a:defRPr sz="1000"/>
            </a:pPr>
            <a:fld id="{FA2B5858-D1A0-4A0D-80A7-2946C710A8EC}" type="TxLink">
              <a:rPr lang="en-US" sz="1000" b="1" i="0" u="none" strike="noStrike">
                <a:solidFill>
                  <a:srgbClr val="0000FF"/>
                </a:solidFill>
                <a:latin typeface="Arial"/>
                <a:cs typeface="Arial"/>
              </a:rPr>
              <a:pPr algn="l" rtl="0">
                <a:defRPr sz="1000"/>
              </a:pPr>
              <a:t>140µF</a:t>
            </a:fld>
            <a:endParaRPr lang="en-US" sz="1000" b="1" i="0" strike="noStrike">
              <a:solidFill>
                <a:srgbClr val="0000FF"/>
              </a:solidFill>
              <a:latin typeface="Arial"/>
              <a:cs typeface="Arial"/>
            </a:endParaRPr>
          </a:p>
        </xdr:txBody>
      </xdr:sp>
    </xdr:grpSp>
    <xdr:clientData/>
  </xdr:twoCellAnchor>
  <xdr:twoCellAnchor editAs="oneCell">
    <xdr:from>
      <xdr:col>3</xdr:col>
      <xdr:colOff>609599</xdr:colOff>
      <xdr:row>6</xdr:row>
      <xdr:rowOff>0</xdr:rowOff>
    </xdr:from>
    <xdr:to>
      <xdr:col>4</xdr:col>
      <xdr:colOff>8229599</xdr:colOff>
      <xdr:row>6</xdr:row>
      <xdr:rowOff>4480726</xdr:rowOff>
    </xdr:to>
    <xdr:pic>
      <xdr:nvPicPr>
        <xdr:cNvPr id="82" name="Picture 81">
          <a:extLst>
            <a:ext uri="{FF2B5EF4-FFF2-40B4-BE49-F238E27FC236}">
              <a16:creationId xmlns:a16="http://schemas.microsoft.com/office/drawing/2014/main" id="{00000000-0008-0000-0A00-00005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82249" y="1028700"/>
          <a:ext cx="8229600" cy="4480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609599</xdr:colOff>
      <xdr:row>6</xdr:row>
      <xdr:rowOff>0</xdr:rowOff>
    </xdr:from>
    <xdr:to>
      <xdr:col>7</xdr:col>
      <xdr:colOff>8229599</xdr:colOff>
      <xdr:row>6</xdr:row>
      <xdr:rowOff>4480726</xdr:rowOff>
    </xdr:to>
    <xdr:pic>
      <xdr:nvPicPr>
        <xdr:cNvPr id="84" name="Picture 83">
          <a:extLst>
            <a:ext uri="{FF2B5EF4-FFF2-40B4-BE49-F238E27FC236}">
              <a16:creationId xmlns:a16="http://schemas.microsoft.com/office/drawing/2014/main" id="{00000000-0008-0000-0A00-00005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916774" y="1028700"/>
          <a:ext cx="8229600" cy="4480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847724</xdr:colOff>
      <xdr:row>8</xdr:row>
      <xdr:rowOff>0</xdr:rowOff>
    </xdr:from>
    <xdr:to>
      <xdr:col>1</xdr:col>
      <xdr:colOff>8229599</xdr:colOff>
      <xdr:row>8</xdr:row>
      <xdr:rowOff>4480726</xdr:rowOff>
    </xdr:to>
    <xdr:pic>
      <xdr:nvPicPr>
        <xdr:cNvPr id="51" name="Picture 50">
          <a:extLst>
            <a:ext uri="{FF2B5EF4-FFF2-40B4-BE49-F238E27FC236}">
              <a16:creationId xmlns:a16="http://schemas.microsoft.com/office/drawing/2014/main" id="{00000000-0008-0000-0A00-000033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47724" y="5781675"/>
          <a:ext cx="8229600" cy="4480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847724</xdr:colOff>
      <xdr:row>10</xdr:row>
      <xdr:rowOff>0</xdr:rowOff>
    </xdr:from>
    <xdr:to>
      <xdr:col>1</xdr:col>
      <xdr:colOff>8229599</xdr:colOff>
      <xdr:row>10</xdr:row>
      <xdr:rowOff>4480726</xdr:rowOff>
    </xdr:to>
    <xdr:pic>
      <xdr:nvPicPr>
        <xdr:cNvPr id="52" name="Picture 51">
          <a:extLst>
            <a:ext uri="{FF2B5EF4-FFF2-40B4-BE49-F238E27FC236}">
              <a16:creationId xmlns:a16="http://schemas.microsoft.com/office/drawing/2014/main" id="{00000000-0008-0000-0A00-000034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47724" y="10572750"/>
          <a:ext cx="8229600" cy="4480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843642</xdr:colOff>
      <xdr:row>12</xdr:row>
      <xdr:rowOff>0</xdr:rowOff>
    </xdr:from>
    <xdr:to>
      <xdr:col>1</xdr:col>
      <xdr:colOff>8229599</xdr:colOff>
      <xdr:row>12</xdr:row>
      <xdr:rowOff>4480726</xdr:rowOff>
    </xdr:to>
    <xdr:pic>
      <xdr:nvPicPr>
        <xdr:cNvPr id="53" name="Picture 52">
          <a:extLst>
            <a:ext uri="{FF2B5EF4-FFF2-40B4-BE49-F238E27FC236}">
              <a16:creationId xmlns:a16="http://schemas.microsoft.com/office/drawing/2014/main" id="{00000000-0008-0000-0A00-000035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43642" y="15267214"/>
          <a:ext cx="8229600" cy="4480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843642</xdr:colOff>
      <xdr:row>14</xdr:row>
      <xdr:rowOff>-1</xdr:rowOff>
    </xdr:from>
    <xdr:to>
      <xdr:col>1</xdr:col>
      <xdr:colOff>8229599</xdr:colOff>
      <xdr:row>14</xdr:row>
      <xdr:rowOff>4480725</xdr:rowOff>
    </xdr:to>
    <xdr:pic>
      <xdr:nvPicPr>
        <xdr:cNvPr id="73" name="Picture 72">
          <a:extLst>
            <a:ext uri="{FF2B5EF4-FFF2-40B4-BE49-F238E27FC236}">
              <a16:creationId xmlns:a16="http://schemas.microsoft.com/office/drawing/2014/main" id="{00000000-0008-0000-0A00-000049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43642" y="19961678"/>
          <a:ext cx="8229600" cy="4480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843642</xdr:colOff>
      <xdr:row>6</xdr:row>
      <xdr:rowOff>0</xdr:rowOff>
    </xdr:from>
    <xdr:to>
      <xdr:col>1</xdr:col>
      <xdr:colOff>8229599</xdr:colOff>
      <xdr:row>6</xdr:row>
      <xdr:rowOff>4480726</xdr:rowOff>
    </xdr:to>
    <xdr:pic>
      <xdr:nvPicPr>
        <xdr:cNvPr id="76" name="Picture 75">
          <a:extLst>
            <a:ext uri="{FF2B5EF4-FFF2-40B4-BE49-F238E27FC236}">
              <a16:creationId xmlns:a16="http://schemas.microsoft.com/office/drawing/2014/main" id="{00000000-0008-0000-0A00-00004C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843642" y="1034143"/>
          <a:ext cx="8229600" cy="4480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843642</xdr:colOff>
      <xdr:row>16</xdr:row>
      <xdr:rowOff>0</xdr:rowOff>
    </xdr:from>
    <xdr:to>
      <xdr:col>1</xdr:col>
      <xdr:colOff>8229599</xdr:colOff>
      <xdr:row>16</xdr:row>
      <xdr:rowOff>4480726</xdr:rowOff>
    </xdr:to>
    <xdr:pic>
      <xdr:nvPicPr>
        <xdr:cNvPr id="77" name="Picture 76">
          <a:extLst>
            <a:ext uri="{FF2B5EF4-FFF2-40B4-BE49-F238E27FC236}">
              <a16:creationId xmlns:a16="http://schemas.microsoft.com/office/drawing/2014/main" id="{00000000-0008-0000-0A00-00004D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843642" y="24656143"/>
          <a:ext cx="8229600" cy="4480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843642</xdr:colOff>
      <xdr:row>18</xdr:row>
      <xdr:rowOff>0</xdr:rowOff>
    </xdr:from>
    <xdr:to>
      <xdr:col>1</xdr:col>
      <xdr:colOff>8229599</xdr:colOff>
      <xdr:row>18</xdr:row>
      <xdr:rowOff>4480726</xdr:rowOff>
    </xdr:to>
    <xdr:pic>
      <xdr:nvPicPr>
        <xdr:cNvPr id="85" name="Picture 84">
          <a:extLst>
            <a:ext uri="{FF2B5EF4-FFF2-40B4-BE49-F238E27FC236}">
              <a16:creationId xmlns:a16="http://schemas.microsoft.com/office/drawing/2014/main" id="{00000000-0008-0000-0A00-000055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843642" y="29337000"/>
          <a:ext cx="8229600" cy="4480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843642</xdr:colOff>
      <xdr:row>20</xdr:row>
      <xdr:rowOff>0</xdr:rowOff>
    </xdr:from>
    <xdr:to>
      <xdr:col>1</xdr:col>
      <xdr:colOff>8229599</xdr:colOff>
      <xdr:row>20</xdr:row>
      <xdr:rowOff>4480726</xdr:rowOff>
    </xdr:to>
    <xdr:pic>
      <xdr:nvPicPr>
        <xdr:cNvPr id="86" name="Picture 85">
          <a:extLst>
            <a:ext uri="{FF2B5EF4-FFF2-40B4-BE49-F238E27FC236}">
              <a16:creationId xmlns:a16="http://schemas.microsoft.com/office/drawing/2014/main" id="{00000000-0008-0000-0A00-000056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843642" y="33949821"/>
          <a:ext cx="8229600" cy="4480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612320</xdr:colOff>
      <xdr:row>8</xdr:row>
      <xdr:rowOff>0</xdr:rowOff>
    </xdr:from>
    <xdr:to>
      <xdr:col>4</xdr:col>
      <xdr:colOff>8229599</xdr:colOff>
      <xdr:row>8</xdr:row>
      <xdr:rowOff>4480726</xdr:rowOff>
    </xdr:to>
    <xdr:pic>
      <xdr:nvPicPr>
        <xdr:cNvPr id="17" name="Picture 16">
          <a:extLst>
            <a:ext uri="{FF2B5EF4-FFF2-40B4-BE49-F238E27FC236}">
              <a16:creationId xmlns:a16="http://schemas.microsoft.com/office/drawing/2014/main" id="{00000000-0008-0000-0A00-000011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0382249" y="5783036"/>
          <a:ext cx="8229600" cy="4480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612320</xdr:colOff>
      <xdr:row>10</xdr:row>
      <xdr:rowOff>0</xdr:rowOff>
    </xdr:from>
    <xdr:to>
      <xdr:col>4</xdr:col>
      <xdr:colOff>8229599</xdr:colOff>
      <xdr:row>10</xdr:row>
      <xdr:rowOff>4480726</xdr:rowOff>
    </xdr:to>
    <xdr:pic>
      <xdr:nvPicPr>
        <xdr:cNvPr id="19" name="Picture 18">
          <a:extLst>
            <a:ext uri="{FF2B5EF4-FFF2-40B4-BE49-F238E27FC236}">
              <a16:creationId xmlns:a16="http://schemas.microsoft.com/office/drawing/2014/main" id="{00000000-0008-0000-0A00-000013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0382249" y="10477500"/>
          <a:ext cx="8229600" cy="4480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612320</xdr:colOff>
      <xdr:row>12</xdr:row>
      <xdr:rowOff>0</xdr:rowOff>
    </xdr:from>
    <xdr:to>
      <xdr:col>4</xdr:col>
      <xdr:colOff>8229599</xdr:colOff>
      <xdr:row>12</xdr:row>
      <xdr:rowOff>4480726</xdr:rowOff>
    </xdr:to>
    <xdr:pic>
      <xdr:nvPicPr>
        <xdr:cNvPr id="20" name="Picture 19">
          <a:extLst>
            <a:ext uri="{FF2B5EF4-FFF2-40B4-BE49-F238E27FC236}">
              <a16:creationId xmlns:a16="http://schemas.microsoft.com/office/drawing/2014/main" id="{00000000-0008-0000-0A00-00001400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382249" y="15171964"/>
          <a:ext cx="8229600" cy="4480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612320</xdr:colOff>
      <xdr:row>14</xdr:row>
      <xdr:rowOff>0</xdr:rowOff>
    </xdr:from>
    <xdr:to>
      <xdr:col>4</xdr:col>
      <xdr:colOff>8229599</xdr:colOff>
      <xdr:row>14</xdr:row>
      <xdr:rowOff>4480726</xdr:rowOff>
    </xdr:to>
    <xdr:pic>
      <xdr:nvPicPr>
        <xdr:cNvPr id="21" name="Picture 20">
          <a:extLst>
            <a:ext uri="{FF2B5EF4-FFF2-40B4-BE49-F238E27FC236}">
              <a16:creationId xmlns:a16="http://schemas.microsoft.com/office/drawing/2014/main" id="{00000000-0008-0000-0A00-00001500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0382249" y="19866429"/>
          <a:ext cx="8229600" cy="4480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612320</xdr:colOff>
      <xdr:row>16</xdr:row>
      <xdr:rowOff>0</xdr:rowOff>
    </xdr:from>
    <xdr:to>
      <xdr:col>4</xdr:col>
      <xdr:colOff>8229599</xdr:colOff>
      <xdr:row>16</xdr:row>
      <xdr:rowOff>4480726</xdr:rowOff>
    </xdr:to>
    <xdr:pic>
      <xdr:nvPicPr>
        <xdr:cNvPr id="22" name="Picture 21">
          <a:extLst>
            <a:ext uri="{FF2B5EF4-FFF2-40B4-BE49-F238E27FC236}">
              <a16:creationId xmlns:a16="http://schemas.microsoft.com/office/drawing/2014/main" id="{00000000-0008-0000-0A00-00001600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0382249" y="24560893"/>
          <a:ext cx="8229600" cy="4480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612320</xdr:colOff>
      <xdr:row>18</xdr:row>
      <xdr:rowOff>0</xdr:rowOff>
    </xdr:from>
    <xdr:to>
      <xdr:col>4</xdr:col>
      <xdr:colOff>8229599</xdr:colOff>
      <xdr:row>18</xdr:row>
      <xdr:rowOff>4480726</xdr:rowOff>
    </xdr:to>
    <xdr:pic>
      <xdr:nvPicPr>
        <xdr:cNvPr id="23" name="Picture 22">
          <a:extLst>
            <a:ext uri="{FF2B5EF4-FFF2-40B4-BE49-F238E27FC236}">
              <a16:creationId xmlns:a16="http://schemas.microsoft.com/office/drawing/2014/main" id="{00000000-0008-0000-0A00-0000170000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0382249" y="29241750"/>
          <a:ext cx="8229600" cy="4480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612320</xdr:colOff>
      <xdr:row>20</xdr:row>
      <xdr:rowOff>0</xdr:rowOff>
    </xdr:from>
    <xdr:to>
      <xdr:col>4</xdr:col>
      <xdr:colOff>8229599</xdr:colOff>
      <xdr:row>20</xdr:row>
      <xdr:rowOff>4480726</xdr:rowOff>
    </xdr:to>
    <xdr:pic>
      <xdr:nvPicPr>
        <xdr:cNvPr id="24" name="Picture 23">
          <a:extLst>
            <a:ext uri="{FF2B5EF4-FFF2-40B4-BE49-F238E27FC236}">
              <a16:creationId xmlns:a16="http://schemas.microsoft.com/office/drawing/2014/main" id="{00000000-0008-0000-0A00-00001800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0382249" y="33949821"/>
          <a:ext cx="8229600" cy="4480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xdr:colOff>
      <xdr:row>8</xdr:row>
      <xdr:rowOff>0</xdr:rowOff>
    </xdr:from>
    <xdr:to>
      <xdr:col>7</xdr:col>
      <xdr:colOff>8229599</xdr:colOff>
      <xdr:row>8</xdr:row>
      <xdr:rowOff>4480726</xdr:rowOff>
    </xdr:to>
    <xdr:pic>
      <xdr:nvPicPr>
        <xdr:cNvPr id="25" name="Picture 24">
          <a:extLst>
            <a:ext uri="{FF2B5EF4-FFF2-40B4-BE49-F238E27FC236}">
              <a16:creationId xmlns:a16="http://schemas.microsoft.com/office/drawing/2014/main" id="{00000000-0008-0000-0A00-00001900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9898590" y="5766955"/>
          <a:ext cx="8229600" cy="4480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xdr:colOff>
      <xdr:row>10</xdr:row>
      <xdr:rowOff>0</xdr:rowOff>
    </xdr:from>
    <xdr:to>
      <xdr:col>7</xdr:col>
      <xdr:colOff>8229599</xdr:colOff>
      <xdr:row>10</xdr:row>
      <xdr:rowOff>4480726</xdr:rowOff>
    </xdr:to>
    <xdr:pic>
      <xdr:nvPicPr>
        <xdr:cNvPr id="27" name="Picture 26">
          <a:extLst>
            <a:ext uri="{FF2B5EF4-FFF2-40B4-BE49-F238E27FC236}">
              <a16:creationId xmlns:a16="http://schemas.microsoft.com/office/drawing/2014/main" id="{00000000-0008-0000-0A00-00001B0000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9898590" y="10460182"/>
          <a:ext cx="8229600" cy="4480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xdr:colOff>
      <xdr:row>12</xdr:row>
      <xdr:rowOff>0</xdr:rowOff>
    </xdr:from>
    <xdr:to>
      <xdr:col>7</xdr:col>
      <xdr:colOff>8229599</xdr:colOff>
      <xdr:row>12</xdr:row>
      <xdr:rowOff>4480726</xdr:rowOff>
    </xdr:to>
    <xdr:pic>
      <xdr:nvPicPr>
        <xdr:cNvPr id="28" name="Picture 27">
          <a:extLst>
            <a:ext uri="{FF2B5EF4-FFF2-40B4-BE49-F238E27FC236}">
              <a16:creationId xmlns:a16="http://schemas.microsoft.com/office/drawing/2014/main" id="{00000000-0008-0000-0A00-00001C00000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9898590" y="15153409"/>
          <a:ext cx="8229600" cy="4480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xdr:colOff>
      <xdr:row>14</xdr:row>
      <xdr:rowOff>0</xdr:rowOff>
    </xdr:from>
    <xdr:to>
      <xdr:col>7</xdr:col>
      <xdr:colOff>8229599</xdr:colOff>
      <xdr:row>14</xdr:row>
      <xdr:rowOff>4480726</xdr:rowOff>
    </xdr:to>
    <xdr:pic>
      <xdr:nvPicPr>
        <xdr:cNvPr id="29" name="Picture 28">
          <a:extLst>
            <a:ext uri="{FF2B5EF4-FFF2-40B4-BE49-F238E27FC236}">
              <a16:creationId xmlns:a16="http://schemas.microsoft.com/office/drawing/2014/main" id="{00000000-0008-0000-0A00-00001D0000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9898590" y="19846636"/>
          <a:ext cx="8229600" cy="4480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xdr:colOff>
      <xdr:row>16</xdr:row>
      <xdr:rowOff>0</xdr:rowOff>
    </xdr:from>
    <xdr:to>
      <xdr:col>7</xdr:col>
      <xdr:colOff>8229599</xdr:colOff>
      <xdr:row>16</xdr:row>
      <xdr:rowOff>4480726</xdr:rowOff>
    </xdr:to>
    <xdr:pic>
      <xdr:nvPicPr>
        <xdr:cNvPr id="31" name="Picture 30">
          <a:extLst>
            <a:ext uri="{FF2B5EF4-FFF2-40B4-BE49-F238E27FC236}">
              <a16:creationId xmlns:a16="http://schemas.microsoft.com/office/drawing/2014/main" id="{00000000-0008-0000-0A00-00001F000000}"/>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19898590" y="24539864"/>
          <a:ext cx="8229600" cy="4480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xdr:colOff>
      <xdr:row>18</xdr:row>
      <xdr:rowOff>0</xdr:rowOff>
    </xdr:from>
    <xdr:to>
      <xdr:col>7</xdr:col>
      <xdr:colOff>8229599</xdr:colOff>
      <xdr:row>18</xdr:row>
      <xdr:rowOff>4480726</xdr:rowOff>
    </xdr:to>
    <xdr:pic>
      <xdr:nvPicPr>
        <xdr:cNvPr id="33" name="Picture 32">
          <a:extLst>
            <a:ext uri="{FF2B5EF4-FFF2-40B4-BE49-F238E27FC236}">
              <a16:creationId xmlns:a16="http://schemas.microsoft.com/office/drawing/2014/main" id="{00000000-0008-0000-0A00-000021000000}"/>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19898590" y="29233091"/>
          <a:ext cx="8229600" cy="4480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xdr:colOff>
      <xdr:row>20</xdr:row>
      <xdr:rowOff>0</xdr:rowOff>
    </xdr:from>
    <xdr:to>
      <xdr:col>7</xdr:col>
      <xdr:colOff>8229599</xdr:colOff>
      <xdr:row>20</xdr:row>
      <xdr:rowOff>4480726</xdr:rowOff>
    </xdr:to>
    <xdr:pic>
      <xdr:nvPicPr>
        <xdr:cNvPr id="34" name="Picture 33">
          <a:extLst>
            <a:ext uri="{FF2B5EF4-FFF2-40B4-BE49-F238E27FC236}">
              <a16:creationId xmlns:a16="http://schemas.microsoft.com/office/drawing/2014/main" id="{00000000-0008-0000-0A00-000022000000}"/>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19898590" y="33943636"/>
          <a:ext cx="8229600" cy="4480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30</xdr:row>
          <xdr:rowOff>7620</xdr:rowOff>
        </xdr:from>
        <xdr:to>
          <xdr:col>6</xdr:col>
          <xdr:colOff>876300</xdr:colOff>
          <xdr:row>31</xdr:row>
          <xdr:rowOff>0</xdr:rowOff>
        </xdr:to>
        <xdr:sp macro="" textlink="">
          <xdr:nvSpPr>
            <xdr:cNvPr id="674505" name="Drop Down 713" hidden="1">
              <a:extLst>
                <a:ext uri="{63B3BB69-23CF-44E3-9099-C40C66FF867C}">
                  <a14:compatExt spid="_x0000_s674505"/>
                </a:ext>
                <a:ext uri="{FF2B5EF4-FFF2-40B4-BE49-F238E27FC236}">
                  <a16:creationId xmlns:a16="http://schemas.microsoft.com/office/drawing/2014/main" id="{00000000-0008-0000-0100-0000C94A0A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31</xdr:row>
          <xdr:rowOff>7620</xdr:rowOff>
        </xdr:from>
        <xdr:to>
          <xdr:col>6</xdr:col>
          <xdr:colOff>876300</xdr:colOff>
          <xdr:row>32</xdr:row>
          <xdr:rowOff>0</xdr:rowOff>
        </xdr:to>
        <xdr:sp macro="" textlink="">
          <xdr:nvSpPr>
            <xdr:cNvPr id="674508" name="Drop Down 716" hidden="1">
              <a:extLst>
                <a:ext uri="{63B3BB69-23CF-44E3-9099-C40C66FF867C}">
                  <a14:compatExt spid="_x0000_s674508"/>
                </a:ext>
                <a:ext uri="{FF2B5EF4-FFF2-40B4-BE49-F238E27FC236}">
                  <a16:creationId xmlns:a16="http://schemas.microsoft.com/office/drawing/2014/main" id="{00000000-0008-0000-0100-0000CC4A0A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35</xdr:row>
          <xdr:rowOff>7620</xdr:rowOff>
        </xdr:from>
        <xdr:to>
          <xdr:col>6</xdr:col>
          <xdr:colOff>876300</xdr:colOff>
          <xdr:row>36</xdr:row>
          <xdr:rowOff>0</xdr:rowOff>
        </xdr:to>
        <xdr:sp macro="" textlink="">
          <xdr:nvSpPr>
            <xdr:cNvPr id="674527" name="Drop Down 735" hidden="1">
              <a:extLst>
                <a:ext uri="{63B3BB69-23CF-44E3-9099-C40C66FF867C}">
                  <a14:compatExt spid="_x0000_s674527"/>
                </a:ext>
                <a:ext uri="{FF2B5EF4-FFF2-40B4-BE49-F238E27FC236}">
                  <a16:creationId xmlns:a16="http://schemas.microsoft.com/office/drawing/2014/main" id="{00000000-0008-0000-0100-0000DF4A0A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41</xdr:row>
          <xdr:rowOff>7620</xdr:rowOff>
        </xdr:from>
        <xdr:to>
          <xdr:col>6</xdr:col>
          <xdr:colOff>876300</xdr:colOff>
          <xdr:row>42</xdr:row>
          <xdr:rowOff>0</xdr:rowOff>
        </xdr:to>
        <xdr:sp macro="" textlink="">
          <xdr:nvSpPr>
            <xdr:cNvPr id="674534" name="Drop Down 742" hidden="1">
              <a:extLst>
                <a:ext uri="{63B3BB69-23CF-44E3-9099-C40C66FF867C}">
                  <a14:compatExt spid="_x0000_s674534"/>
                </a:ext>
                <a:ext uri="{FF2B5EF4-FFF2-40B4-BE49-F238E27FC236}">
                  <a16:creationId xmlns:a16="http://schemas.microsoft.com/office/drawing/2014/main" id="{00000000-0008-0000-0100-0000E64A0A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37</xdr:row>
          <xdr:rowOff>7620</xdr:rowOff>
        </xdr:from>
        <xdr:to>
          <xdr:col>6</xdr:col>
          <xdr:colOff>876300</xdr:colOff>
          <xdr:row>38</xdr:row>
          <xdr:rowOff>0</xdr:rowOff>
        </xdr:to>
        <xdr:sp macro="" textlink="">
          <xdr:nvSpPr>
            <xdr:cNvPr id="674536" name="Drop Down 744" hidden="1">
              <a:extLst>
                <a:ext uri="{63B3BB69-23CF-44E3-9099-C40C66FF867C}">
                  <a14:compatExt spid="_x0000_s674536"/>
                </a:ext>
                <a:ext uri="{FF2B5EF4-FFF2-40B4-BE49-F238E27FC236}">
                  <a16:creationId xmlns:a16="http://schemas.microsoft.com/office/drawing/2014/main" id="{00000000-0008-0000-0100-0000E84A0A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36</xdr:row>
          <xdr:rowOff>7620</xdr:rowOff>
        </xdr:from>
        <xdr:to>
          <xdr:col>6</xdr:col>
          <xdr:colOff>876300</xdr:colOff>
          <xdr:row>37</xdr:row>
          <xdr:rowOff>0</xdr:rowOff>
        </xdr:to>
        <xdr:sp macro="" textlink="">
          <xdr:nvSpPr>
            <xdr:cNvPr id="674539" name="Drop Down 747" hidden="1">
              <a:extLst>
                <a:ext uri="{63B3BB69-23CF-44E3-9099-C40C66FF867C}">
                  <a14:compatExt spid="_x0000_s674539"/>
                </a:ext>
                <a:ext uri="{FF2B5EF4-FFF2-40B4-BE49-F238E27FC236}">
                  <a16:creationId xmlns:a16="http://schemas.microsoft.com/office/drawing/2014/main" id="{00000000-0008-0000-0100-0000EB4A0A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40</xdr:row>
          <xdr:rowOff>7620</xdr:rowOff>
        </xdr:from>
        <xdr:to>
          <xdr:col>6</xdr:col>
          <xdr:colOff>876300</xdr:colOff>
          <xdr:row>41</xdr:row>
          <xdr:rowOff>0</xdr:rowOff>
        </xdr:to>
        <xdr:sp macro="" textlink="">
          <xdr:nvSpPr>
            <xdr:cNvPr id="674540" name="Drop Down 748" hidden="1">
              <a:extLst>
                <a:ext uri="{63B3BB69-23CF-44E3-9099-C40C66FF867C}">
                  <a14:compatExt spid="_x0000_s674540"/>
                </a:ext>
                <a:ext uri="{FF2B5EF4-FFF2-40B4-BE49-F238E27FC236}">
                  <a16:creationId xmlns:a16="http://schemas.microsoft.com/office/drawing/2014/main" id="{00000000-0008-0000-0100-0000EC4A0A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42</xdr:row>
          <xdr:rowOff>7620</xdr:rowOff>
        </xdr:from>
        <xdr:to>
          <xdr:col>6</xdr:col>
          <xdr:colOff>876300</xdr:colOff>
          <xdr:row>43</xdr:row>
          <xdr:rowOff>0</xdr:rowOff>
        </xdr:to>
        <xdr:sp macro="" textlink="">
          <xdr:nvSpPr>
            <xdr:cNvPr id="674541" name="Drop Down 749" hidden="1">
              <a:extLst>
                <a:ext uri="{63B3BB69-23CF-44E3-9099-C40C66FF867C}">
                  <a14:compatExt spid="_x0000_s674541"/>
                </a:ext>
                <a:ext uri="{FF2B5EF4-FFF2-40B4-BE49-F238E27FC236}">
                  <a16:creationId xmlns:a16="http://schemas.microsoft.com/office/drawing/2014/main" id="{00000000-0008-0000-0100-0000ED4A0A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43</xdr:row>
          <xdr:rowOff>7620</xdr:rowOff>
        </xdr:from>
        <xdr:to>
          <xdr:col>6</xdr:col>
          <xdr:colOff>876300</xdr:colOff>
          <xdr:row>44</xdr:row>
          <xdr:rowOff>0</xdr:rowOff>
        </xdr:to>
        <xdr:sp macro="" textlink="">
          <xdr:nvSpPr>
            <xdr:cNvPr id="674542" name="Drop Down 750" hidden="1">
              <a:extLst>
                <a:ext uri="{63B3BB69-23CF-44E3-9099-C40C66FF867C}">
                  <a14:compatExt spid="_x0000_s674542"/>
                </a:ext>
                <a:ext uri="{FF2B5EF4-FFF2-40B4-BE49-F238E27FC236}">
                  <a16:creationId xmlns:a16="http://schemas.microsoft.com/office/drawing/2014/main" id="{00000000-0008-0000-0100-0000EE4A0A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44</xdr:row>
          <xdr:rowOff>7620</xdr:rowOff>
        </xdr:from>
        <xdr:to>
          <xdr:col>6</xdr:col>
          <xdr:colOff>876300</xdr:colOff>
          <xdr:row>45</xdr:row>
          <xdr:rowOff>0</xdr:rowOff>
        </xdr:to>
        <xdr:sp macro="" textlink="">
          <xdr:nvSpPr>
            <xdr:cNvPr id="674543" name="Drop Down 751" hidden="1">
              <a:extLst>
                <a:ext uri="{63B3BB69-23CF-44E3-9099-C40C66FF867C}">
                  <a14:compatExt spid="_x0000_s674543"/>
                </a:ext>
                <a:ext uri="{FF2B5EF4-FFF2-40B4-BE49-F238E27FC236}">
                  <a16:creationId xmlns:a16="http://schemas.microsoft.com/office/drawing/2014/main" id="{00000000-0008-0000-0100-0000EF4A0A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xdr:row>
          <xdr:rowOff>7620</xdr:rowOff>
        </xdr:from>
        <xdr:to>
          <xdr:col>6</xdr:col>
          <xdr:colOff>876300</xdr:colOff>
          <xdr:row>35</xdr:row>
          <xdr:rowOff>0</xdr:rowOff>
        </xdr:to>
        <xdr:sp macro="" textlink="">
          <xdr:nvSpPr>
            <xdr:cNvPr id="674544" name="Drop Down 752" hidden="1">
              <a:extLst>
                <a:ext uri="{63B3BB69-23CF-44E3-9099-C40C66FF867C}">
                  <a14:compatExt spid="_x0000_s674544"/>
                </a:ext>
                <a:ext uri="{FF2B5EF4-FFF2-40B4-BE49-F238E27FC236}">
                  <a16:creationId xmlns:a16="http://schemas.microsoft.com/office/drawing/2014/main" id="{00000000-0008-0000-0100-0000F04A0A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45</xdr:row>
          <xdr:rowOff>7620</xdr:rowOff>
        </xdr:from>
        <xdr:to>
          <xdr:col>6</xdr:col>
          <xdr:colOff>876300</xdr:colOff>
          <xdr:row>46</xdr:row>
          <xdr:rowOff>0</xdr:rowOff>
        </xdr:to>
        <xdr:sp macro="" textlink="">
          <xdr:nvSpPr>
            <xdr:cNvPr id="674632" name="Drop Down 840" hidden="1">
              <a:extLst>
                <a:ext uri="{63B3BB69-23CF-44E3-9099-C40C66FF867C}">
                  <a14:compatExt spid="_x0000_s674632"/>
                </a:ext>
                <a:ext uri="{FF2B5EF4-FFF2-40B4-BE49-F238E27FC236}">
                  <a16:creationId xmlns:a16="http://schemas.microsoft.com/office/drawing/2014/main" id="{00000000-0008-0000-0100-0000484B0A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33</xdr:row>
          <xdr:rowOff>7620</xdr:rowOff>
        </xdr:from>
        <xdr:to>
          <xdr:col>6</xdr:col>
          <xdr:colOff>876300</xdr:colOff>
          <xdr:row>34</xdr:row>
          <xdr:rowOff>0</xdr:rowOff>
        </xdr:to>
        <xdr:sp macro="" textlink="">
          <xdr:nvSpPr>
            <xdr:cNvPr id="674633" name="Drop Down 841" hidden="1">
              <a:extLst>
                <a:ext uri="{63B3BB69-23CF-44E3-9099-C40C66FF867C}">
                  <a14:compatExt spid="_x0000_s674633"/>
                </a:ext>
                <a:ext uri="{FF2B5EF4-FFF2-40B4-BE49-F238E27FC236}">
                  <a16:creationId xmlns:a16="http://schemas.microsoft.com/office/drawing/2014/main" id="{00000000-0008-0000-0100-0000494B0A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370999</xdr:colOff>
          <xdr:row>0</xdr:row>
          <xdr:rowOff>95250</xdr:rowOff>
        </xdr:from>
        <xdr:to>
          <xdr:col>7</xdr:col>
          <xdr:colOff>906899</xdr:colOff>
          <xdr:row>26</xdr:row>
          <xdr:rowOff>57258</xdr:rowOff>
        </xdr:to>
        <xdr:pic>
          <xdr:nvPicPr>
            <xdr:cNvPr id="77" name="Picture 8888">
              <a:extLst>
                <a:ext uri="{FF2B5EF4-FFF2-40B4-BE49-F238E27FC236}">
                  <a16:creationId xmlns:a16="http://schemas.microsoft.com/office/drawing/2014/main" id="{00000000-0008-0000-0100-00004D000000}"/>
                </a:ext>
              </a:extLst>
            </xdr:cNvPr>
            <xdr:cNvPicPr>
              <a:picLocks noChangeAspect="1" noChangeArrowheads="1"/>
              <a:extLst>
                <a:ext uri="{84589F7E-364E-4C9E-8A38-B11213B215E9}">
                  <a14:cameraTool cellRange="PICTURE1" spid="_x0000_s706479"/>
                </a:ext>
              </a:extLst>
            </xdr:cNvPicPr>
          </xdr:nvPicPr>
          <xdr:blipFill>
            <a:blip xmlns:r="http://schemas.openxmlformats.org/officeDocument/2006/relationships" r:embed="rId1"/>
            <a:srcRect/>
            <a:stretch>
              <a:fillRect/>
            </a:stretch>
          </xdr:blipFill>
          <xdr:spPr bwMode="auto">
            <a:xfrm>
              <a:off x="370999" y="95250"/>
              <a:ext cx="7308175" cy="4172058"/>
            </a:xfrm>
            <a:prstGeom prst="rect">
              <a:avLst/>
            </a:prstGeom>
            <a:noFill/>
            <a:ln w="15875">
              <a:noFill/>
              <a:miter lim="800000"/>
              <a:headEnd/>
              <a:tailEnd/>
            </a:ln>
            <a:extLst>
              <a:ext uri="{909E8E84-426E-40DD-AFC4-6F175D3DCCD1}">
                <a14:hiddenFill>
                  <a:solidFill>
                    <a:srgbClr val="FFFFFF" mc:Ignorable="a14" a14:legacySpreadsheetColorIndex="65"/>
                  </a:solidFill>
                </a14:hiddenFill>
              </a:ext>
            </a:extLst>
          </xdr:spPr>
        </xdr:pic>
        <xdr:clientData/>
      </xdr:twoCellAnchor>
    </mc:Choice>
    <mc:Fallback/>
  </mc:AlternateContent>
  <xdr:twoCellAnchor>
    <xdr:from>
      <xdr:col>1</xdr:col>
      <xdr:colOff>420742</xdr:colOff>
      <xdr:row>9</xdr:row>
      <xdr:rowOff>23494</xdr:rowOff>
    </xdr:from>
    <xdr:to>
      <xdr:col>1</xdr:col>
      <xdr:colOff>743582</xdr:colOff>
      <xdr:row>10</xdr:row>
      <xdr:rowOff>95608</xdr:rowOff>
    </xdr:to>
    <xdr:sp macro="" textlink="">
      <xdr:nvSpPr>
        <xdr:cNvPr id="78" name="Text Box 244">
          <a:extLst>
            <a:ext uri="{FF2B5EF4-FFF2-40B4-BE49-F238E27FC236}">
              <a16:creationId xmlns:a16="http://schemas.microsoft.com/office/drawing/2014/main" id="{00000000-0008-0000-0100-00004E000000}"/>
            </a:ext>
          </a:extLst>
        </xdr:cNvPr>
        <xdr:cNvSpPr txBox="1">
          <a:spLocks noChangeArrowheads="1"/>
        </xdr:cNvSpPr>
      </xdr:nvSpPr>
      <xdr:spPr bwMode="auto">
        <a:xfrm>
          <a:off x="1058917" y="1480819"/>
          <a:ext cx="322840" cy="234039"/>
        </a:xfrm>
        <a:prstGeom prst="rect">
          <a:avLst/>
        </a:prstGeom>
        <a:noFill/>
        <a:ln w="9525">
          <a:noFill/>
          <a:miter lim="800000"/>
          <a:headEnd/>
          <a:tailEnd/>
        </a:ln>
      </xdr:spPr>
      <xdr:txBody>
        <a:bodyPr vertOverflow="clip" wrap="square" lIns="27432" tIns="27432" rIns="0" bIns="0" anchor="t" upright="1"/>
        <a:lstStyle/>
        <a:p>
          <a:pPr algn="l" rtl="0">
            <a:defRPr sz="1000"/>
          </a:pPr>
          <a:r>
            <a:rPr lang="en-US" sz="1100" b="0" i="0" strike="noStrike">
              <a:solidFill>
                <a:srgbClr val="000000"/>
              </a:solidFill>
              <a:latin typeface="Arial" pitchFamily="34" charset="0"/>
              <a:cs typeface="Arial" pitchFamily="34" charset="0"/>
            </a:rPr>
            <a:t>C</a:t>
          </a:r>
          <a:r>
            <a:rPr lang="en-US" sz="1100" b="0" i="0" strike="noStrike" baseline="-25000">
              <a:solidFill>
                <a:srgbClr val="000000"/>
              </a:solidFill>
              <a:latin typeface="Arial" pitchFamily="34" charset="0"/>
              <a:cs typeface="Arial" pitchFamily="34" charset="0"/>
            </a:rPr>
            <a:t>IN</a:t>
          </a:r>
        </a:p>
      </xdr:txBody>
    </xdr:sp>
    <xdr:clientData/>
  </xdr:twoCellAnchor>
  <xdr:twoCellAnchor>
    <xdr:from>
      <xdr:col>6</xdr:col>
      <xdr:colOff>847596</xdr:colOff>
      <xdr:row>7</xdr:row>
      <xdr:rowOff>63609</xdr:rowOff>
    </xdr:from>
    <xdr:to>
      <xdr:col>7</xdr:col>
      <xdr:colOff>265709</xdr:colOff>
      <xdr:row>8</xdr:row>
      <xdr:rowOff>84849</xdr:rowOff>
    </xdr:to>
    <xdr:sp macro="" textlink="'Variable Mgmt'!B206">
      <xdr:nvSpPr>
        <xdr:cNvPr id="79" name="Text Box 267">
          <a:extLst>
            <a:ext uri="{FF2B5EF4-FFF2-40B4-BE49-F238E27FC236}">
              <a16:creationId xmlns:a16="http://schemas.microsoft.com/office/drawing/2014/main" id="{00000000-0008-0000-0100-00004F000000}"/>
            </a:ext>
          </a:extLst>
        </xdr:cNvPr>
        <xdr:cNvSpPr txBox="1">
          <a:spLocks noChangeArrowheads="1" noTextEdit="1"/>
        </xdr:cNvSpPr>
      </xdr:nvSpPr>
      <xdr:spPr bwMode="auto">
        <a:xfrm>
          <a:off x="6543546" y="1197084"/>
          <a:ext cx="494438" cy="183165"/>
        </a:xfrm>
        <a:prstGeom prst="rect">
          <a:avLst/>
        </a:prstGeom>
        <a:noFill/>
        <a:ln w="9525">
          <a:noFill/>
          <a:miter lim="800000"/>
          <a:headEnd/>
          <a:tailEnd/>
        </a:ln>
      </xdr:spPr>
      <xdr:txBody>
        <a:bodyPr vertOverflow="clip" wrap="square" lIns="27432" tIns="22860" rIns="0" bIns="0" anchor="ctr" upright="1"/>
        <a:lstStyle/>
        <a:p>
          <a:pPr algn="l" rtl="0">
            <a:defRPr sz="1000"/>
          </a:pPr>
          <a:fld id="{DEF62FD0-959B-4627-B7E8-61CA1688D174}" type="TxLink">
            <a:rPr lang="en-US" sz="1100" b="0" i="0" u="none" strike="noStrike" baseline="0">
              <a:solidFill>
                <a:srgbClr val="000000"/>
              </a:solidFill>
              <a:latin typeface="Arial" pitchFamily="34" charset="0"/>
              <a:cs typeface="Arial" pitchFamily="34" charset="0"/>
            </a:rPr>
            <a:pPr algn="l" rtl="0">
              <a:defRPr sz="1000"/>
            </a:pPr>
            <a:t>44µF</a:t>
          </a:fld>
          <a:endParaRPr lang="en-US" sz="1100" b="0" i="0" u="none" strike="noStrike" baseline="0">
            <a:solidFill>
              <a:srgbClr val="000000"/>
            </a:solidFill>
            <a:latin typeface="Arial" pitchFamily="34" charset="0"/>
            <a:cs typeface="Arial" pitchFamily="34" charset="0"/>
          </a:endParaRPr>
        </a:p>
      </xdr:txBody>
    </xdr:sp>
    <xdr:clientData/>
  </xdr:twoCellAnchor>
  <xdr:twoCellAnchor>
    <xdr:from>
      <xdr:col>5</xdr:col>
      <xdr:colOff>224042</xdr:colOff>
      <xdr:row>9</xdr:row>
      <xdr:rowOff>105784</xdr:rowOff>
    </xdr:from>
    <xdr:to>
      <xdr:col>5</xdr:col>
      <xdr:colOff>675647</xdr:colOff>
      <xdr:row>11</xdr:row>
      <xdr:rowOff>40383</xdr:rowOff>
    </xdr:to>
    <xdr:sp macro="" textlink="'Variable Mgmt'!B192">
      <xdr:nvSpPr>
        <xdr:cNvPr id="80" name="Text Box 275">
          <a:extLst>
            <a:ext uri="{FF2B5EF4-FFF2-40B4-BE49-F238E27FC236}">
              <a16:creationId xmlns:a16="http://schemas.microsoft.com/office/drawing/2014/main" id="{00000000-0008-0000-0100-000050000000}"/>
            </a:ext>
          </a:extLst>
        </xdr:cNvPr>
        <xdr:cNvSpPr txBox="1">
          <a:spLocks noChangeArrowheads="1" noTextEdit="1"/>
        </xdr:cNvSpPr>
      </xdr:nvSpPr>
      <xdr:spPr bwMode="auto">
        <a:xfrm>
          <a:off x="5015117" y="1563109"/>
          <a:ext cx="451605" cy="258449"/>
        </a:xfrm>
        <a:prstGeom prst="rect">
          <a:avLst/>
        </a:prstGeom>
        <a:noFill/>
        <a:ln w="9525">
          <a:noFill/>
          <a:miter lim="800000"/>
          <a:headEnd/>
          <a:tailEnd/>
        </a:ln>
      </xdr:spPr>
      <xdr:txBody>
        <a:bodyPr vertOverflow="clip" wrap="square" lIns="27432" tIns="22860" rIns="0" bIns="0" anchor="ctr" upright="1"/>
        <a:lstStyle/>
        <a:p>
          <a:pPr algn="ctr" rtl="0">
            <a:defRPr sz="1000"/>
          </a:pPr>
          <a:fld id="{08583DE7-3129-476B-98BE-2887A134E956}" type="TxLink">
            <a:rPr lang="en-US" sz="1100" b="0" i="0" u="none" strike="noStrike" baseline="0">
              <a:solidFill>
                <a:srgbClr val="000000"/>
              </a:solidFill>
              <a:latin typeface="Arial" pitchFamily="34" charset="0"/>
              <a:cs typeface="Arial" pitchFamily="34" charset="0"/>
            </a:rPr>
            <a:pPr algn="ctr" rtl="0">
              <a:defRPr sz="1000"/>
            </a:pPr>
            <a:t>7µH</a:t>
          </a:fld>
          <a:endParaRPr lang="en-US" sz="1100" b="0" i="0" u="none" strike="noStrike" baseline="0">
            <a:solidFill>
              <a:srgbClr val="000000"/>
            </a:solidFill>
            <a:latin typeface="Arial" pitchFamily="34" charset="0"/>
            <a:cs typeface="Arial" pitchFamily="34" charset="0"/>
          </a:endParaRPr>
        </a:p>
      </xdr:txBody>
    </xdr:sp>
    <xdr:clientData/>
  </xdr:twoCellAnchor>
  <xdr:twoCellAnchor>
    <xdr:from>
      <xdr:col>1</xdr:col>
      <xdr:colOff>329828</xdr:colOff>
      <xdr:row>10</xdr:row>
      <xdr:rowOff>96372</xdr:rowOff>
    </xdr:from>
    <xdr:to>
      <xdr:col>2</xdr:col>
      <xdr:colOff>37577</xdr:colOff>
      <xdr:row>11</xdr:row>
      <xdr:rowOff>132518</xdr:rowOff>
    </xdr:to>
    <xdr:sp macro="" textlink="'Variable Mgmt'!B211">
      <xdr:nvSpPr>
        <xdr:cNvPr id="81" name="Text Box 276">
          <a:extLst>
            <a:ext uri="{FF2B5EF4-FFF2-40B4-BE49-F238E27FC236}">
              <a16:creationId xmlns:a16="http://schemas.microsoft.com/office/drawing/2014/main" id="{00000000-0008-0000-0100-000051000000}"/>
            </a:ext>
          </a:extLst>
        </xdr:cNvPr>
        <xdr:cNvSpPr txBox="1">
          <a:spLocks noChangeArrowheads="1" noTextEdit="1"/>
        </xdr:cNvSpPr>
      </xdr:nvSpPr>
      <xdr:spPr bwMode="auto">
        <a:xfrm>
          <a:off x="968003" y="1715622"/>
          <a:ext cx="469749" cy="198071"/>
        </a:xfrm>
        <a:prstGeom prst="rect">
          <a:avLst/>
        </a:prstGeom>
        <a:noFill/>
        <a:ln w="9525">
          <a:noFill/>
          <a:miter lim="800000"/>
          <a:headEnd/>
          <a:tailEnd/>
        </a:ln>
      </xdr:spPr>
      <xdr:txBody>
        <a:bodyPr vertOverflow="clip" wrap="square" lIns="27432" tIns="22860" rIns="0" bIns="0" anchor="ctr" upright="1"/>
        <a:lstStyle/>
        <a:p>
          <a:pPr algn="ctr" rtl="0">
            <a:defRPr sz="1000"/>
          </a:pPr>
          <a:fld id="{7E8F3901-1453-4951-8E28-510E65401D4C}" type="TxLink">
            <a:rPr lang="en-US" sz="1100" b="0" i="0" u="none" strike="noStrike" baseline="0">
              <a:solidFill>
                <a:srgbClr val="000000"/>
              </a:solidFill>
              <a:latin typeface="Arial" pitchFamily="34" charset="0"/>
              <a:cs typeface="Arial" pitchFamily="34" charset="0"/>
            </a:rPr>
            <a:pPr algn="ctr" rtl="0">
              <a:defRPr sz="1000"/>
            </a:pPr>
            <a:t>10µF</a:t>
          </a:fld>
          <a:endParaRPr lang="en-US" sz="1100" b="0" i="0" u="none" strike="noStrike" baseline="0">
            <a:solidFill>
              <a:srgbClr val="000000"/>
            </a:solidFill>
            <a:latin typeface="Arial" pitchFamily="34" charset="0"/>
            <a:cs typeface="Arial" pitchFamily="34" charset="0"/>
          </a:endParaRPr>
        </a:p>
      </xdr:txBody>
    </xdr:sp>
    <xdr:clientData/>
  </xdr:twoCellAnchor>
  <xdr:twoCellAnchor>
    <xdr:from>
      <xdr:col>2</xdr:col>
      <xdr:colOff>198843</xdr:colOff>
      <xdr:row>21</xdr:row>
      <xdr:rowOff>104015</xdr:rowOff>
    </xdr:from>
    <xdr:to>
      <xdr:col>2</xdr:col>
      <xdr:colOff>642811</xdr:colOff>
      <xdr:row>23</xdr:row>
      <xdr:rowOff>62417</xdr:rowOff>
    </xdr:to>
    <xdr:sp macro="" textlink="'Variable Mgmt'!D238">
      <xdr:nvSpPr>
        <xdr:cNvPr id="82" name="Text Box 281">
          <a:extLst>
            <a:ext uri="{FF2B5EF4-FFF2-40B4-BE49-F238E27FC236}">
              <a16:creationId xmlns:a16="http://schemas.microsoft.com/office/drawing/2014/main" id="{00000000-0008-0000-0100-000052000000}"/>
            </a:ext>
          </a:extLst>
        </xdr:cNvPr>
        <xdr:cNvSpPr txBox="1">
          <a:spLocks noChangeArrowheads="1" noTextEdit="1"/>
        </xdr:cNvSpPr>
      </xdr:nvSpPr>
      <xdr:spPr bwMode="auto">
        <a:xfrm>
          <a:off x="1599018" y="3504440"/>
          <a:ext cx="443968" cy="282252"/>
        </a:xfrm>
        <a:prstGeom prst="rect">
          <a:avLst/>
        </a:prstGeom>
        <a:noFill/>
        <a:ln w="9525">
          <a:noFill/>
          <a:miter lim="800000"/>
          <a:headEnd/>
          <a:tailEnd/>
        </a:ln>
      </xdr:spPr>
      <xdr:txBody>
        <a:bodyPr vertOverflow="clip" wrap="square" lIns="27432" tIns="22860" rIns="0" bIns="0" anchor="ctr" upright="1"/>
        <a:lstStyle/>
        <a:p>
          <a:pPr algn="l" rtl="0">
            <a:defRPr sz="1000"/>
          </a:pPr>
          <a:fld id="{F2115F91-8BFD-4C9B-9969-8B2C04ADF4C5}" type="TxLink">
            <a:rPr lang="en-US" sz="1100" b="0" i="0" u="none" strike="noStrike">
              <a:solidFill>
                <a:srgbClr val="000000"/>
              </a:solidFill>
              <a:latin typeface="Arial"/>
              <a:cs typeface="Arial"/>
            </a:rPr>
            <a:pPr algn="l" rtl="0">
              <a:defRPr sz="1000"/>
            </a:pPr>
            <a:t>47nF</a:t>
          </a:fld>
          <a:endParaRPr lang="en-US" sz="1100" b="0" i="0" strike="noStrike">
            <a:solidFill>
              <a:srgbClr val="000000"/>
            </a:solidFill>
            <a:latin typeface="Arial" pitchFamily="34" charset="0"/>
            <a:cs typeface="Arial" pitchFamily="34" charset="0"/>
          </a:endParaRPr>
        </a:p>
      </xdr:txBody>
    </xdr:sp>
    <xdr:clientData/>
  </xdr:twoCellAnchor>
  <xdr:twoCellAnchor>
    <xdr:from>
      <xdr:col>0</xdr:col>
      <xdr:colOff>344923</xdr:colOff>
      <xdr:row>2</xdr:row>
      <xdr:rowOff>118526</xdr:rowOff>
    </xdr:from>
    <xdr:to>
      <xdr:col>1</xdr:col>
      <xdr:colOff>219275</xdr:colOff>
      <xdr:row>5</xdr:row>
      <xdr:rowOff>91586</xdr:rowOff>
    </xdr:to>
    <xdr:sp macro="" textlink="'Variable Mgmt'!B198">
      <xdr:nvSpPr>
        <xdr:cNvPr id="85" name="Text Box 283">
          <a:extLst>
            <a:ext uri="{FF2B5EF4-FFF2-40B4-BE49-F238E27FC236}">
              <a16:creationId xmlns:a16="http://schemas.microsoft.com/office/drawing/2014/main" id="{00000000-0008-0000-0100-000055000000}"/>
            </a:ext>
          </a:extLst>
        </xdr:cNvPr>
        <xdr:cNvSpPr txBox="1">
          <a:spLocks noChangeArrowheads="1" noTextEdit="1"/>
        </xdr:cNvSpPr>
      </xdr:nvSpPr>
      <xdr:spPr bwMode="auto">
        <a:xfrm>
          <a:off x="344923" y="442376"/>
          <a:ext cx="512527" cy="458835"/>
        </a:xfrm>
        <a:prstGeom prst="rect">
          <a:avLst/>
        </a:prstGeom>
        <a:noFill/>
        <a:ln w="9525">
          <a:noFill/>
          <a:miter lim="800000"/>
          <a:headEnd/>
          <a:tailEnd/>
        </a:ln>
      </xdr:spPr>
      <xdr:txBody>
        <a:bodyPr vertOverflow="clip" wrap="square" lIns="27432" tIns="22860" rIns="0" bIns="0" anchor="ctr" upright="1"/>
        <a:lstStyle/>
        <a:p>
          <a:pPr algn="r" rtl="0">
            <a:defRPr sz="1000"/>
          </a:pPr>
          <a:fld id="{211B0151-B00E-493E-8C8F-6E492416D93B}" type="TxLink">
            <a:rPr lang="en-US" sz="1400" b="1" i="0" u="none" strike="noStrike">
              <a:solidFill>
                <a:srgbClr val="FF0000"/>
              </a:solidFill>
              <a:latin typeface="Arial" pitchFamily="34" charset="0"/>
              <a:cs typeface="Arial" pitchFamily="34" charset="0"/>
            </a:rPr>
            <a:pPr algn="r" rtl="0">
              <a:defRPr sz="1000"/>
            </a:pPr>
            <a:t>15V</a:t>
          </a:fld>
          <a:endParaRPr lang="en-US" sz="1400" b="1" i="0" strike="noStrike">
            <a:solidFill>
              <a:srgbClr val="FF0000"/>
            </a:solidFill>
            <a:latin typeface="Arial" pitchFamily="34" charset="0"/>
            <a:cs typeface="Arial" pitchFamily="34" charset="0"/>
          </a:endParaRPr>
        </a:p>
      </xdr:txBody>
    </xdr:sp>
    <xdr:clientData/>
  </xdr:twoCellAnchor>
  <xdr:twoCellAnchor>
    <xdr:from>
      <xdr:col>7</xdr:col>
      <xdr:colOff>269013</xdr:colOff>
      <xdr:row>3</xdr:row>
      <xdr:rowOff>3197</xdr:rowOff>
    </xdr:from>
    <xdr:to>
      <xdr:col>7</xdr:col>
      <xdr:colOff>935407</xdr:colOff>
      <xdr:row>5</xdr:row>
      <xdr:rowOff>25976</xdr:rowOff>
    </xdr:to>
    <xdr:sp macro="" textlink="'Variable Mgmt'!B201">
      <xdr:nvSpPr>
        <xdr:cNvPr id="87" name="Text Box 285">
          <a:extLst>
            <a:ext uri="{FF2B5EF4-FFF2-40B4-BE49-F238E27FC236}">
              <a16:creationId xmlns:a16="http://schemas.microsoft.com/office/drawing/2014/main" id="{00000000-0008-0000-0100-000057000000}"/>
            </a:ext>
          </a:extLst>
        </xdr:cNvPr>
        <xdr:cNvSpPr txBox="1">
          <a:spLocks noChangeArrowheads="1" noTextEdit="1"/>
        </xdr:cNvSpPr>
      </xdr:nvSpPr>
      <xdr:spPr bwMode="auto">
        <a:xfrm>
          <a:off x="7041288" y="488972"/>
          <a:ext cx="666394" cy="346629"/>
        </a:xfrm>
        <a:prstGeom prst="rect">
          <a:avLst/>
        </a:prstGeom>
        <a:noFill/>
        <a:ln w="9525">
          <a:noFill/>
          <a:miter lim="800000"/>
          <a:headEnd/>
          <a:tailEnd/>
        </a:ln>
      </xdr:spPr>
      <xdr:txBody>
        <a:bodyPr vertOverflow="clip" wrap="square" lIns="27432" tIns="22860" rIns="0" bIns="0" anchor="ctr" upright="1"/>
        <a:lstStyle/>
        <a:p>
          <a:pPr algn="l" rtl="0">
            <a:defRPr sz="1000"/>
          </a:pPr>
          <a:fld id="{702C2B8A-7C4B-4FDB-B229-3170089D9686}" type="TxLink">
            <a:rPr lang="en-US" sz="1400" b="1" i="0" u="none" strike="noStrike" baseline="0">
              <a:solidFill>
                <a:srgbClr val="FF0000"/>
              </a:solidFill>
              <a:latin typeface="Arial" pitchFamily="34" charset="0"/>
              <a:cs typeface="Arial" pitchFamily="34" charset="0"/>
            </a:rPr>
            <a:pPr algn="l" rtl="0">
              <a:defRPr sz="1000"/>
            </a:pPr>
            <a:t>15V</a:t>
          </a:fld>
          <a:endParaRPr lang="en-US" sz="1400" b="1" i="0" u="none" strike="noStrike" baseline="0">
            <a:solidFill>
              <a:srgbClr val="FF0000"/>
            </a:solidFill>
            <a:latin typeface="Arial" pitchFamily="34" charset="0"/>
            <a:cs typeface="Arial" pitchFamily="34" charset="0"/>
          </a:endParaRPr>
        </a:p>
      </xdr:txBody>
    </xdr:sp>
    <xdr:clientData/>
  </xdr:twoCellAnchor>
  <xdr:twoCellAnchor>
    <xdr:from>
      <xdr:col>7</xdr:col>
      <xdr:colOff>173474</xdr:colOff>
      <xdr:row>4</xdr:row>
      <xdr:rowOff>112611</xdr:rowOff>
    </xdr:from>
    <xdr:to>
      <xdr:col>7</xdr:col>
      <xdr:colOff>725923</xdr:colOff>
      <xdr:row>6</xdr:row>
      <xdr:rowOff>93051</xdr:rowOff>
    </xdr:to>
    <xdr:sp macro="" textlink="'Variable Mgmt'!B256">
      <xdr:nvSpPr>
        <xdr:cNvPr id="88" name="Text Box 286">
          <a:extLst>
            <a:ext uri="{FF2B5EF4-FFF2-40B4-BE49-F238E27FC236}">
              <a16:creationId xmlns:a16="http://schemas.microsoft.com/office/drawing/2014/main" id="{00000000-0008-0000-0100-000058000000}"/>
            </a:ext>
          </a:extLst>
        </xdr:cNvPr>
        <xdr:cNvSpPr txBox="1">
          <a:spLocks noChangeArrowheads="1" noTextEdit="1"/>
        </xdr:cNvSpPr>
      </xdr:nvSpPr>
      <xdr:spPr bwMode="auto">
        <a:xfrm>
          <a:off x="6945749" y="760311"/>
          <a:ext cx="552449" cy="304290"/>
        </a:xfrm>
        <a:prstGeom prst="rect">
          <a:avLst/>
        </a:prstGeom>
        <a:noFill/>
        <a:ln w="9525">
          <a:noFill/>
          <a:miter lim="800000"/>
          <a:headEnd/>
          <a:tailEnd/>
        </a:ln>
      </xdr:spPr>
      <xdr:txBody>
        <a:bodyPr vertOverflow="clip" wrap="square" lIns="27432" tIns="22860" rIns="0" bIns="0" anchor="ctr" upright="1"/>
        <a:lstStyle/>
        <a:p>
          <a:pPr algn="ctr" rtl="0">
            <a:defRPr sz="1000"/>
          </a:pPr>
          <a:fld id="{E0FB88FA-F39E-4ACF-AB5E-DCB628763AAE}" type="TxLink">
            <a:rPr lang="en-US" sz="1350" b="1" i="0" u="none" strike="noStrike">
              <a:solidFill>
                <a:srgbClr val="FF0000"/>
              </a:solidFill>
              <a:latin typeface="Arial" pitchFamily="34" charset="0"/>
              <a:cs typeface="Arial" pitchFamily="34" charset="0"/>
            </a:rPr>
            <a:pPr algn="ctr" rtl="0">
              <a:defRPr sz="1000"/>
            </a:pPr>
            <a:t>1A</a:t>
          </a:fld>
          <a:endParaRPr lang="en-US" sz="1350" b="1" i="0" strike="noStrike">
            <a:solidFill>
              <a:srgbClr val="FF0000"/>
            </a:solidFill>
            <a:latin typeface="Arial" pitchFamily="34" charset="0"/>
            <a:cs typeface="Arial" pitchFamily="34" charset="0"/>
          </a:endParaRPr>
        </a:p>
      </xdr:txBody>
    </xdr:sp>
    <xdr:clientData/>
  </xdr:twoCellAnchor>
  <xdr:twoCellAnchor>
    <xdr:from>
      <xdr:col>2</xdr:col>
      <xdr:colOff>217360</xdr:colOff>
      <xdr:row>7</xdr:row>
      <xdr:rowOff>99362</xdr:rowOff>
    </xdr:from>
    <xdr:to>
      <xdr:col>2</xdr:col>
      <xdr:colOff>742058</xdr:colOff>
      <xdr:row>9</xdr:row>
      <xdr:rowOff>29041</xdr:rowOff>
    </xdr:to>
    <xdr:sp macro="" textlink="'Variable Mgmt'!C230">
      <xdr:nvSpPr>
        <xdr:cNvPr id="92" name="Text Box 268">
          <a:extLst>
            <a:ext uri="{FF2B5EF4-FFF2-40B4-BE49-F238E27FC236}">
              <a16:creationId xmlns:a16="http://schemas.microsoft.com/office/drawing/2014/main" id="{00000000-0008-0000-0100-00005C000000}"/>
            </a:ext>
          </a:extLst>
        </xdr:cNvPr>
        <xdr:cNvSpPr txBox="1">
          <a:spLocks noChangeArrowheads="1" noTextEdit="1"/>
        </xdr:cNvSpPr>
      </xdr:nvSpPr>
      <xdr:spPr bwMode="auto">
        <a:xfrm>
          <a:off x="1617535" y="1232837"/>
          <a:ext cx="524698" cy="253529"/>
        </a:xfrm>
        <a:prstGeom prst="rect">
          <a:avLst/>
        </a:prstGeom>
        <a:noFill/>
        <a:ln w="9525">
          <a:noFill/>
          <a:miter lim="800000"/>
          <a:headEnd/>
          <a:tailEnd/>
        </a:ln>
      </xdr:spPr>
      <xdr:txBody>
        <a:bodyPr vertOverflow="clip" wrap="square" lIns="27432" tIns="22860" rIns="0" bIns="0" anchor="ctr" upright="1"/>
        <a:lstStyle/>
        <a:p>
          <a:pPr algn="l" rtl="0">
            <a:defRPr sz="1000"/>
          </a:pPr>
          <a:fld id="{9F0ED324-D4DC-458E-AFDF-B2BC6995B894}" type="TxLink">
            <a:rPr lang="en-US" sz="1000" b="0" i="0" u="none" strike="noStrike">
              <a:solidFill>
                <a:srgbClr val="000000"/>
              </a:solidFill>
              <a:latin typeface="Arial"/>
              <a:cs typeface="Arial"/>
            </a:rPr>
            <a:pPr algn="l" rtl="0">
              <a:defRPr sz="1000"/>
            </a:pPr>
            <a:t>340kΩ</a:t>
          </a:fld>
          <a:endParaRPr lang="el-GR" sz="1000" b="0" i="0" strike="noStrike">
            <a:solidFill>
              <a:srgbClr val="000000"/>
            </a:solidFill>
            <a:latin typeface="Arial" pitchFamily="34" charset="0"/>
            <a:cs typeface="Arial" pitchFamily="34" charset="0"/>
          </a:endParaRPr>
        </a:p>
      </xdr:txBody>
    </xdr:sp>
    <xdr:clientData/>
  </xdr:twoCellAnchor>
  <xdr:twoCellAnchor>
    <xdr:from>
      <xdr:col>2</xdr:col>
      <xdr:colOff>198310</xdr:colOff>
      <xdr:row>13</xdr:row>
      <xdr:rowOff>137646</xdr:rowOff>
    </xdr:from>
    <xdr:to>
      <xdr:col>2</xdr:col>
      <xdr:colOff>723008</xdr:colOff>
      <xdr:row>15</xdr:row>
      <xdr:rowOff>31908</xdr:rowOff>
    </xdr:to>
    <xdr:sp macro="" textlink="'Variable Mgmt'!C231">
      <xdr:nvSpPr>
        <xdr:cNvPr id="93" name="Text Box 268">
          <a:extLst>
            <a:ext uri="{FF2B5EF4-FFF2-40B4-BE49-F238E27FC236}">
              <a16:creationId xmlns:a16="http://schemas.microsoft.com/office/drawing/2014/main" id="{00000000-0008-0000-0100-00005D000000}"/>
            </a:ext>
          </a:extLst>
        </xdr:cNvPr>
        <xdr:cNvSpPr txBox="1">
          <a:spLocks noChangeArrowheads="1" noTextEdit="1"/>
        </xdr:cNvSpPr>
      </xdr:nvSpPr>
      <xdr:spPr bwMode="auto">
        <a:xfrm>
          <a:off x="1598485" y="2242671"/>
          <a:ext cx="524698" cy="218112"/>
        </a:xfrm>
        <a:prstGeom prst="rect">
          <a:avLst/>
        </a:prstGeom>
        <a:noFill/>
        <a:ln w="9525">
          <a:noFill/>
          <a:miter lim="800000"/>
          <a:headEnd/>
          <a:tailEnd/>
        </a:ln>
      </xdr:spPr>
      <xdr:txBody>
        <a:bodyPr vertOverflow="clip" wrap="square" lIns="27432" tIns="22860" rIns="0" bIns="0" anchor="ctr" upright="1"/>
        <a:lstStyle/>
        <a:p>
          <a:pPr algn="l" rtl="0">
            <a:defRPr sz="1000"/>
          </a:pPr>
          <a:fld id="{34FF5C9F-E605-45FC-B7D1-F0CC0D61FE72}" type="TxLink">
            <a:rPr lang="en-US" sz="1000" b="0" i="0" u="none" strike="noStrike">
              <a:solidFill>
                <a:srgbClr val="000000"/>
              </a:solidFill>
              <a:latin typeface="Arial"/>
              <a:cs typeface="Arial"/>
            </a:rPr>
            <a:pPr algn="l" rtl="0">
              <a:defRPr sz="1000"/>
            </a:pPr>
            <a:t>68.1kΩ</a:t>
          </a:fld>
          <a:endParaRPr lang="el-GR" sz="1000" b="0" i="0" strike="noStrike">
            <a:solidFill>
              <a:srgbClr val="000000"/>
            </a:solidFill>
            <a:latin typeface="Arial" pitchFamily="34" charset="0"/>
            <a:cs typeface="Arial" pitchFamily="34" charset="0"/>
          </a:endParaRPr>
        </a:p>
      </xdr:txBody>
    </xdr:sp>
    <xdr:clientData/>
  </xdr:twoCellAnchor>
  <xdr:twoCellAnchor>
    <xdr:from>
      <xdr:col>4</xdr:col>
      <xdr:colOff>659751</xdr:colOff>
      <xdr:row>14</xdr:row>
      <xdr:rowOff>38988</xdr:rowOff>
    </xdr:from>
    <xdr:to>
      <xdr:col>5</xdr:col>
      <xdr:colOff>29192</xdr:colOff>
      <xdr:row>15</xdr:row>
      <xdr:rowOff>121560</xdr:rowOff>
    </xdr:to>
    <xdr:sp macro="" textlink="'Variable Mgmt'!C220">
      <xdr:nvSpPr>
        <xdr:cNvPr id="94" name="Text Box 268">
          <a:extLst>
            <a:ext uri="{FF2B5EF4-FFF2-40B4-BE49-F238E27FC236}">
              <a16:creationId xmlns:a16="http://schemas.microsoft.com/office/drawing/2014/main" id="{00000000-0008-0000-0100-00005E000000}"/>
            </a:ext>
          </a:extLst>
        </xdr:cNvPr>
        <xdr:cNvSpPr txBox="1">
          <a:spLocks noChangeArrowheads="1" noTextEdit="1"/>
        </xdr:cNvSpPr>
      </xdr:nvSpPr>
      <xdr:spPr bwMode="auto">
        <a:xfrm>
          <a:off x="4298301" y="2305938"/>
          <a:ext cx="521966" cy="244497"/>
        </a:xfrm>
        <a:prstGeom prst="rect">
          <a:avLst/>
        </a:prstGeom>
        <a:noFill/>
        <a:ln w="9525">
          <a:noFill/>
          <a:miter lim="800000"/>
          <a:headEnd/>
          <a:tailEnd/>
        </a:ln>
      </xdr:spPr>
      <xdr:txBody>
        <a:bodyPr vertOverflow="clip" wrap="square" lIns="27432" tIns="22860" rIns="0" bIns="0" anchor="ctr" upright="1"/>
        <a:lstStyle/>
        <a:p>
          <a:pPr algn="l" rtl="0">
            <a:defRPr sz="1000"/>
          </a:pPr>
          <a:fld id="{748954DB-E280-498C-BC91-9439B9EC7524}" type="TxLink">
            <a:rPr lang="en-US" sz="1100" b="0" i="0" u="none" strike="noStrike">
              <a:solidFill>
                <a:srgbClr val="000000"/>
              </a:solidFill>
              <a:latin typeface="Arial"/>
              <a:cs typeface="Arial"/>
            </a:rPr>
            <a:pPr algn="l" rtl="0">
              <a:defRPr sz="1000"/>
            </a:pPr>
            <a:t>240kΩ</a:t>
          </a:fld>
          <a:endParaRPr lang="el-GR" sz="1800" b="0" i="0" strike="noStrike">
            <a:solidFill>
              <a:srgbClr val="000000"/>
            </a:solidFill>
            <a:latin typeface="Arial" pitchFamily="34" charset="0"/>
            <a:cs typeface="Arial" pitchFamily="34" charset="0"/>
          </a:endParaRPr>
        </a:p>
      </xdr:txBody>
    </xdr:sp>
    <xdr:clientData/>
  </xdr:twoCellAnchor>
  <xdr:twoCellAnchor>
    <xdr:from>
      <xdr:col>5</xdr:col>
      <xdr:colOff>157931</xdr:colOff>
      <xdr:row>20</xdr:row>
      <xdr:rowOff>88956</xdr:rowOff>
    </xdr:from>
    <xdr:to>
      <xdr:col>5</xdr:col>
      <xdr:colOff>672415</xdr:colOff>
      <xdr:row>21</xdr:row>
      <xdr:rowOff>128452</xdr:rowOff>
    </xdr:to>
    <xdr:sp macro="" textlink="'Variable Mgmt'!C234">
      <xdr:nvSpPr>
        <xdr:cNvPr id="95" name="Text Box 265">
          <a:extLst>
            <a:ext uri="{FF2B5EF4-FFF2-40B4-BE49-F238E27FC236}">
              <a16:creationId xmlns:a16="http://schemas.microsoft.com/office/drawing/2014/main" id="{00000000-0008-0000-0100-00005F000000}"/>
            </a:ext>
          </a:extLst>
        </xdr:cNvPr>
        <xdr:cNvSpPr txBox="1">
          <a:spLocks noChangeArrowheads="1" noTextEdit="1"/>
        </xdr:cNvSpPr>
      </xdr:nvSpPr>
      <xdr:spPr bwMode="auto">
        <a:xfrm>
          <a:off x="4949006" y="3327456"/>
          <a:ext cx="514484" cy="201421"/>
        </a:xfrm>
        <a:prstGeom prst="rect">
          <a:avLst/>
        </a:prstGeom>
        <a:noFill/>
        <a:ln w="9525">
          <a:noFill/>
          <a:miter lim="800000"/>
          <a:headEnd/>
          <a:tailEnd/>
        </a:ln>
      </xdr:spPr>
      <xdr:txBody>
        <a:bodyPr vertOverflow="clip" wrap="square" lIns="27432" tIns="22860" rIns="0" bIns="0" anchor="t" upright="1"/>
        <a:lstStyle/>
        <a:p>
          <a:pPr algn="l" rtl="0">
            <a:defRPr sz="1000"/>
          </a:pPr>
          <a:fld id="{B2616B24-776D-472C-9328-875E07CFCCA9}" type="TxLink">
            <a:rPr lang="en-US" sz="1100" b="0" i="0" u="none" strike="noStrike" baseline="0">
              <a:solidFill>
                <a:srgbClr val="000000"/>
              </a:solidFill>
              <a:latin typeface="Arial"/>
              <a:cs typeface="Arial"/>
            </a:rPr>
            <a:pPr algn="l" rtl="0">
              <a:defRPr sz="1000"/>
            </a:pPr>
            <a:t>12.1kΩ</a:t>
          </a:fld>
          <a:endParaRPr lang="el-GR" sz="1200" b="0" i="0" u="none" strike="noStrike" baseline="0">
            <a:solidFill>
              <a:srgbClr val="000000"/>
            </a:solidFill>
            <a:latin typeface="Arial" pitchFamily="34" charset="0"/>
            <a:cs typeface="Arial" pitchFamily="34" charset="0"/>
          </a:endParaRPr>
        </a:p>
      </xdr:txBody>
    </xdr:sp>
    <xdr:clientData/>
  </xdr:twoCellAnchor>
  <xdr:twoCellAnchor>
    <xdr:from>
      <xdr:col>0</xdr:col>
      <xdr:colOff>95250</xdr:colOff>
      <xdr:row>5</xdr:row>
      <xdr:rowOff>6666</xdr:rowOff>
    </xdr:from>
    <xdr:to>
      <xdr:col>1</xdr:col>
      <xdr:colOff>740109</xdr:colOff>
      <xdr:row>6</xdr:row>
      <xdr:rowOff>133349</xdr:rowOff>
    </xdr:to>
    <xdr:sp macro="" textlink="'Variable Mgmt'!B199">
      <xdr:nvSpPr>
        <xdr:cNvPr id="96" name="Text Box 283">
          <a:extLst>
            <a:ext uri="{FF2B5EF4-FFF2-40B4-BE49-F238E27FC236}">
              <a16:creationId xmlns:a16="http://schemas.microsoft.com/office/drawing/2014/main" id="{00000000-0008-0000-0100-000060000000}"/>
            </a:ext>
          </a:extLst>
        </xdr:cNvPr>
        <xdr:cNvSpPr txBox="1">
          <a:spLocks noChangeArrowheads="1" noTextEdit="1"/>
        </xdr:cNvSpPr>
      </xdr:nvSpPr>
      <xdr:spPr bwMode="auto">
        <a:xfrm>
          <a:off x="95250" y="816291"/>
          <a:ext cx="1283034" cy="288608"/>
        </a:xfrm>
        <a:prstGeom prst="rect">
          <a:avLst/>
        </a:prstGeom>
        <a:noFill/>
        <a:ln w="9525">
          <a:noFill/>
          <a:miter lim="800000"/>
          <a:headEnd/>
          <a:tailEnd/>
        </a:ln>
      </xdr:spPr>
      <xdr:txBody>
        <a:bodyPr vertOverflow="clip" wrap="square" lIns="27432" tIns="22860" rIns="0" bIns="0" anchor="t" upright="1"/>
        <a:lstStyle/>
        <a:p>
          <a:pPr algn="ctr" rtl="0">
            <a:defRPr sz="1000"/>
          </a:pPr>
          <a:fld id="{47315316-35F3-49E7-A4CE-EA42773D1FAE}" type="TxLink">
            <a:rPr lang="en-US" sz="1200" b="1" i="0" u="none" strike="noStrike">
              <a:solidFill>
                <a:srgbClr val="000000"/>
              </a:solidFill>
              <a:latin typeface="Arial"/>
              <a:cs typeface="Arial"/>
            </a:rPr>
            <a:pPr algn="ctr" rtl="0">
              <a:defRPr sz="1000"/>
            </a:pPr>
            <a:t>12V...17V</a:t>
          </a:fld>
          <a:endParaRPr lang="en-US" sz="1200" b="1" i="0" strike="noStrike">
            <a:solidFill>
              <a:srgbClr val="000000"/>
            </a:solidFill>
            <a:latin typeface="Arial" pitchFamily="34" charset="0"/>
            <a:cs typeface="Arial" pitchFamily="34" charset="0"/>
          </a:endParaRPr>
        </a:p>
      </xdr:txBody>
    </xdr:sp>
    <xdr:clientData/>
  </xdr:twoCellAnchor>
  <xdr:twoCellAnchor>
    <xdr:from>
      <xdr:col>4</xdr:col>
      <xdr:colOff>679229</xdr:colOff>
      <xdr:row>18</xdr:row>
      <xdr:rowOff>149860</xdr:rowOff>
    </xdr:from>
    <xdr:to>
      <xdr:col>4</xdr:col>
      <xdr:colOff>1010101</xdr:colOff>
      <xdr:row>20</xdr:row>
      <xdr:rowOff>77900</xdr:rowOff>
    </xdr:to>
    <xdr:sp macro="" textlink="'Variable Mgmt'!C226">
      <xdr:nvSpPr>
        <xdr:cNvPr id="97" name="Text Box 225">
          <a:extLst>
            <a:ext uri="{FF2B5EF4-FFF2-40B4-BE49-F238E27FC236}">
              <a16:creationId xmlns:a16="http://schemas.microsoft.com/office/drawing/2014/main" id="{00000000-0008-0000-0100-000061000000}"/>
            </a:ext>
          </a:extLst>
        </xdr:cNvPr>
        <xdr:cNvSpPr txBox="1">
          <a:spLocks noChangeArrowheads="1"/>
        </xdr:cNvSpPr>
      </xdr:nvSpPr>
      <xdr:spPr bwMode="auto">
        <a:xfrm>
          <a:off x="4317779" y="3064510"/>
          <a:ext cx="330872" cy="251890"/>
        </a:xfrm>
        <a:prstGeom prst="rect">
          <a:avLst/>
        </a:prstGeom>
        <a:noFill/>
        <a:ln w="9525">
          <a:noFill/>
          <a:miter lim="800000"/>
          <a:headEnd/>
          <a:tailEnd/>
        </a:ln>
      </xdr:spPr>
      <xdr:txBody>
        <a:bodyPr vertOverflow="clip" wrap="square" lIns="27432" tIns="27432" rIns="0" bIns="0" anchor="ctr" upright="1"/>
        <a:lstStyle/>
        <a:p>
          <a:pPr algn="l" rtl="0">
            <a:defRPr sz="1000"/>
          </a:pPr>
          <a:fld id="{C394427D-AAFB-4910-BFD4-26E4AF094E1D}" type="TxLink">
            <a:rPr lang="en-US" sz="1000" b="0" i="0" u="none" strike="noStrike">
              <a:solidFill>
                <a:srgbClr val="000000"/>
              </a:solidFill>
              <a:latin typeface="Arial"/>
              <a:cs typeface="Arial"/>
            </a:rPr>
            <a:pPr algn="l" rtl="0">
              <a:defRPr sz="1000"/>
            </a:pPr>
            <a:t>Rtc</a:t>
          </a:fld>
          <a:endParaRPr lang="en-US" sz="1100" b="0" i="0" strike="noStrike" baseline="-25000">
            <a:solidFill>
              <a:srgbClr val="000000"/>
            </a:solidFill>
            <a:latin typeface="Arial" pitchFamily="34" charset="0"/>
            <a:cs typeface="Arial" pitchFamily="34" charset="0"/>
          </a:endParaRPr>
        </a:p>
      </xdr:txBody>
    </xdr:sp>
    <xdr:clientData/>
  </xdr:twoCellAnchor>
  <xdr:twoCellAnchor>
    <xdr:from>
      <xdr:col>4</xdr:col>
      <xdr:colOff>631623</xdr:colOff>
      <xdr:row>20</xdr:row>
      <xdr:rowOff>71205</xdr:rowOff>
    </xdr:from>
    <xdr:to>
      <xdr:col>4</xdr:col>
      <xdr:colOff>1147003</xdr:colOff>
      <xdr:row>21</xdr:row>
      <xdr:rowOff>142012</xdr:rowOff>
    </xdr:to>
    <xdr:sp macro="" textlink="'Variable Mgmt'!B226">
      <xdr:nvSpPr>
        <xdr:cNvPr id="98" name="Text Box 268">
          <a:extLst>
            <a:ext uri="{FF2B5EF4-FFF2-40B4-BE49-F238E27FC236}">
              <a16:creationId xmlns:a16="http://schemas.microsoft.com/office/drawing/2014/main" id="{00000000-0008-0000-0100-000062000000}"/>
            </a:ext>
          </a:extLst>
        </xdr:cNvPr>
        <xdr:cNvSpPr txBox="1">
          <a:spLocks noChangeArrowheads="1" noTextEdit="1"/>
        </xdr:cNvSpPr>
      </xdr:nvSpPr>
      <xdr:spPr bwMode="auto">
        <a:xfrm>
          <a:off x="4270173" y="3309705"/>
          <a:ext cx="515380" cy="232732"/>
        </a:xfrm>
        <a:prstGeom prst="rect">
          <a:avLst/>
        </a:prstGeom>
        <a:noFill/>
        <a:ln w="9525">
          <a:noFill/>
          <a:miter lim="800000"/>
          <a:headEnd/>
          <a:tailEnd/>
        </a:ln>
      </xdr:spPr>
      <xdr:txBody>
        <a:bodyPr vertOverflow="clip" wrap="square" lIns="27432" tIns="22860" rIns="0" bIns="0" anchor="ctr" upright="1"/>
        <a:lstStyle/>
        <a:p>
          <a:pPr algn="l" rtl="0">
            <a:defRPr sz="1000"/>
          </a:pPr>
          <a:fld id="{35437053-6AF1-4CB6-8BC9-CEEF911045AA}" type="TxLink">
            <a:rPr lang="en-US" sz="1100" b="0" i="0" u="none" strike="noStrike">
              <a:solidFill>
                <a:srgbClr val="000000"/>
              </a:solidFill>
              <a:latin typeface="Arial"/>
              <a:cs typeface="Arial"/>
            </a:rPr>
            <a:pPr algn="l" rtl="0">
              <a:defRPr sz="1000"/>
            </a:pPr>
            <a:t>316kΩ</a:t>
          </a:fld>
          <a:endParaRPr lang="el-GR" sz="1100" b="0" i="0" strike="noStrike">
            <a:solidFill>
              <a:srgbClr val="000000"/>
            </a:solidFill>
            <a:latin typeface="Arial" pitchFamily="34" charset="0"/>
            <a:cs typeface="Arial" pitchFamily="34" charset="0"/>
          </a:endParaRPr>
        </a:p>
      </xdr:txBody>
    </xdr:sp>
    <xdr:clientData/>
  </xdr:twoCellAnchor>
  <xdr:twoCellAnchor>
    <xdr:from>
      <xdr:col>2</xdr:col>
      <xdr:colOff>237557</xdr:colOff>
      <xdr:row>6</xdr:row>
      <xdr:rowOff>57806</xdr:rowOff>
    </xdr:from>
    <xdr:to>
      <xdr:col>2</xdr:col>
      <xdr:colOff>639607</xdr:colOff>
      <xdr:row>7</xdr:row>
      <xdr:rowOff>125922</xdr:rowOff>
    </xdr:to>
    <xdr:sp macro="" textlink="'Variable Mgmt'!C229">
      <xdr:nvSpPr>
        <xdr:cNvPr id="99" name="Text Box 264">
          <a:extLst>
            <a:ext uri="{FF2B5EF4-FFF2-40B4-BE49-F238E27FC236}">
              <a16:creationId xmlns:a16="http://schemas.microsoft.com/office/drawing/2014/main" id="{00000000-0008-0000-0100-000063000000}"/>
            </a:ext>
          </a:extLst>
        </xdr:cNvPr>
        <xdr:cNvSpPr txBox="1">
          <a:spLocks noChangeArrowheads="1" noTextEdit="1"/>
        </xdr:cNvSpPr>
      </xdr:nvSpPr>
      <xdr:spPr bwMode="auto">
        <a:xfrm>
          <a:off x="1637732" y="1029356"/>
          <a:ext cx="402050" cy="230041"/>
        </a:xfrm>
        <a:prstGeom prst="rect">
          <a:avLst/>
        </a:prstGeom>
        <a:noFill/>
        <a:ln w="9525">
          <a:noFill/>
          <a:miter lim="800000"/>
          <a:headEnd/>
          <a:tailEnd/>
        </a:ln>
      </xdr:spPr>
      <xdr:txBody>
        <a:bodyPr vertOverflow="clip" wrap="square" lIns="27432" tIns="22860" rIns="0" bIns="0" anchor="ctr" upright="1"/>
        <a:lstStyle/>
        <a:p>
          <a:pPr algn="l" rtl="0">
            <a:defRPr sz="1000"/>
          </a:pPr>
          <a:fld id="{31380AD2-7EE8-49DF-ADF3-9022D781233D}" type="TxLink">
            <a:rPr lang="en-US" sz="1000" b="0" i="0" u="none" strike="noStrike" baseline="0">
              <a:solidFill>
                <a:srgbClr val="000000"/>
              </a:solidFill>
              <a:latin typeface="Arial"/>
              <a:cs typeface="Arial"/>
            </a:rPr>
            <a:pPr algn="l" rtl="0">
              <a:defRPr sz="1000"/>
            </a:pPr>
            <a:t>Ruv1</a:t>
          </a:fld>
          <a:endParaRPr lang="el-GR" sz="1000" b="0" i="0" u="none" strike="noStrike" baseline="0">
            <a:solidFill>
              <a:srgbClr val="000000"/>
            </a:solidFill>
            <a:latin typeface="Arial" pitchFamily="34" charset="0"/>
            <a:cs typeface="Arial" pitchFamily="34" charset="0"/>
          </a:endParaRPr>
        </a:p>
      </xdr:txBody>
    </xdr:sp>
    <xdr:clientData/>
  </xdr:twoCellAnchor>
  <xdr:twoCellAnchor>
    <xdr:from>
      <xdr:col>2</xdr:col>
      <xdr:colOff>237557</xdr:colOff>
      <xdr:row>12</xdr:row>
      <xdr:rowOff>115234</xdr:rowOff>
    </xdr:from>
    <xdr:to>
      <xdr:col>2</xdr:col>
      <xdr:colOff>661587</xdr:colOff>
      <xdr:row>13</xdr:row>
      <xdr:rowOff>135750</xdr:rowOff>
    </xdr:to>
    <xdr:sp macro="" textlink="'Variable Mgmt'!D229">
      <xdr:nvSpPr>
        <xdr:cNvPr id="100" name="Text Box 264">
          <a:extLst>
            <a:ext uri="{FF2B5EF4-FFF2-40B4-BE49-F238E27FC236}">
              <a16:creationId xmlns:a16="http://schemas.microsoft.com/office/drawing/2014/main" id="{00000000-0008-0000-0100-000064000000}"/>
            </a:ext>
          </a:extLst>
        </xdr:cNvPr>
        <xdr:cNvSpPr txBox="1">
          <a:spLocks noChangeArrowheads="1" noTextEdit="1"/>
        </xdr:cNvSpPr>
      </xdr:nvSpPr>
      <xdr:spPr bwMode="auto">
        <a:xfrm>
          <a:off x="1637732" y="2058334"/>
          <a:ext cx="424030" cy="182441"/>
        </a:xfrm>
        <a:prstGeom prst="rect">
          <a:avLst/>
        </a:prstGeom>
        <a:noFill/>
        <a:ln w="9525">
          <a:noFill/>
          <a:miter lim="800000"/>
          <a:headEnd/>
          <a:tailEnd/>
        </a:ln>
      </xdr:spPr>
      <xdr:txBody>
        <a:bodyPr vertOverflow="clip" wrap="square" lIns="27432" tIns="22860" rIns="0" bIns="0" anchor="ctr" upright="1"/>
        <a:lstStyle/>
        <a:p>
          <a:pPr algn="l" rtl="0">
            <a:defRPr sz="1000"/>
          </a:pPr>
          <a:fld id="{873432C6-E14A-45C8-BEDA-C8EFF8641C5C}" type="TxLink">
            <a:rPr lang="en-US" sz="1000" b="0" i="0" u="none" strike="noStrike" baseline="0">
              <a:solidFill>
                <a:srgbClr val="000000"/>
              </a:solidFill>
              <a:latin typeface="Arial"/>
              <a:cs typeface="Arial"/>
            </a:rPr>
            <a:pPr algn="l" rtl="0">
              <a:defRPr sz="1000"/>
            </a:pPr>
            <a:t>Ruv2</a:t>
          </a:fld>
          <a:endParaRPr lang="el-GR" sz="1000" b="0" i="0" u="none" strike="noStrike" baseline="0">
            <a:solidFill>
              <a:srgbClr val="000000"/>
            </a:solidFill>
            <a:latin typeface="Arial" pitchFamily="34" charset="0"/>
            <a:cs typeface="Arial" pitchFamily="34" charset="0"/>
          </a:endParaRPr>
        </a:p>
      </xdr:txBody>
    </xdr:sp>
    <xdr:clientData/>
  </xdr:twoCellAnchor>
  <xdr:twoCellAnchor>
    <xdr:from>
      <xdr:col>2</xdr:col>
      <xdr:colOff>216427</xdr:colOff>
      <xdr:row>20</xdr:row>
      <xdr:rowOff>331</xdr:rowOff>
    </xdr:from>
    <xdr:to>
      <xdr:col>2</xdr:col>
      <xdr:colOff>660395</xdr:colOff>
      <xdr:row>22</xdr:row>
      <xdr:rowOff>12593</xdr:rowOff>
    </xdr:to>
    <xdr:sp macro="" textlink="'Variable Mgmt'!C239">
      <xdr:nvSpPr>
        <xdr:cNvPr id="101" name="Text Box 281">
          <a:extLst>
            <a:ext uri="{FF2B5EF4-FFF2-40B4-BE49-F238E27FC236}">
              <a16:creationId xmlns:a16="http://schemas.microsoft.com/office/drawing/2014/main" id="{00000000-0008-0000-0100-000065000000}"/>
            </a:ext>
          </a:extLst>
        </xdr:cNvPr>
        <xdr:cNvSpPr txBox="1">
          <a:spLocks noChangeArrowheads="1" noTextEdit="1"/>
        </xdr:cNvSpPr>
      </xdr:nvSpPr>
      <xdr:spPr bwMode="auto">
        <a:xfrm>
          <a:off x="1616602" y="3238831"/>
          <a:ext cx="443968" cy="336112"/>
        </a:xfrm>
        <a:prstGeom prst="rect">
          <a:avLst/>
        </a:prstGeom>
        <a:noFill/>
        <a:ln w="9525">
          <a:noFill/>
          <a:miter lim="800000"/>
          <a:headEnd/>
          <a:tailEnd/>
        </a:ln>
      </xdr:spPr>
      <xdr:txBody>
        <a:bodyPr vertOverflow="clip" wrap="square" lIns="27432" tIns="22860" rIns="0" bIns="0" anchor="ctr" upright="1"/>
        <a:lstStyle/>
        <a:p>
          <a:pPr algn="l" rtl="0">
            <a:defRPr sz="1000"/>
          </a:pPr>
          <a:fld id="{B81C36CF-66FD-4734-B04F-DAE82AF849A9}" type="TxLink">
            <a:rPr lang="en-US" sz="1100" b="0" i="0" u="none" strike="noStrike">
              <a:solidFill>
                <a:srgbClr val="000000"/>
              </a:solidFill>
              <a:latin typeface="Arial"/>
              <a:cs typeface="Arial"/>
            </a:rPr>
            <a:pPr algn="l" rtl="0">
              <a:defRPr sz="1000"/>
            </a:pPr>
            <a:t>Css</a:t>
          </a:fld>
          <a:endParaRPr lang="en-US" sz="1100" b="0" i="0" strike="noStrike">
            <a:solidFill>
              <a:srgbClr val="000000"/>
            </a:solidFill>
            <a:latin typeface="Arial" pitchFamily="34" charset="0"/>
            <a:cs typeface="Arial" pitchFamily="34" charset="0"/>
          </a:endParaRPr>
        </a:p>
      </xdr:txBody>
    </xdr:sp>
    <xdr:clientData/>
  </xdr:twoCellAnchor>
  <xdr:twoCellAnchor>
    <xdr:from>
      <xdr:col>4</xdr:col>
      <xdr:colOff>682414</xdr:colOff>
      <xdr:row>12</xdr:row>
      <xdr:rowOff>161265</xdr:rowOff>
    </xdr:from>
    <xdr:to>
      <xdr:col>4</xdr:col>
      <xdr:colOff>1005254</xdr:colOff>
      <xdr:row>14</xdr:row>
      <xdr:rowOff>69989</xdr:rowOff>
    </xdr:to>
    <xdr:sp macro="" textlink="">
      <xdr:nvSpPr>
        <xdr:cNvPr id="103" name="Text Box 244">
          <a:extLst>
            <a:ext uri="{FF2B5EF4-FFF2-40B4-BE49-F238E27FC236}">
              <a16:creationId xmlns:a16="http://schemas.microsoft.com/office/drawing/2014/main" id="{00000000-0008-0000-0100-000067000000}"/>
            </a:ext>
          </a:extLst>
        </xdr:cNvPr>
        <xdr:cNvSpPr txBox="1">
          <a:spLocks noChangeArrowheads="1"/>
        </xdr:cNvSpPr>
      </xdr:nvSpPr>
      <xdr:spPr bwMode="auto">
        <a:xfrm>
          <a:off x="4320964" y="2104365"/>
          <a:ext cx="322840" cy="232574"/>
        </a:xfrm>
        <a:prstGeom prst="rect">
          <a:avLst/>
        </a:prstGeom>
        <a:noFill/>
        <a:ln w="9525">
          <a:noFill/>
          <a:miter lim="800000"/>
          <a:headEnd/>
          <a:tailEnd/>
        </a:ln>
      </xdr:spPr>
      <xdr:txBody>
        <a:bodyPr vertOverflow="clip" wrap="square" lIns="27432" tIns="27432" rIns="0" bIns="0" anchor="t" upright="1"/>
        <a:lstStyle/>
        <a:p>
          <a:pPr algn="l" rtl="0">
            <a:defRPr sz="1000"/>
          </a:pPr>
          <a:r>
            <a:rPr lang="en-US" sz="1100" b="0" i="0" strike="noStrike">
              <a:solidFill>
                <a:srgbClr val="000000"/>
              </a:solidFill>
              <a:latin typeface="Arial" pitchFamily="34" charset="0"/>
              <a:cs typeface="Arial" pitchFamily="34" charset="0"/>
            </a:rPr>
            <a:t>R</a:t>
          </a:r>
          <a:r>
            <a:rPr lang="en-US" sz="1100" b="0" i="0" strike="noStrike" baseline="-25000">
              <a:solidFill>
                <a:srgbClr val="000000"/>
              </a:solidFill>
              <a:latin typeface="Arial" pitchFamily="34" charset="0"/>
              <a:cs typeface="Arial" pitchFamily="34" charset="0"/>
            </a:rPr>
            <a:t>FB</a:t>
          </a:r>
        </a:p>
      </xdr:txBody>
    </xdr:sp>
    <xdr:clientData/>
  </xdr:twoCellAnchor>
  <xdr:twoCellAnchor>
    <xdr:from>
      <xdr:col>5</xdr:col>
      <xdr:colOff>184207</xdr:colOff>
      <xdr:row>19</xdr:row>
      <xdr:rowOff>9801</xdr:rowOff>
    </xdr:from>
    <xdr:to>
      <xdr:col>5</xdr:col>
      <xdr:colOff>571224</xdr:colOff>
      <xdr:row>20</xdr:row>
      <xdr:rowOff>81258</xdr:rowOff>
    </xdr:to>
    <xdr:sp macro="" textlink="">
      <xdr:nvSpPr>
        <xdr:cNvPr id="104" name="Text Box 244">
          <a:extLst>
            <a:ext uri="{FF2B5EF4-FFF2-40B4-BE49-F238E27FC236}">
              <a16:creationId xmlns:a16="http://schemas.microsoft.com/office/drawing/2014/main" id="{00000000-0008-0000-0100-000068000000}"/>
            </a:ext>
          </a:extLst>
        </xdr:cNvPr>
        <xdr:cNvSpPr txBox="1">
          <a:spLocks noChangeArrowheads="1"/>
        </xdr:cNvSpPr>
      </xdr:nvSpPr>
      <xdr:spPr bwMode="auto">
        <a:xfrm>
          <a:off x="4975282" y="3086376"/>
          <a:ext cx="387017" cy="233382"/>
        </a:xfrm>
        <a:prstGeom prst="rect">
          <a:avLst/>
        </a:prstGeom>
        <a:noFill/>
        <a:ln w="9525">
          <a:noFill/>
          <a:miter lim="800000"/>
          <a:headEnd/>
          <a:tailEnd/>
        </a:ln>
      </xdr:spPr>
      <xdr:txBody>
        <a:bodyPr vertOverflow="clip" wrap="square" lIns="27432" tIns="27432" rIns="0" bIns="0" anchor="t" upright="1"/>
        <a:lstStyle/>
        <a:p>
          <a:pPr algn="l" rtl="0">
            <a:defRPr sz="1000"/>
          </a:pPr>
          <a:r>
            <a:rPr lang="en-US" sz="1100" b="0" i="0" strike="noStrike">
              <a:solidFill>
                <a:srgbClr val="000000"/>
              </a:solidFill>
              <a:latin typeface="Arial" pitchFamily="34" charset="0"/>
              <a:cs typeface="Arial" pitchFamily="34" charset="0"/>
            </a:rPr>
            <a:t>R</a:t>
          </a:r>
          <a:r>
            <a:rPr lang="en-US" sz="1100" b="0" i="0" strike="noStrike" baseline="-25000">
              <a:solidFill>
                <a:srgbClr val="000000"/>
              </a:solidFill>
              <a:latin typeface="Arial" pitchFamily="34" charset="0"/>
              <a:cs typeface="Arial" pitchFamily="34" charset="0"/>
            </a:rPr>
            <a:t>SET</a:t>
          </a:r>
        </a:p>
      </xdr:txBody>
    </xdr:sp>
    <xdr:clientData/>
  </xdr:twoCellAnchor>
  <xdr:twoCellAnchor>
    <xdr:from>
      <xdr:col>4</xdr:col>
      <xdr:colOff>216702</xdr:colOff>
      <xdr:row>5</xdr:row>
      <xdr:rowOff>7931</xdr:rowOff>
    </xdr:from>
    <xdr:to>
      <xdr:col>4</xdr:col>
      <xdr:colOff>680586</xdr:colOff>
      <xdr:row>6</xdr:row>
      <xdr:rowOff>105017</xdr:rowOff>
    </xdr:to>
    <xdr:sp macro="" textlink="">
      <xdr:nvSpPr>
        <xdr:cNvPr id="105" name="Text Box 235">
          <a:extLst>
            <a:ext uri="{FF2B5EF4-FFF2-40B4-BE49-F238E27FC236}">
              <a16:creationId xmlns:a16="http://schemas.microsoft.com/office/drawing/2014/main" id="{00000000-0008-0000-0100-000069000000}"/>
            </a:ext>
          </a:extLst>
        </xdr:cNvPr>
        <xdr:cNvSpPr txBox="1">
          <a:spLocks noChangeArrowheads="1"/>
        </xdr:cNvSpPr>
      </xdr:nvSpPr>
      <xdr:spPr bwMode="auto">
        <a:xfrm>
          <a:off x="3855252" y="817556"/>
          <a:ext cx="463884" cy="259011"/>
        </a:xfrm>
        <a:prstGeom prst="rect">
          <a:avLst/>
        </a:prstGeom>
        <a:noFill/>
        <a:ln w="9525">
          <a:noFill/>
          <a:miter lim="800000"/>
          <a:headEnd/>
          <a:tailEnd/>
        </a:ln>
      </xdr:spPr>
      <xdr:txBody>
        <a:bodyPr vertOverflow="clip" wrap="square" lIns="27432" tIns="27432" rIns="0" bIns="0" anchor="ctr" upright="1"/>
        <a:lstStyle/>
        <a:p>
          <a:pPr algn="l" rtl="0">
            <a:defRPr sz="1000"/>
          </a:pPr>
          <a:r>
            <a:rPr lang="en-US" sz="1100" b="0" i="0" strike="noStrike">
              <a:solidFill>
                <a:srgbClr val="000000"/>
              </a:solidFill>
              <a:latin typeface="Arial" pitchFamily="34" charset="0"/>
              <a:cs typeface="Arial" pitchFamily="34" charset="0"/>
            </a:rPr>
            <a:t>D</a:t>
          </a:r>
          <a:r>
            <a:rPr lang="en-US" sz="1100" b="0" i="0" strike="noStrike" baseline="-25000">
              <a:solidFill>
                <a:srgbClr val="000000"/>
              </a:solidFill>
              <a:latin typeface="Arial" pitchFamily="34" charset="0"/>
              <a:cs typeface="Arial" pitchFamily="34" charset="0"/>
            </a:rPr>
            <a:t>CLAMP</a:t>
          </a:r>
        </a:p>
      </xdr:txBody>
    </xdr:sp>
    <xdr:clientData/>
  </xdr:twoCellAnchor>
  <xdr:twoCellAnchor>
    <xdr:from>
      <xdr:col>4</xdr:col>
      <xdr:colOff>501318</xdr:colOff>
      <xdr:row>9</xdr:row>
      <xdr:rowOff>20387</xdr:rowOff>
    </xdr:from>
    <xdr:to>
      <xdr:col>4</xdr:col>
      <xdr:colOff>770618</xdr:colOff>
      <xdr:row>10</xdr:row>
      <xdr:rowOff>119671</xdr:rowOff>
    </xdr:to>
    <xdr:sp macro="" textlink="">
      <xdr:nvSpPr>
        <xdr:cNvPr id="126" name="Text Box 235">
          <a:extLst>
            <a:ext uri="{FF2B5EF4-FFF2-40B4-BE49-F238E27FC236}">
              <a16:creationId xmlns:a16="http://schemas.microsoft.com/office/drawing/2014/main" id="{00000000-0008-0000-0100-00007E000000}"/>
            </a:ext>
          </a:extLst>
        </xdr:cNvPr>
        <xdr:cNvSpPr txBox="1">
          <a:spLocks noChangeArrowheads="1"/>
        </xdr:cNvSpPr>
      </xdr:nvSpPr>
      <xdr:spPr bwMode="auto">
        <a:xfrm>
          <a:off x="4139868" y="1477712"/>
          <a:ext cx="269300" cy="261209"/>
        </a:xfrm>
        <a:prstGeom prst="rect">
          <a:avLst/>
        </a:prstGeom>
        <a:noFill/>
        <a:ln w="9525">
          <a:noFill/>
          <a:miter lim="800000"/>
          <a:headEnd/>
          <a:tailEnd/>
        </a:ln>
      </xdr:spPr>
      <xdr:txBody>
        <a:bodyPr vertOverflow="clip" wrap="square" lIns="27432" tIns="27432" rIns="0" bIns="0" anchor="ctr" upright="1"/>
        <a:lstStyle/>
        <a:p>
          <a:pPr algn="l" rtl="0">
            <a:defRPr sz="1000"/>
          </a:pPr>
          <a:r>
            <a:rPr lang="en-US" sz="1100" b="0" i="0" strike="noStrike">
              <a:solidFill>
                <a:srgbClr val="000000"/>
              </a:solidFill>
              <a:latin typeface="Arial" pitchFamily="34" charset="0"/>
              <a:cs typeface="Arial" pitchFamily="34" charset="0"/>
            </a:rPr>
            <a:t>D</a:t>
          </a:r>
          <a:r>
            <a:rPr lang="en-US" sz="1100" b="0" i="0" strike="noStrike" baseline="-25000">
              <a:solidFill>
                <a:srgbClr val="000000"/>
              </a:solidFill>
              <a:latin typeface="Arial" pitchFamily="34" charset="0"/>
              <a:cs typeface="Arial" pitchFamily="34" charset="0"/>
            </a:rPr>
            <a:t>F</a:t>
          </a:r>
        </a:p>
      </xdr:txBody>
    </xdr:sp>
    <xdr:clientData/>
  </xdr:twoCellAnchor>
  <xdr:twoCellAnchor>
    <xdr:from>
      <xdr:col>5</xdr:col>
      <xdr:colOff>142399</xdr:colOff>
      <xdr:row>8</xdr:row>
      <xdr:rowOff>104775</xdr:rowOff>
    </xdr:from>
    <xdr:to>
      <xdr:col>5</xdr:col>
      <xdr:colOff>790575</xdr:colOff>
      <xdr:row>10</xdr:row>
      <xdr:rowOff>0</xdr:rowOff>
    </xdr:to>
    <xdr:sp macro="" textlink="'Variable Mgmt'!B194">
      <xdr:nvSpPr>
        <xdr:cNvPr id="127" name="Text Box 265">
          <a:extLst>
            <a:ext uri="{FF2B5EF4-FFF2-40B4-BE49-F238E27FC236}">
              <a16:creationId xmlns:a16="http://schemas.microsoft.com/office/drawing/2014/main" id="{00000000-0008-0000-0100-00007F000000}"/>
            </a:ext>
          </a:extLst>
        </xdr:cNvPr>
        <xdr:cNvSpPr txBox="1">
          <a:spLocks noChangeArrowheads="1" noTextEdit="1"/>
        </xdr:cNvSpPr>
      </xdr:nvSpPr>
      <xdr:spPr bwMode="auto">
        <a:xfrm>
          <a:off x="4933474" y="1400175"/>
          <a:ext cx="648176" cy="219075"/>
        </a:xfrm>
        <a:prstGeom prst="rect">
          <a:avLst/>
        </a:prstGeom>
        <a:noFill/>
        <a:ln w="9525">
          <a:noFill/>
          <a:miter lim="800000"/>
          <a:headEnd/>
          <a:tailEnd/>
        </a:ln>
      </xdr:spPr>
      <xdr:txBody>
        <a:bodyPr vertOverflow="clip" wrap="square" lIns="27432" tIns="22860" rIns="0" bIns="0" anchor="t" upright="1"/>
        <a:lstStyle/>
        <a:p>
          <a:pPr algn="ctr" rtl="0">
            <a:defRPr sz="1000"/>
          </a:pPr>
          <a:fld id="{4DF3E085-FEDD-406F-9003-D894075812A3}" type="TxLink">
            <a:rPr lang="en-US" sz="1000" b="0" i="0" u="none" strike="noStrike" baseline="0">
              <a:solidFill>
                <a:srgbClr val="000000"/>
              </a:solidFill>
              <a:latin typeface="Arial"/>
              <a:cs typeface="Arial"/>
            </a:rPr>
            <a:pPr algn="ctr" rtl="0">
              <a:defRPr sz="1000"/>
            </a:pPr>
            <a:t>1.5 : 1 : 0.5</a:t>
          </a:fld>
          <a:endParaRPr lang="el-GR" sz="1200" b="0" i="0" u="none" strike="noStrike" baseline="0">
            <a:solidFill>
              <a:srgbClr val="000000"/>
            </a:solidFill>
            <a:latin typeface="Arial" pitchFamily="34" charset="0"/>
            <a:cs typeface="Arial" pitchFamily="34" charset="0"/>
          </a:endParaRPr>
        </a:p>
      </xdr:txBody>
    </xdr:sp>
    <xdr:clientData/>
  </xdr:twoCellAnchor>
  <xdr:twoCellAnchor>
    <xdr:from>
      <xdr:col>7</xdr:col>
      <xdr:colOff>288063</xdr:colOff>
      <xdr:row>11</xdr:row>
      <xdr:rowOff>136547</xdr:rowOff>
    </xdr:from>
    <xdr:to>
      <xdr:col>7</xdr:col>
      <xdr:colOff>954457</xdr:colOff>
      <xdr:row>13</xdr:row>
      <xdr:rowOff>159326</xdr:rowOff>
    </xdr:to>
    <xdr:sp macro="" textlink="'Variable Mgmt'!B202">
      <xdr:nvSpPr>
        <xdr:cNvPr id="128" name="Text Box 285">
          <a:extLst>
            <a:ext uri="{FF2B5EF4-FFF2-40B4-BE49-F238E27FC236}">
              <a16:creationId xmlns:a16="http://schemas.microsoft.com/office/drawing/2014/main" id="{00000000-0008-0000-0100-000080000000}"/>
            </a:ext>
          </a:extLst>
        </xdr:cNvPr>
        <xdr:cNvSpPr txBox="1">
          <a:spLocks noChangeArrowheads="1" noTextEdit="1"/>
        </xdr:cNvSpPr>
      </xdr:nvSpPr>
      <xdr:spPr bwMode="auto">
        <a:xfrm>
          <a:off x="7060338" y="1917722"/>
          <a:ext cx="666394" cy="346629"/>
        </a:xfrm>
        <a:prstGeom prst="rect">
          <a:avLst/>
        </a:prstGeom>
        <a:noFill/>
        <a:ln w="9525">
          <a:noFill/>
          <a:miter lim="800000"/>
          <a:headEnd/>
          <a:tailEnd/>
        </a:ln>
      </xdr:spPr>
      <xdr:txBody>
        <a:bodyPr vertOverflow="clip" wrap="square" lIns="27432" tIns="22860" rIns="0" bIns="0" anchor="ctr" upright="1"/>
        <a:lstStyle/>
        <a:p>
          <a:pPr algn="l" rtl="0">
            <a:defRPr sz="1000"/>
          </a:pPr>
          <a:fld id="{1EB32AF4-7354-4114-B6DF-5AD8FEB0166D}" type="TxLink">
            <a:rPr lang="en-US" sz="1350" b="1" i="0" u="none" strike="noStrike" baseline="0">
              <a:solidFill>
                <a:srgbClr val="FF0000"/>
              </a:solidFill>
              <a:latin typeface="Arial"/>
              <a:cs typeface="Arial"/>
            </a:rPr>
            <a:pPr algn="l" rtl="0">
              <a:defRPr sz="1000"/>
            </a:pPr>
            <a:t>7V</a:t>
          </a:fld>
          <a:endParaRPr lang="en-US" sz="1350" b="1" i="0" u="none" strike="noStrike" baseline="0">
            <a:solidFill>
              <a:srgbClr val="FF0000"/>
            </a:solidFill>
            <a:latin typeface="Arial" pitchFamily="34" charset="0"/>
            <a:cs typeface="Arial" pitchFamily="34" charset="0"/>
          </a:endParaRPr>
        </a:p>
      </xdr:txBody>
    </xdr:sp>
    <xdr:clientData/>
  </xdr:twoCellAnchor>
  <xdr:twoCellAnchor>
    <xdr:from>
      <xdr:col>7</xdr:col>
      <xdr:colOff>133350</xdr:colOff>
      <xdr:row>13</xdr:row>
      <xdr:rowOff>74511</xdr:rowOff>
    </xdr:from>
    <xdr:to>
      <xdr:col>7</xdr:col>
      <xdr:colOff>733425</xdr:colOff>
      <xdr:row>15</xdr:row>
      <xdr:rowOff>54951</xdr:rowOff>
    </xdr:to>
    <xdr:sp macro="" textlink="'Variable Mgmt'!B257">
      <xdr:nvSpPr>
        <xdr:cNvPr id="129" name="Text Box 286">
          <a:extLst>
            <a:ext uri="{FF2B5EF4-FFF2-40B4-BE49-F238E27FC236}">
              <a16:creationId xmlns:a16="http://schemas.microsoft.com/office/drawing/2014/main" id="{00000000-0008-0000-0100-000081000000}"/>
            </a:ext>
          </a:extLst>
        </xdr:cNvPr>
        <xdr:cNvSpPr txBox="1">
          <a:spLocks noChangeArrowheads="1" noTextEdit="1"/>
        </xdr:cNvSpPr>
      </xdr:nvSpPr>
      <xdr:spPr bwMode="auto">
        <a:xfrm>
          <a:off x="6905625" y="2179536"/>
          <a:ext cx="600075" cy="304290"/>
        </a:xfrm>
        <a:prstGeom prst="rect">
          <a:avLst/>
        </a:prstGeom>
        <a:noFill/>
        <a:ln w="9525">
          <a:noFill/>
          <a:miter lim="800000"/>
          <a:headEnd/>
          <a:tailEnd/>
        </a:ln>
      </xdr:spPr>
      <xdr:txBody>
        <a:bodyPr vertOverflow="clip" wrap="square" lIns="27432" tIns="22860" rIns="0" bIns="0" anchor="ctr" upright="1"/>
        <a:lstStyle/>
        <a:p>
          <a:pPr algn="ctr" rtl="0">
            <a:defRPr sz="1000"/>
          </a:pPr>
          <a:fld id="{F430775D-5566-4B2B-9D86-4FABD1E02F13}" type="TxLink">
            <a:rPr lang="en-US" sz="1350" b="1" i="0" u="none" strike="noStrike">
              <a:solidFill>
                <a:srgbClr val="FF0000"/>
              </a:solidFill>
              <a:latin typeface="Arial"/>
              <a:cs typeface="Arial"/>
            </a:rPr>
            <a:pPr algn="ctr" rtl="0">
              <a:defRPr sz="1000"/>
            </a:pPr>
            <a:t>0.25A</a:t>
          </a:fld>
          <a:endParaRPr lang="en-US" sz="1350" b="1" i="0" strike="noStrike">
            <a:solidFill>
              <a:srgbClr val="FF0000"/>
            </a:solidFill>
            <a:latin typeface="Arial" pitchFamily="34" charset="0"/>
            <a:cs typeface="Arial" pitchFamily="34" charset="0"/>
          </a:endParaRPr>
        </a:p>
      </xdr:txBody>
    </xdr:sp>
    <xdr:clientData/>
  </xdr:twoCellAnchor>
  <xdr:twoCellAnchor>
    <xdr:from>
      <xdr:col>7</xdr:col>
      <xdr:colOff>278538</xdr:colOff>
      <xdr:row>14</xdr:row>
      <xdr:rowOff>146072</xdr:rowOff>
    </xdr:from>
    <xdr:to>
      <xdr:col>7</xdr:col>
      <xdr:colOff>944932</xdr:colOff>
      <xdr:row>17</xdr:row>
      <xdr:rowOff>6926</xdr:rowOff>
    </xdr:to>
    <xdr:sp macro="" textlink="'Variable Mgmt'!B203">
      <xdr:nvSpPr>
        <xdr:cNvPr id="130" name="Text Box 285">
          <a:extLst>
            <a:ext uri="{FF2B5EF4-FFF2-40B4-BE49-F238E27FC236}">
              <a16:creationId xmlns:a16="http://schemas.microsoft.com/office/drawing/2014/main" id="{00000000-0008-0000-0100-000082000000}"/>
            </a:ext>
          </a:extLst>
        </xdr:cNvPr>
        <xdr:cNvSpPr txBox="1">
          <a:spLocks noChangeArrowheads="1" noTextEdit="1"/>
        </xdr:cNvSpPr>
      </xdr:nvSpPr>
      <xdr:spPr bwMode="auto">
        <a:xfrm>
          <a:off x="7050813" y="2413022"/>
          <a:ext cx="666394" cy="346629"/>
        </a:xfrm>
        <a:prstGeom prst="rect">
          <a:avLst/>
        </a:prstGeom>
        <a:noFill/>
        <a:ln w="9525">
          <a:noFill/>
          <a:miter lim="800000"/>
          <a:headEnd/>
          <a:tailEnd/>
        </a:ln>
      </xdr:spPr>
      <xdr:txBody>
        <a:bodyPr vertOverflow="clip" wrap="square" lIns="27432" tIns="22860" rIns="0" bIns="0" anchor="ctr" upright="1"/>
        <a:lstStyle/>
        <a:p>
          <a:pPr algn="l" rtl="0">
            <a:defRPr sz="1000"/>
          </a:pPr>
          <a:fld id="{6CC6AC32-C574-4CE6-AE26-39476DAD0777}" type="TxLink">
            <a:rPr lang="en-US" sz="1350" b="1" i="0" u="none" strike="noStrike" baseline="0">
              <a:solidFill>
                <a:srgbClr val="FF0000"/>
              </a:solidFill>
              <a:latin typeface="Arial"/>
              <a:cs typeface="Arial"/>
            </a:rPr>
            <a:pPr algn="l" rtl="0">
              <a:defRPr sz="1000"/>
            </a:pPr>
            <a:t> </a:t>
          </a:fld>
          <a:endParaRPr lang="en-US" sz="1350" b="1" i="0" u="none" strike="noStrike" baseline="0">
            <a:solidFill>
              <a:srgbClr val="FF0000"/>
            </a:solidFill>
            <a:latin typeface="Arial" pitchFamily="34" charset="0"/>
            <a:cs typeface="Arial" pitchFamily="34" charset="0"/>
          </a:endParaRPr>
        </a:p>
      </xdr:txBody>
    </xdr:sp>
    <xdr:clientData/>
  </xdr:twoCellAnchor>
  <xdr:twoCellAnchor>
    <xdr:from>
      <xdr:col>7</xdr:col>
      <xdr:colOff>105866</xdr:colOff>
      <xdr:row>16</xdr:row>
      <xdr:rowOff>84036</xdr:rowOff>
    </xdr:from>
    <xdr:to>
      <xdr:col>7</xdr:col>
      <xdr:colOff>859940</xdr:colOff>
      <xdr:row>18</xdr:row>
      <xdr:rowOff>64476</xdr:rowOff>
    </xdr:to>
    <xdr:sp macro="" textlink="'Variable Mgmt'!B258">
      <xdr:nvSpPr>
        <xdr:cNvPr id="131" name="Text Box 286">
          <a:extLst>
            <a:ext uri="{FF2B5EF4-FFF2-40B4-BE49-F238E27FC236}">
              <a16:creationId xmlns:a16="http://schemas.microsoft.com/office/drawing/2014/main" id="{00000000-0008-0000-0100-000083000000}"/>
            </a:ext>
          </a:extLst>
        </xdr:cNvPr>
        <xdr:cNvSpPr txBox="1">
          <a:spLocks noChangeArrowheads="1" noTextEdit="1"/>
        </xdr:cNvSpPr>
      </xdr:nvSpPr>
      <xdr:spPr bwMode="auto">
        <a:xfrm>
          <a:off x="6878141" y="2674836"/>
          <a:ext cx="754074" cy="304290"/>
        </a:xfrm>
        <a:prstGeom prst="rect">
          <a:avLst/>
        </a:prstGeom>
        <a:noFill/>
        <a:ln w="9525">
          <a:noFill/>
          <a:miter lim="800000"/>
          <a:headEnd/>
          <a:tailEnd/>
        </a:ln>
      </xdr:spPr>
      <xdr:txBody>
        <a:bodyPr vertOverflow="clip" wrap="square" lIns="27432" tIns="22860" rIns="0" bIns="0" anchor="ctr" upright="1"/>
        <a:lstStyle/>
        <a:p>
          <a:pPr algn="ctr" rtl="0">
            <a:defRPr sz="1000"/>
          </a:pPr>
          <a:fld id="{21AE0BE5-7426-43AE-A5A8-768A4DEE6C58}" type="TxLink">
            <a:rPr lang="en-US" sz="1350" b="1" i="0" u="none" strike="noStrike">
              <a:solidFill>
                <a:srgbClr val="FF0000"/>
              </a:solidFill>
              <a:latin typeface="Arial"/>
              <a:cs typeface="Arial"/>
            </a:rPr>
            <a:pPr algn="ctr" rtl="0">
              <a:defRPr sz="1000"/>
            </a:pPr>
            <a:t> </a:t>
          </a:fld>
          <a:endParaRPr lang="en-US" sz="1350" b="1" i="0" strike="noStrike">
            <a:solidFill>
              <a:srgbClr val="FF0000"/>
            </a:solidFill>
            <a:latin typeface="Arial" pitchFamily="34" charset="0"/>
            <a:cs typeface="Arial" pitchFamily="34" charset="0"/>
          </a:endParaRPr>
        </a:p>
      </xdr:txBody>
    </xdr:sp>
    <xdr:clientData/>
  </xdr:twoCellAnchor>
  <xdr:twoCellAnchor>
    <xdr:from>
      <xdr:col>6</xdr:col>
      <xdr:colOff>847596</xdr:colOff>
      <xdr:row>13</xdr:row>
      <xdr:rowOff>111234</xdr:rowOff>
    </xdr:from>
    <xdr:to>
      <xdr:col>7</xdr:col>
      <xdr:colOff>265709</xdr:colOff>
      <xdr:row>14</xdr:row>
      <xdr:rowOff>132474</xdr:rowOff>
    </xdr:to>
    <xdr:sp macro="" textlink="'Variable Mgmt'!D206">
      <xdr:nvSpPr>
        <xdr:cNvPr id="132" name="Text Box 267">
          <a:extLst>
            <a:ext uri="{FF2B5EF4-FFF2-40B4-BE49-F238E27FC236}">
              <a16:creationId xmlns:a16="http://schemas.microsoft.com/office/drawing/2014/main" id="{00000000-0008-0000-0100-000084000000}"/>
            </a:ext>
          </a:extLst>
        </xdr:cNvPr>
        <xdr:cNvSpPr txBox="1">
          <a:spLocks noChangeArrowheads="1" noTextEdit="1"/>
        </xdr:cNvSpPr>
      </xdr:nvSpPr>
      <xdr:spPr bwMode="auto">
        <a:xfrm>
          <a:off x="6543546" y="2216259"/>
          <a:ext cx="494438" cy="183165"/>
        </a:xfrm>
        <a:prstGeom prst="rect">
          <a:avLst/>
        </a:prstGeom>
        <a:noFill/>
        <a:ln w="9525">
          <a:noFill/>
          <a:miter lim="800000"/>
          <a:headEnd/>
          <a:tailEnd/>
        </a:ln>
      </xdr:spPr>
      <xdr:txBody>
        <a:bodyPr vertOverflow="clip" wrap="square" lIns="27432" tIns="22860" rIns="0" bIns="0" anchor="ctr" upright="1"/>
        <a:lstStyle/>
        <a:p>
          <a:pPr algn="l" rtl="0">
            <a:defRPr sz="1000"/>
          </a:pPr>
          <a:fld id="{1BBBBB7F-554B-4BC8-BF86-B8FB4EA76457}" type="TxLink">
            <a:rPr lang="en-US" sz="1100" b="0" i="0" u="none" strike="noStrike" baseline="0">
              <a:solidFill>
                <a:srgbClr val="000000"/>
              </a:solidFill>
              <a:latin typeface="Arial"/>
              <a:cs typeface="Arial"/>
            </a:rPr>
            <a:pPr algn="l" rtl="0">
              <a:defRPr sz="1000"/>
            </a:pPr>
            <a:t> </a:t>
          </a:fld>
          <a:endParaRPr lang="en-US" sz="1100" b="0" i="0" u="none" strike="noStrike" baseline="0">
            <a:solidFill>
              <a:srgbClr val="000000"/>
            </a:solidFill>
            <a:latin typeface="Arial" pitchFamily="34" charset="0"/>
            <a:cs typeface="Arial" pitchFamily="34" charset="0"/>
          </a:endParaRPr>
        </a:p>
      </xdr:txBody>
    </xdr:sp>
    <xdr:clientData/>
  </xdr:twoCellAnchor>
  <xdr:twoCellAnchor>
    <xdr:from>
      <xdr:col>6</xdr:col>
      <xdr:colOff>847596</xdr:colOff>
      <xdr:row>16</xdr:row>
      <xdr:rowOff>35034</xdr:rowOff>
    </xdr:from>
    <xdr:to>
      <xdr:col>7</xdr:col>
      <xdr:colOff>265709</xdr:colOff>
      <xdr:row>17</xdr:row>
      <xdr:rowOff>56274</xdr:rowOff>
    </xdr:to>
    <xdr:sp macro="" textlink="'Variable Mgmt'!C206">
      <xdr:nvSpPr>
        <xdr:cNvPr id="133" name="Text Box 267">
          <a:extLst>
            <a:ext uri="{FF2B5EF4-FFF2-40B4-BE49-F238E27FC236}">
              <a16:creationId xmlns:a16="http://schemas.microsoft.com/office/drawing/2014/main" id="{00000000-0008-0000-0100-000085000000}"/>
            </a:ext>
          </a:extLst>
        </xdr:cNvPr>
        <xdr:cNvSpPr txBox="1">
          <a:spLocks noChangeArrowheads="1" noTextEdit="1"/>
        </xdr:cNvSpPr>
      </xdr:nvSpPr>
      <xdr:spPr bwMode="auto">
        <a:xfrm>
          <a:off x="6543546" y="2625834"/>
          <a:ext cx="494438" cy="183165"/>
        </a:xfrm>
        <a:prstGeom prst="rect">
          <a:avLst/>
        </a:prstGeom>
        <a:noFill/>
        <a:ln w="9525">
          <a:noFill/>
          <a:miter lim="800000"/>
          <a:headEnd/>
          <a:tailEnd/>
        </a:ln>
      </xdr:spPr>
      <xdr:txBody>
        <a:bodyPr vertOverflow="clip" wrap="square" lIns="27432" tIns="22860" rIns="0" bIns="0" anchor="ctr" upright="1"/>
        <a:lstStyle/>
        <a:p>
          <a:pPr algn="l" rtl="0">
            <a:defRPr sz="1000"/>
          </a:pPr>
          <a:fld id="{EB8BEA1C-AFA8-40F4-BE4F-A41F4D085390}" type="TxLink">
            <a:rPr lang="en-US" sz="1100" b="0" i="0" u="none" strike="noStrike" baseline="0">
              <a:solidFill>
                <a:srgbClr val="000000"/>
              </a:solidFill>
              <a:latin typeface="Arial"/>
              <a:cs typeface="Arial"/>
            </a:rPr>
            <a:pPr algn="l" rtl="0">
              <a:defRPr sz="1000"/>
            </a:pPr>
            <a:t>44µF</a:t>
          </a:fld>
          <a:endParaRPr lang="en-US" sz="1400" b="0" i="0" u="none" strike="noStrike" baseline="0">
            <a:solidFill>
              <a:srgbClr val="000000"/>
            </a:solidFill>
            <a:latin typeface="Arial" pitchFamily="34" charset="0"/>
            <a:cs typeface="Arial" pitchFamily="34" charset="0"/>
          </a:endParaRPr>
        </a:p>
      </xdr:txBody>
    </xdr:sp>
    <xdr:clientData/>
  </xdr:twoCellAnchor>
  <xdr:twoCellAnchor>
    <xdr:from>
      <xdr:col>5</xdr:col>
      <xdr:colOff>262430</xdr:colOff>
      <xdr:row>2</xdr:row>
      <xdr:rowOff>13969</xdr:rowOff>
    </xdr:from>
    <xdr:to>
      <xdr:col>5</xdr:col>
      <xdr:colOff>585270</xdr:colOff>
      <xdr:row>3</xdr:row>
      <xdr:rowOff>86083</xdr:rowOff>
    </xdr:to>
    <xdr:sp macro="" textlink="">
      <xdr:nvSpPr>
        <xdr:cNvPr id="134" name="Text Box 244">
          <a:extLst>
            <a:ext uri="{FF2B5EF4-FFF2-40B4-BE49-F238E27FC236}">
              <a16:creationId xmlns:a16="http://schemas.microsoft.com/office/drawing/2014/main" id="{00000000-0008-0000-0100-000086000000}"/>
            </a:ext>
          </a:extLst>
        </xdr:cNvPr>
        <xdr:cNvSpPr txBox="1">
          <a:spLocks noChangeArrowheads="1"/>
        </xdr:cNvSpPr>
      </xdr:nvSpPr>
      <xdr:spPr bwMode="auto">
        <a:xfrm>
          <a:off x="5053505" y="337819"/>
          <a:ext cx="322840" cy="234039"/>
        </a:xfrm>
        <a:prstGeom prst="rect">
          <a:avLst/>
        </a:prstGeom>
        <a:noFill/>
        <a:ln w="9525">
          <a:noFill/>
          <a:miter lim="800000"/>
          <a:headEnd/>
          <a:tailEnd/>
        </a:ln>
      </xdr:spPr>
      <xdr:txBody>
        <a:bodyPr vertOverflow="clip" wrap="square" lIns="27432" tIns="27432" rIns="0" bIns="0" anchor="t" upright="1"/>
        <a:lstStyle/>
        <a:p>
          <a:pPr algn="ctr" rtl="0">
            <a:defRPr sz="1000"/>
          </a:pPr>
          <a:r>
            <a:rPr lang="en-US" sz="1100" b="0" i="0" strike="noStrike">
              <a:solidFill>
                <a:srgbClr val="000000"/>
              </a:solidFill>
              <a:latin typeface="Arial" pitchFamily="34" charset="0"/>
              <a:cs typeface="Arial" pitchFamily="34" charset="0"/>
            </a:rPr>
            <a:t>T</a:t>
          </a:r>
          <a:r>
            <a:rPr lang="en-US" sz="1100" b="0" i="0" strike="noStrike" baseline="-25000">
              <a:solidFill>
                <a:srgbClr val="000000"/>
              </a:solidFill>
              <a:latin typeface="Arial" pitchFamily="34" charset="0"/>
              <a:cs typeface="Arial" pitchFamily="34" charset="0"/>
            </a:rPr>
            <a:t>1</a:t>
          </a:r>
        </a:p>
      </xdr:txBody>
    </xdr:sp>
    <xdr:clientData/>
  </xdr:twoCellAnchor>
  <mc:AlternateContent xmlns:mc="http://schemas.openxmlformats.org/markup-compatibility/2006">
    <mc:Choice xmlns:a14="http://schemas.microsoft.com/office/drawing/2010/main" Requires="a14">
      <xdr:twoCellAnchor editAs="oneCell">
        <xdr:from>
          <xdr:col>5</xdr:col>
          <xdr:colOff>899160</xdr:colOff>
          <xdr:row>32</xdr:row>
          <xdr:rowOff>7620</xdr:rowOff>
        </xdr:from>
        <xdr:to>
          <xdr:col>6</xdr:col>
          <xdr:colOff>868680</xdr:colOff>
          <xdr:row>33</xdr:row>
          <xdr:rowOff>0</xdr:rowOff>
        </xdr:to>
        <xdr:sp macro="" textlink="">
          <xdr:nvSpPr>
            <xdr:cNvPr id="706019" name="Drop Down 1507" hidden="1">
              <a:extLst>
                <a:ext uri="{63B3BB69-23CF-44E3-9099-C40C66FF867C}">
                  <a14:compatExt spid="_x0000_s706019"/>
                </a:ext>
                <a:ext uri="{FF2B5EF4-FFF2-40B4-BE49-F238E27FC236}">
                  <a16:creationId xmlns:a16="http://schemas.microsoft.com/office/drawing/2014/main" id="{00000000-0008-0000-0100-0000E3C50A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3</xdr:col>
      <xdr:colOff>382642</xdr:colOff>
      <xdr:row>7</xdr:row>
      <xdr:rowOff>137794</xdr:rowOff>
    </xdr:from>
    <xdr:to>
      <xdr:col>3</xdr:col>
      <xdr:colOff>705482</xdr:colOff>
      <xdr:row>9</xdr:row>
      <xdr:rowOff>47983</xdr:rowOff>
    </xdr:to>
    <xdr:sp macro="" textlink="">
      <xdr:nvSpPr>
        <xdr:cNvPr id="47" name="Text Box 244">
          <a:extLst>
            <a:ext uri="{FF2B5EF4-FFF2-40B4-BE49-F238E27FC236}">
              <a16:creationId xmlns:a16="http://schemas.microsoft.com/office/drawing/2014/main" id="{00000000-0008-0000-0100-00002F000000}"/>
            </a:ext>
          </a:extLst>
        </xdr:cNvPr>
        <xdr:cNvSpPr txBox="1">
          <a:spLocks noChangeArrowheads="1"/>
        </xdr:cNvSpPr>
      </xdr:nvSpPr>
      <xdr:spPr bwMode="auto">
        <a:xfrm>
          <a:off x="2678167" y="1271269"/>
          <a:ext cx="322840" cy="234039"/>
        </a:xfrm>
        <a:prstGeom prst="rect">
          <a:avLst/>
        </a:prstGeom>
        <a:noFill/>
        <a:ln w="9525">
          <a:noFill/>
          <a:miter lim="800000"/>
          <a:headEnd/>
          <a:tailEnd/>
        </a:ln>
      </xdr:spPr>
      <xdr:txBody>
        <a:bodyPr vertOverflow="clip" wrap="square" lIns="27432" tIns="27432" rIns="0" bIns="0" anchor="t" upright="1"/>
        <a:lstStyle/>
        <a:p>
          <a:pPr algn="l" rtl="0">
            <a:defRPr sz="1000"/>
          </a:pPr>
          <a:r>
            <a:rPr lang="en-US" sz="1100" b="0" i="0" strike="noStrike">
              <a:solidFill>
                <a:srgbClr val="000000"/>
              </a:solidFill>
              <a:latin typeface="Arial" pitchFamily="34" charset="0"/>
              <a:cs typeface="Arial" pitchFamily="34" charset="0"/>
            </a:rPr>
            <a:t>U</a:t>
          </a:r>
          <a:r>
            <a:rPr lang="en-US" sz="1100" b="0" i="0" strike="noStrike" baseline="-25000">
              <a:solidFill>
                <a:srgbClr val="000000"/>
              </a:solidFill>
              <a:latin typeface="Arial" pitchFamily="34" charset="0"/>
              <a:cs typeface="Arial" pitchFamily="34" charset="0"/>
            </a:rPr>
            <a:t>1</a:t>
          </a:r>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38</xdr:row>
          <xdr:rowOff>7620</xdr:rowOff>
        </xdr:from>
        <xdr:to>
          <xdr:col>6</xdr:col>
          <xdr:colOff>876300</xdr:colOff>
          <xdr:row>39</xdr:row>
          <xdr:rowOff>0</xdr:rowOff>
        </xdr:to>
        <xdr:sp macro="" textlink="">
          <xdr:nvSpPr>
            <xdr:cNvPr id="706028" name="Drop Down 1516" hidden="1">
              <a:extLst>
                <a:ext uri="{63B3BB69-23CF-44E3-9099-C40C66FF867C}">
                  <a14:compatExt spid="_x0000_s706028"/>
                </a:ext>
                <a:ext uri="{FF2B5EF4-FFF2-40B4-BE49-F238E27FC236}">
                  <a16:creationId xmlns:a16="http://schemas.microsoft.com/office/drawing/2014/main" id="{00000000-0008-0000-0100-0000ECC50A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3</xdr:col>
      <xdr:colOff>495300</xdr:colOff>
      <xdr:row>13</xdr:row>
      <xdr:rowOff>76200</xdr:rowOff>
    </xdr:from>
    <xdr:to>
      <xdr:col>3</xdr:col>
      <xdr:colOff>1228725</xdr:colOff>
      <xdr:row>15</xdr:row>
      <xdr:rowOff>66675</xdr:rowOff>
    </xdr:to>
    <xdr:sp macro="" textlink="">
      <xdr:nvSpPr>
        <xdr:cNvPr id="49" name="TextBox 48">
          <a:extLst>
            <a:ext uri="{FF2B5EF4-FFF2-40B4-BE49-F238E27FC236}">
              <a16:creationId xmlns:a16="http://schemas.microsoft.com/office/drawing/2014/main" id="{00000000-0008-0000-0100-000031000000}"/>
            </a:ext>
          </a:extLst>
        </xdr:cNvPr>
        <xdr:cNvSpPr txBox="1"/>
      </xdr:nvSpPr>
      <xdr:spPr bwMode="auto">
        <a:xfrm>
          <a:off x="2790825" y="2181225"/>
          <a:ext cx="733425" cy="314325"/>
        </a:xfrm>
        <a:prstGeom prst="rect">
          <a:avLst/>
        </a:prstGeom>
        <a:solidFill>
          <a:srgbClr val="CCFFFF"/>
        </a:solidFill>
        <a:ln w="9525">
          <a:noFill/>
          <a:miter lim="800000"/>
          <a:headEnd/>
          <a:tailEnd/>
        </a:ln>
      </xdr:spPr>
      <xdr:txBody>
        <a:bodyPr vertOverflow="clip" horzOverflow="clip" wrap="square" lIns="27432" tIns="27432" rIns="0" bIns="0" rtlCol="0" anchor="t" upright="1"/>
        <a:lstStyle/>
        <a:p>
          <a:pPr algn="l" rtl="0"/>
          <a:r>
            <a:rPr lang="en-US" sz="1400" b="1" i="0" strike="noStrike">
              <a:solidFill>
                <a:srgbClr val="FF0000"/>
              </a:solidFill>
              <a:latin typeface="Arial" panose="020B0604020202020204" pitchFamily="34" charset="0"/>
              <a:cs typeface="Arial" panose="020B0604020202020204" pitchFamily="34" charset="0"/>
            </a:rPr>
            <a:t>LM5181</a:t>
          </a:r>
          <a:endParaRPr lang="en-US" sz="1100" b="1" i="0" strike="noStrike">
            <a:solidFill>
              <a:srgbClr val="FF0000"/>
            </a:solidFill>
            <a:latin typeface="Arial" panose="020B0604020202020204" pitchFamily="34" charset="0"/>
            <a:cs typeface="Arial" panose="020B0604020202020204" pitchFamily="34" charset="0"/>
          </a:endParaRPr>
        </a:p>
      </xdr:txBody>
    </xdr:sp>
    <xdr:clientData/>
  </xdr:twoCellAnchor>
  <xdr:twoCellAnchor>
    <xdr:from>
      <xdr:col>3</xdr:col>
      <xdr:colOff>428625</xdr:colOff>
      <xdr:row>13</xdr:row>
      <xdr:rowOff>38100</xdr:rowOff>
    </xdr:from>
    <xdr:to>
      <xdr:col>3</xdr:col>
      <xdr:colOff>1285875</xdr:colOff>
      <xdr:row>15</xdr:row>
      <xdr:rowOff>28575</xdr:rowOff>
    </xdr:to>
    <xdr:sp macro="" textlink="'Variable Mgmt'!R20">
      <xdr:nvSpPr>
        <xdr:cNvPr id="51" name="TextBox 50">
          <a:extLst>
            <a:ext uri="{FF2B5EF4-FFF2-40B4-BE49-F238E27FC236}">
              <a16:creationId xmlns:a16="http://schemas.microsoft.com/office/drawing/2014/main" id="{00000000-0008-0000-0100-000033000000}"/>
            </a:ext>
          </a:extLst>
        </xdr:cNvPr>
        <xdr:cNvSpPr txBox="1"/>
      </xdr:nvSpPr>
      <xdr:spPr bwMode="auto">
        <a:xfrm>
          <a:off x="2724150" y="2143125"/>
          <a:ext cx="857250" cy="314325"/>
        </a:xfrm>
        <a:prstGeom prst="rect">
          <a:avLst/>
        </a:prstGeom>
        <a:solidFill>
          <a:srgbClr val="CCFFFF"/>
        </a:solidFill>
        <a:ln w="9525">
          <a:noFill/>
          <a:miter lim="800000"/>
          <a:headEnd/>
          <a:tailEnd/>
        </a:ln>
      </xdr:spPr>
      <xdr:txBody>
        <a:bodyPr vertOverflow="clip" horzOverflow="clip" wrap="square" lIns="27432" tIns="27432" rIns="0" bIns="0" rtlCol="0" anchor="ctr" upright="1"/>
        <a:lstStyle/>
        <a:p>
          <a:pPr algn="l" rtl="0"/>
          <a:fld id="{2D1F34BE-62E1-4CF4-9DB2-2839E96E58D3}" type="TxLink">
            <a:rPr lang="en-US" sz="1400" b="1" i="0" u="none" strike="noStrike">
              <a:solidFill>
                <a:srgbClr val="FF0000"/>
              </a:solidFill>
              <a:latin typeface="Arial"/>
              <a:cs typeface="Arial"/>
            </a:rPr>
            <a:pPr algn="l" rtl="0"/>
            <a:t>LM25184</a:t>
          </a:fld>
          <a:endParaRPr lang="en-US" sz="1800" b="1" i="0" strike="noStrike">
            <a:solidFill>
              <a:srgbClr val="FF0000"/>
            </a:solidFill>
            <a:latin typeface="Arial" panose="020B0604020202020204" pitchFamily="34" charset="0"/>
            <a:cs typeface="Arial" panose="020B060402020202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39</xdr:row>
          <xdr:rowOff>7620</xdr:rowOff>
        </xdr:from>
        <xdr:to>
          <xdr:col>6</xdr:col>
          <xdr:colOff>876300</xdr:colOff>
          <xdr:row>40</xdr:row>
          <xdr:rowOff>0</xdr:rowOff>
        </xdr:to>
        <xdr:sp macro="" textlink="">
          <xdr:nvSpPr>
            <xdr:cNvPr id="706335" name="Drop Down 1823" hidden="1">
              <a:extLst>
                <a:ext uri="{63B3BB69-23CF-44E3-9099-C40C66FF867C}">
                  <a14:compatExt spid="_x0000_s706335"/>
                </a:ext>
                <a:ext uri="{FF2B5EF4-FFF2-40B4-BE49-F238E27FC236}">
                  <a16:creationId xmlns:a16="http://schemas.microsoft.com/office/drawing/2014/main" id="{00000000-0008-0000-0100-00001FC70A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542925</xdr:colOff>
      <xdr:row>7</xdr:row>
      <xdr:rowOff>114300</xdr:rowOff>
    </xdr:from>
    <xdr:to>
      <xdr:col>10</xdr:col>
      <xdr:colOff>171450</xdr:colOff>
      <xdr:row>30</xdr:row>
      <xdr:rowOff>19050</xdr:rowOff>
    </xdr:to>
    <xdr:pic>
      <xdr:nvPicPr>
        <xdr:cNvPr id="4" name="Picture 3">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 y="1781175"/>
          <a:ext cx="5724525" cy="3629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542925</xdr:colOff>
      <xdr:row>32</xdr:row>
      <xdr:rowOff>0</xdr:rowOff>
    </xdr:from>
    <xdr:to>
      <xdr:col>10</xdr:col>
      <xdr:colOff>161925</xdr:colOff>
      <xdr:row>54</xdr:row>
      <xdr:rowOff>66675</xdr:rowOff>
    </xdr:to>
    <xdr:pic>
      <xdr:nvPicPr>
        <xdr:cNvPr id="5" name="Picture 4">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2925" y="5715000"/>
          <a:ext cx="5715000" cy="3629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449580</xdr:colOff>
          <xdr:row>6</xdr:row>
          <xdr:rowOff>22860</xdr:rowOff>
        </xdr:from>
        <xdr:to>
          <xdr:col>10</xdr:col>
          <xdr:colOff>670560</xdr:colOff>
          <xdr:row>7</xdr:row>
          <xdr:rowOff>99060</xdr:rowOff>
        </xdr:to>
        <xdr:sp macro="" textlink="">
          <xdr:nvSpPr>
            <xdr:cNvPr id="721921" name="Drop Down 1" hidden="1">
              <a:extLst>
                <a:ext uri="{63B3BB69-23CF-44E3-9099-C40C66FF867C}">
                  <a14:compatExt spid="_x0000_s721921"/>
                </a:ext>
                <a:ext uri="{FF2B5EF4-FFF2-40B4-BE49-F238E27FC236}">
                  <a16:creationId xmlns:a16="http://schemas.microsoft.com/office/drawing/2014/main" id="{00000000-0008-0000-0300-000001040B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8</xdr:col>
      <xdr:colOff>152400</xdr:colOff>
      <xdr:row>9</xdr:row>
      <xdr:rowOff>0</xdr:rowOff>
    </xdr:from>
    <xdr:to>
      <xdr:col>23</xdr:col>
      <xdr:colOff>38100</xdr:colOff>
      <xdr:row>40</xdr:row>
      <xdr:rowOff>1732</xdr:rowOff>
    </xdr:to>
    <xdr:graphicFrame macro="">
      <xdr:nvGraphicFramePr>
        <xdr:cNvPr id="3" name="Chart 253">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142875</xdr:colOff>
      <xdr:row>40</xdr:row>
      <xdr:rowOff>123825</xdr:rowOff>
    </xdr:from>
    <xdr:to>
      <xdr:col>23</xdr:col>
      <xdr:colOff>19050</xdr:colOff>
      <xdr:row>71</xdr:row>
      <xdr:rowOff>125557</xdr:rowOff>
    </xdr:to>
    <xdr:graphicFrame macro="">
      <xdr:nvGraphicFramePr>
        <xdr:cNvPr id="4" name="Chart 253">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23</xdr:col>
      <xdr:colOff>542925</xdr:colOff>
      <xdr:row>40</xdr:row>
      <xdr:rowOff>95250</xdr:rowOff>
    </xdr:from>
    <xdr:to>
      <xdr:col>40</xdr:col>
      <xdr:colOff>38100</xdr:colOff>
      <xdr:row>71</xdr:row>
      <xdr:rowOff>96982</xdr:rowOff>
    </xdr:to>
    <xdr:graphicFrame macro="">
      <xdr:nvGraphicFramePr>
        <xdr:cNvPr id="6" name="Chart 253">
          <a:extLst>
            <a:ext uri="{FF2B5EF4-FFF2-40B4-BE49-F238E27FC236}">
              <a16:creationId xmlns:a16="http://schemas.microsoft.com/office/drawing/2014/main" id="{00000000-0008-0000-0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23</xdr:col>
      <xdr:colOff>552450</xdr:colOff>
      <xdr:row>8</xdr:row>
      <xdr:rowOff>142875</xdr:rowOff>
    </xdr:from>
    <xdr:to>
      <xdr:col>40</xdr:col>
      <xdr:colOff>47625</xdr:colOff>
      <xdr:row>39</xdr:row>
      <xdr:rowOff>144607</xdr:rowOff>
    </xdr:to>
    <xdr:graphicFrame macro="">
      <xdr:nvGraphicFramePr>
        <xdr:cNvPr id="7" name="Chart 253">
          <a:extLst>
            <a:ext uri="{FF2B5EF4-FFF2-40B4-BE49-F238E27FC236}">
              <a16:creationId xmlns:a16="http://schemas.microsoft.com/office/drawing/2014/main" id="{00000000-0008-0000-0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23</xdr:col>
      <xdr:colOff>159205</xdr:colOff>
      <xdr:row>72</xdr:row>
      <xdr:rowOff>27213</xdr:rowOff>
    </xdr:from>
    <xdr:to>
      <xdr:col>39</xdr:col>
      <xdr:colOff>495300</xdr:colOff>
      <xdr:row>101</xdr:row>
      <xdr:rowOff>9525</xdr:rowOff>
    </xdr:to>
    <xdr:graphicFrame macro="">
      <xdr:nvGraphicFramePr>
        <xdr:cNvPr id="9" name="Chart 253">
          <a:extLst>
            <a:ext uri="{FF2B5EF4-FFF2-40B4-BE49-F238E27FC236}">
              <a16:creationId xmlns:a16="http://schemas.microsoft.com/office/drawing/2014/main" id="{00000000-0008-0000-04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10</xdr:col>
      <xdr:colOff>342900</xdr:colOff>
      <xdr:row>9</xdr:row>
      <xdr:rowOff>19050</xdr:rowOff>
    </xdr:from>
    <xdr:to>
      <xdr:col>27</xdr:col>
      <xdr:colOff>47625</xdr:colOff>
      <xdr:row>40</xdr:row>
      <xdr:rowOff>20782</xdr:rowOff>
    </xdr:to>
    <xdr:graphicFrame macro="">
      <xdr:nvGraphicFramePr>
        <xdr:cNvPr id="2" name="Chart 253">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352425</xdr:colOff>
      <xdr:row>41</xdr:row>
      <xdr:rowOff>0</xdr:rowOff>
    </xdr:from>
    <xdr:to>
      <xdr:col>27</xdr:col>
      <xdr:colOff>57150</xdr:colOff>
      <xdr:row>72</xdr:row>
      <xdr:rowOff>1732</xdr:rowOff>
    </xdr:to>
    <xdr:graphicFrame macro="">
      <xdr:nvGraphicFramePr>
        <xdr:cNvPr id="3" name="Chart 253">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27</xdr:col>
      <xdr:colOff>194582</xdr:colOff>
      <xdr:row>41</xdr:row>
      <xdr:rowOff>21771</xdr:rowOff>
    </xdr:from>
    <xdr:to>
      <xdr:col>47</xdr:col>
      <xdr:colOff>123825</xdr:colOff>
      <xdr:row>72</xdr:row>
      <xdr:rowOff>23503</xdr:rowOff>
    </xdr:to>
    <xdr:graphicFrame macro="">
      <xdr:nvGraphicFramePr>
        <xdr:cNvPr id="4" name="Chart 253">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27</xdr:col>
      <xdr:colOff>228600</xdr:colOff>
      <xdr:row>9</xdr:row>
      <xdr:rowOff>28575</xdr:rowOff>
    </xdr:from>
    <xdr:to>
      <xdr:col>47</xdr:col>
      <xdr:colOff>19050</xdr:colOff>
      <xdr:row>40</xdr:row>
      <xdr:rowOff>30307</xdr:rowOff>
    </xdr:to>
    <xdr:graphicFrame macro="">
      <xdr:nvGraphicFramePr>
        <xdr:cNvPr id="5" name="Chart 253">
          <a:extLst>
            <a:ext uri="{FF2B5EF4-FFF2-40B4-BE49-F238E27FC236}">
              <a16:creationId xmlns:a16="http://schemas.microsoft.com/office/drawing/2014/main" id="{00000000-0008-0000-0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329046</xdr:colOff>
      <xdr:row>72</xdr:row>
      <xdr:rowOff>138546</xdr:rowOff>
    </xdr:from>
    <xdr:to>
      <xdr:col>27</xdr:col>
      <xdr:colOff>33771</xdr:colOff>
      <xdr:row>103</xdr:row>
      <xdr:rowOff>140278</xdr:rowOff>
    </xdr:to>
    <xdr:graphicFrame macro="">
      <xdr:nvGraphicFramePr>
        <xdr:cNvPr id="6" name="Chart 253">
          <a:extLst>
            <a:ext uri="{FF2B5EF4-FFF2-40B4-BE49-F238E27FC236}">
              <a16:creationId xmlns:a16="http://schemas.microsoft.com/office/drawing/2014/main" id="{00000000-0008-0000-0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19</xdr:col>
      <xdr:colOff>0</xdr:colOff>
      <xdr:row>12</xdr:row>
      <xdr:rowOff>0</xdr:rowOff>
    </xdr:from>
    <xdr:to>
      <xdr:col>33</xdr:col>
      <xdr:colOff>248709</xdr:colOff>
      <xdr:row>40</xdr:row>
      <xdr:rowOff>61288</xdr:rowOff>
    </xdr:to>
    <xdr:graphicFrame macro="">
      <xdr:nvGraphicFramePr>
        <xdr:cNvPr id="2" name="Chart 2">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85725</xdr:colOff>
      <xdr:row>111</xdr:row>
      <xdr:rowOff>114300</xdr:rowOff>
    </xdr:from>
    <xdr:to>
      <xdr:col>20</xdr:col>
      <xdr:colOff>161925</xdr:colOff>
      <xdr:row>144</xdr:row>
      <xdr:rowOff>76200</xdr:rowOff>
    </xdr:to>
    <xdr:graphicFrame macro="">
      <xdr:nvGraphicFramePr>
        <xdr:cNvPr id="3" name="Chart 31">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1600199</xdr:colOff>
      <xdr:row>4</xdr:row>
      <xdr:rowOff>95250</xdr:rowOff>
    </xdr:from>
    <xdr:to>
      <xdr:col>4</xdr:col>
      <xdr:colOff>3267074</xdr:colOff>
      <xdr:row>4</xdr:row>
      <xdr:rowOff>535385</xdr:rowOff>
    </xdr:to>
    <xdr:pic>
      <xdr:nvPicPr>
        <xdr:cNvPr id="4" name="Picture 84">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57749" y="800100"/>
          <a:ext cx="1666875" cy="440135"/>
        </a:xfrm>
        <a:prstGeom prst="rect">
          <a:avLst/>
        </a:prstGeom>
        <a:noFill/>
        <a:ln w="1">
          <a:noFill/>
          <a:miter lim="800000"/>
          <a:headEnd/>
          <a:tailEnd type="none" w="med" len="med"/>
        </a:ln>
        <a:effectLst/>
      </xdr:spPr>
    </xdr:pic>
    <xdr:clientData/>
  </xdr:twoCellAnchor>
  <xdr:twoCellAnchor>
    <xdr:from>
      <xdr:col>0</xdr:col>
      <xdr:colOff>95250</xdr:colOff>
      <xdr:row>148</xdr:row>
      <xdr:rowOff>76200</xdr:rowOff>
    </xdr:from>
    <xdr:to>
      <xdr:col>20</xdr:col>
      <xdr:colOff>687917</xdr:colOff>
      <xdr:row>181</xdr:row>
      <xdr:rowOff>38100</xdr:rowOff>
    </xdr:to>
    <xdr:graphicFrame macro="">
      <xdr:nvGraphicFramePr>
        <xdr:cNvPr id="8" name="Chart 31">
          <a:extLst>
            <a:ext uri="{FF2B5EF4-FFF2-40B4-BE49-F238E27FC236}">
              <a16:creationId xmlns:a16="http://schemas.microsoft.com/office/drawing/2014/main" id="{00000000-0008-0000-07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editAs="oneCell">
        <xdr:from>
          <xdr:col>22</xdr:col>
          <xdr:colOff>182880</xdr:colOff>
          <xdr:row>111</xdr:row>
          <xdr:rowOff>144780</xdr:rowOff>
        </xdr:from>
        <xdr:to>
          <xdr:col>36</xdr:col>
          <xdr:colOff>7620</xdr:colOff>
          <xdr:row>125</xdr:row>
          <xdr:rowOff>144780</xdr:rowOff>
        </xdr:to>
        <xdr:sp macro="" textlink="">
          <xdr:nvSpPr>
            <xdr:cNvPr id="683009" name="Object 1" hidden="1">
              <a:extLst>
                <a:ext uri="{63B3BB69-23CF-44E3-9099-C40C66FF867C}">
                  <a14:compatExt spid="_x0000_s683009"/>
                </a:ext>
                <a:ext uri="{FF2B5EF4-FFF2-40B4-BE49-F238E27FC236}">
                  <a16:creationId xmlns:a16="http://schemas.microsoft.com/office/drawing/2014/main" id="{00000000-0008-0000-0700-0000016C0A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0</xdr:col>
      <xdr:colOff>392906</xdr:colOff>
      <xdr:row>218</xdr:row>
      <xdr:rowOff>130969</xdr:rowOff>
    </xdr:from>
    <xdr:to>
      <xdr:col>19</xdr:col>
      <xdr:colOff>626267</xdr:colOff>
      <xdr:row>250</xdr:row>
      <xdr:rowOff>124619</xdr:rowOff>
    </xdr:to>
    <xdr:graphicFrame macro="">
      <xdr:nvGraphicFramePr>
        <xdr:cNvPr id="13" name="Chart 31">
          <a:extLst>
            <a:ext uri="{FF2B5EF4-FFF2-40B4-BE49-F238E27FC236}">
              <a16:creationId xmlns:a16="http://schemas.microsoft.com/office/drawing/2014/main" id="{00000000-0008-0000-07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35718</xdr:colOff>
      <xdr:row>255</xdr:row>
      <xdr:rowOff>47626</xdr:rowOff>
    </xdr:from>
    <xdr:to>
      <xdr:col>13</xdr:col>
      <xdr:colOff>16668</xdr:colOff>
      <xdr:row>287</xdr:row>
      <xdr:rowOff>104776</xdr:rowOff>
    </xdr:to>
    <xdr:graphicFrame macro="">
      <xdr:nvGraphicFramePr>
        <xdr:cNvPr id="16" name="Chart 253">
          <a:extLst>
            <a:ext uri="{FF2B5EF4-FFF2-40B4-BE49-F238E27FC236}">
              <a16:creationId xmlns:a16="http://schemas.microsoft.com/office/drawing/2014/main" id="{00000000-0008-0000-07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28575</xdr:colOff>
      <xdr:row>289</xdr:row>
      <xdr:rowOff>66675</xdr:rowOff>
    </xdr:from>
    <xdr:to>
      <xdr:col>13</xdr:col>
      <xdr:colOff>9525</xdr:colOff>
      <xdr:row>321</xdr:row>
      <xdr:rowOff>123825</xdr:rowOff>
    </xdr:to>
    <xdr:graphicFrame macro="">
      <xdr:nvGraphicFramePr>
        <xdr:cNvPr id="15" name="Chart 253">
          <a:extLst>
            <a:ext uri="{FF2B5EF4-FFF2-40B4-BE49-F238E27FC236}">
              <a16:creationId xmlns:a16="http://schemas.microsoft.com/office/drawing/2014/main" id="{00000000-0008-0000-07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95251</xdr:colOff>
      <xdr:row>182</xdr:row>
      <xdr:rowOff>100853</xdr:rowOff>
    </xdr:from>
    <xdr:to>
      <xdr:col>20</xdr:col>
      <xdr:colOff>708023</xdr:colOff>
      <xdr:row>215</xdr:row>
      <xdr:rowOff>62753</xdr:rowOff>
    </xdr:to>
    <xdr:graphicFrame macro="">
      <xdr:nvGraphicFramePr>
        <xdr:cNvPr id="17" name="Chart 31">
          <a:extLst>
            <a:ext uri="{FF2B5EF4-FFF2-40B4-BE49-F238E27FC236}">
              <a16:creationId xmlns:a16="http://schemas.microsoft.com/office/drawing/2014/main" id="{00000000-0008-0000-07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0.16877</cdr:x>
      <cdr:y>0.12917</cdr:y>
    </cdr:from>
    <cdr:to>
      <cdr:x>0.23482</cdr:x>
      <cdr:y>0.16636</cdr:y>
    </cdr:to>
    <cdr:sp macro="" textlink="'Variable Mgmt'!$B$249">
      <cdr:nvSpPr>
        <cdr:cNvPr id="2" name="Text Box 24"/>
        <cdr:cNvSpPr txBox="1">
          <a:spLocks xmlns:a="http://schemas.openxmlformats.org/drawingml/2006/main" noChangeArrowheads="1" noTextEdit="1"/>
        </cdr:cNvSpPr>
      </cdr:nvSpPr>
      <cdr:spPr bwMode="auto">
        <a:xfrm xmlns:a="http://schemas.openxmlformats.org/drawingml/2006/main">
          <a:off x="1403360" y="665601"/>
          <a:ext cx="549265" cy="19165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22860" rIns="0" bIns="22860" anchor="b"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fld id="{FB7B9190-533F-41A0-B9F6-41424F4E3D27}" type="TxLink">
            <a:rPr lang="en-US" sz="1100" b="0" i="0" u="none" strike="noStrike" baseline="0">
              <a:solidFill>
                <a:srgbClr val="000000"/>
              </a:solidFill>
              <a:latin typeface="Arial"/>
              <a:cs typeface="Arial"/>
            </a:rPr>
            <a:pPr algn="l" rtl="0">
              <a:defRPr sz="1000"/>
            </a:pPr>
            <a:t>82.4%</a:t>
          </a:fld>
          <a:endParaRPr lang="en-US" sz="1100" b="1" i="0" u="none" strike="noStrike" baseline="0">
            <a:solidFill>
              <a:srgbClr val="000000"/>
            </a:solidFill>
            <a:latin typeface="Arial" pitchFamily="34" charset="0"/>
            <a:cs typeface="Arial" pitchFamily="34" charset="0"/>
          </a:endParaRP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bwMode="auto">
        <a:noFill/>
        <a:ln w="9525">
          <a:noFill/>
          <a:miter lim="800000"/>
          <a:headEnd/>
          <a:tailEnd/>
        </a:ln>
      </a:spPr>
      <a:bodyPr vertOverflow="clip" wrap="square" lIns="27432" tIns="27432" rIns="0" bIns="0" anchor="t" upright="1"/>
      <a:lstStyle>
        <a:defPPr algn="l" rtl="0">
          <a:defRPr sz="1100" b="0" i="0" strike="noStrike">
            <a:solidFill>
              <a:srgbClr val="000000"/>
            </a:solidFill>
            <a:latin typeface="Calibri"/>
          </a:defRPr>
        </a:defPPr>
      </a:lstStyle>
    </a:tx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omments" Target="../comments1.xml"/><Relationship Id="rId3" Type="http://schemas.openxmlformats.org/officeDocument/2006/relationships/drawing" Target="../drawings/drawing1.xml"/><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printerSettings" Target="../printerSettings/printerSettings1.bin"/><Relationship Id="rId1" Type="http://schemas.openxmlformats.org/officeDocument/2006/relationships/hyperlink" Target="http://www.ti.com/widevin"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2.vml"/><Relationship Id="rId10" Type="http://schemas.openxmlformats.org/officeDocument/2006/relationships/ctrlProp" Target="../ctrlProps/ctrlProp5.xml"/><Relationship Id="rId4" Type="http://schemas.openxmlformats.org/officeDocument/2006/relationships/vmlDrawing" Target="../drawings/vmlDrawing1.vml"/><Relationship Id="rId9" Type="http://schemas.openxmlformats.org/officeDocument/2006/relationships/ctrlProp" Target="../ctrlProps/ctrlProp4.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2.xml"/><Relationship Id="rId13" Type="http://schemas.openxmlformats.org/officeDocument/2006/relationships/ctrlProp" Target="../ctrlProps/ctrlProp17.xml"/><Relationship Id="rId18" Type="http://schemas.openxmlformats.org/officeDocument/2006/relationships/ctrlProp" Target="../ctrlProps/ctrlProp22.xml"/><Relationship Id="rId3" Type="http://schemas.openxmlformats.org/officeDocument/2006/relationships/vmlDrawing" Target="../drawings/vmlDrawing3.vml"/><Relationship Id="rId7" Type="http://schemas.openxmlformats.org/officeDocument/2006/relationships/ctrlProp" Target="../ctrlProps/ctrlProp11.xml"/><Relationship Id="rId12" Type="http://schemas.openxmlformats.org/officeDocument/2006/relationships/ctrlProp" Target="../ctrlProps/ctrlProp16.xml"/><Relationship Id="rId17" Type="http://schemas.openxmlformats.org/officeDocument/2006/relationships/ctrlProp" Target="../ctrlProps/ctrlProp21.xml"/><Relationship Id="rId2" Type="http://schemas.openxmlformats.org/officeDocument/2006/relationships/drawing" Target="../drawings/drawing2.xml"/><Relationship Id="rId16" Type="http://schemas.openxmlformats.org/officeDocument/2006/relationships/ctrlProp" Target="../ctrlProps/ctrlProp20.xml"/><Relationship Id="rId1" Type="http://schemas.openxmlformats.org/officeDocument/2006/relationships/printerSettings" Target="../printerSettings/printerSettings2.bin"/><Relationship Id="rId6" Type="http://schemas.openxmlformats.org/officeDocument/2006/relationships/ctrlProp" Target="../ctrlProps/ctrlProp10.xml"/><Relationship Id="rId11" Type="http://schemas.openxmlformats.org/officeDocument/2006/relationships/ctrlProp" Target="../ctrlProps/ctrlProp15.xml"/><Relationship Id="rId5" Type="http://schemas.openxmlformats.org/officeDocument/2006/relationships/ctrlProp" Target="../ctrlProps/ctrlProp9.xml"/><Relationship Id="rId15" Type="http://schemas.openxmlformats.org/officeDocument/2006/relationships/ctrlProp" Target="../ctrlProps/ctrlProp19.xml"/><Relationship Id="rId10" Type="http://schemas.openxmlformats.org/officeDocument/2006/relationships/ctrlProp" Target="../ctrlProps/ctrlProp14.xml"/><Relationship Id="rId19" Type="http://schemas.openxmlformats.org/officeDocument/2006/relationships/ctrlProp" Target="../ctrlProps/ctrlProp23.xml"/><Relationship Id="rId4" Type="http://schemas.openxmlformats.org/officeDocument/2006/relationships/ctrlProp" Target="../ctrlProps/ctrlProp8.xml"/><Relationship Id="rId9" Type="http://schemas.openxmlformats.org/officeDocument/2006/relationships/ctrlProp" Target="../ctrlProps/ctrlProp13.xml"/><Relationship Id="rId14" Type="http://schemas.openxmlformats.org/officeDocument/2006/relationships/ctrlProp" Target="../ctrlProps/ctrlProp1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2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7.bin"/><Relationship Id="rId6" Type="http://schemas.openxmlformats.org/officeDocument/2006/relationships/comments" Target="../comments2.xml"/><Relationship Id="rId5" Type="http://schemas.openxmlformats.org/officeDocument/2006/relationships/image" Target="../media/image15.emf"/><Relationship Id="rId4" Type="http://schemas.openxmlformats.org/officeDocument/2006/relationships/oleObject" Target="../embeddings/Microsoft_Visio_2003-2010_Drawing.vsd"/></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AI53"/>
  <sheetViews>
    <sheetView tabSelected="1" zoomScaleNormal="100" zoomScaleSheetLayoutView="70" workbookViewId="0">
      <selection activeCell="E44" sqref="E44"/>
    </sheetView>
  </sheetViews>
  <sheetFormatPr defaultColWidth="9.109375" defaultRowHeight="13.8" x14ac:dyDescent="0.3"/>
  <cols>
    <col min="1" max="1" width="8.33203125" style="107" customWidth="1"/>
    <col min="2" max="2" width="8.33203125" style="46" customWidth="1"/>
    <col min="3" max="3" width="13.5546875" style="46" customWidth="1"/>
    <col min="4" max="4" width="11.109375" style="46" customWidth="1"/>
    <col min="5" max="5" width="9.109375" style="46" customWidth="1"/>
    <col min="6" max="6" width="8.6640625" style="46" customWidth="1"/>
    <col min="7" max="7" width="2.6640625" style="46" customWidth="1"/>
    <col min="8" max="9" width="8.33203125" style="46" customWidth="1"/>
    <col min="10" max="10" width="13.6640625" style="46" customWidth="1"/>
    <col min="11" max="11" width="10" style="46" customWidth="1"/>
    <col min="12" max="12" width="9.44140625" style="46" customWidth="1"/>
    <col min="13" max="13" width="8.6640625" style="46" customWidth="1"/>
    <col min="14" max="15" width="9.109375" style="46"/>
    <col min="16" max="18" width="10.109375" style="46" customWidth="1"/>
    <col min="19" max="19" width="10" style="46" bestFit="1" customWidth="1"/>
    <col min="20" max="25" width="9.109375" style="46"/>
    <col min="26" max="26" width="29" style="46" customWidth="1"/>
    <col min="27" max="27" width="3.109375" style="46" customWidth="1"/>
    <col min="28" max="16384" width="9.109375" style="46"/>
  </cols>
  <sheetData>
    <row r="1" spans="1:27" ht="47.25" customHeight="1" x14ac:dyDescent="0.3">
      <c r="A1" s="529" t="s">
        <v>694</v>
      </c>
      <c r="B1" s="527"/>
      <c r="C1" s="527"/>
      <c r="D1" s="527"/>
      <c r="E1" s="527"/>
      <c r="F1" s="527"/>
      <c r="G1" s="527"/>
      <c r="H1" s="527"/>
      <c r="I1" s="527"/>
      <c r="J1" s="527"/>
      <c r="K1" s="527"/>
      <c r="L1" s="527"/>
      <c r="M1" s="527"/>
      <c r="N1" s="527"/>
      <c r="O1" s="527"/>
      <c r="P1" s="527"/>
      <c r="Q1" s="527"/>
      <c r="R1" s="528"/>
      <c r="S1" s="528"/>
      <c r="T1" s="528"/>
      <c r="U1" s="528"/>
      <c r="V1" s="421"/>
      <c r="W1" s="421"/>
      <c r="X1" s="421"/>
      <c r="Y1" s="421"/>
      <c r="Z1" s="421"/>
      <c r="AA1" s="421"/>
    </row>
    <row r="2" spans="1:27" ht="14.1" customHeight="1" x14ac:dyDescent="0.55000000000000004">
      <c r="A2" s="402"/>
      <c r="B2" s="403"/>
      <c r="C2" s="403"/>
      <c r="D2" s="403"/>
      <c r="E2" s="403"/>
      <c r="F2" s="403"/>
      <c r="G2" s="403"/>
      <c r="H2" s="403"/>
      <c r="I2" s="403"/>
      <c r="J2" s="403"/>
      <c r="K2" s="403"/>
      <c r="L2" s="403"/>
      <c r="M2" s="403"/>
      <c r="N2" s="403"/>
      <c r="O2" s="416"/>
      <c r="P2" s="403"/>
      <c r="Q2" s="403"/>
      <c r="R2" s="411"/>
      <c r="S2" s="508"/>
      <c r="T2" s="508"/>
      <c r="U2" s="508"/>
      <c r="V2" s="508"/>
      <c r="W2" s="508"/>
      <c r="X2" s="508"/>
      <c r="Y2" s="508"/>
      <c r="Z2" s="508"/>
      <c r="AA2" s="508"/>
    </row>
    <row r="3" spans="1:27" ht="15.9" customHeight="1" x14ac:dyDescent="0.55000000000000004">
      <c r="A3" s="404" t="s">
        <v>105</v>
      </c>
      <c r="B3" s="405"/>
      <c r="C3" s="417" t="s">
        <v>106</v>
      </c>
      <c r="D3" s="406"/>
      <c r="E3" s="83"/>
      <c r="F3" s="408" t="s">
        <v>59</v>
      </c>
      <c r="G3" s="407"/>
      <c r="H3" s="403"/>
      <c r="I3" s="403"/>
      <c r="J3" s="407"/>
      <c r="K3" s="409"/>
      <c r="L3" s="410"/>
      <c r="M3" s="411"/>
      <c r="N3" s="411"/>
      <c r="O3" s="508"/>
      <c r="P3" s="1"/>
      <c r="Q3" s="411" t="s">
        <v>77</v>
      </c>
      <c r="R3" s="411"/>
      <c r="S3" s="508"/>
      <c r="T3" s="508"/>
      <c r="U3" s="530" t="s">
        <v>319</v>
      </c>
      <c r="V3" s="508"/>
      <c r="W3" s="508"/>
      <c r="X3" s="508"/>
      <c r="Y3" s="508"/>
      <c r="Z3" s="508"/>
      <c r="AA3" s="508"/>
    </row>
    <row r="4" spans="1:27" ht="14.1" customHeight="1" thickBot="1" x14ac:dyDescent="0.4">
      <c r="A4" s="412"/>
      <c r="B4" s="413"/>
      <c r="C4" s="414"/>
      <c r="D4" s="414"/>
      <c r="E4" s="414"/>
      <c r="F4" s="414"/>
      <c r="G4" s="414"/>
      <c r="H4" s="414"/>
      <c r="I4" s="414"/>
      <c r="J4" s="414"/>
      <c r="K4" s="414"/>
      <c r="L4" s="414"/>
      <c r="M4" s="415"/>
      <c r="N4" s="415"/>
      <c r="O4" s="415"/>
      <c r="P4" s="415"/>
      <c r="Q4" s="415"/>
      <c r="R4" s="411"/>
      <c r="S4" s="508"/>
      <c r="T4" s="508"/>
      <c r="U4" s="508"/>
      <c r="V4" s="508"/>
      <c r="W4" s="508"/>
      <c r="X4" s="508"/>
      <c r="Y4" s="508"/>
      <c r="Z4" s="508"/>
      <c r="AA4" s="508"/>
    </row>
    <row r="5" spans="1:27" ht="19.5" customHeight="1" thickBot="1" x14ac:dyDescent="0.4">
      <c r="A5" s="106" t="s">
        <v>101</v>
      </c>
      <c r="B5" s="81"/>
      <c r="C5" s="47"/>
      <c r="D5" s="47"/>
      <c r="E5" s="48"/>
      <c r="F5" s="47"/>
      <c r="G5" s="72"/>
      <c r="H5" s="599" t="s">
        <v>366</v>
      </c>
      <c r="I5" s="92"/>
      <c r="J5" s="93"/>
      <c r="K5" s="93"/>
      <c r="L5" s="94"/>
      <c r="M5" s="360"/>
      <c r="N5" s="49"/>
      <c r="O5" s="49"/>
      <c r="P5" s="49"/>
      <c r="Q5" s="49"/>
      <c r="R5" s="509"/>
      <c r="S5" s="509"/>
      <c r="T5" s="509"/>
      <c r="U5" s="509"/>
      <c r="V5" s="509"/>
      <c r="W5" s="509"/>
      <c r="X5" s="509"/>
      <c r="Y5" s="509"/>
      <c r="Z5" s="513"/>
      <c r="AA5" s="508"/>
    </row>
    <row r="6" spans="1:27" ht="15.75" customHeight="1" x14ac:dyDescent="0.3">
      <c r="A6" s="141"/>
      <c r="B6" s="142"/>
      <c r="C6" s="143"/>
      <c r="D6" s="144" t="s">
        <v>374</v>
      </c>
      <c r="E6" s="145">
        <v>12</v>
      </c>
      <c r="F6" s="431" t="s">
        <v>0</v>
      </c>
      <c r="G6" s="90"/>
      <c r="H6" s="462"/>
      <c r="I6" s="517"/>
      <c r="J6" s="210"/>
      <c r="K6" s="518" t="s">
        <v>681</v>
      </c>
      <c r="L6" s="653">
        <f>Lmin</f>
        <v>12.36128048780488</v>
      </c>
      <c r="M6" s="646" t="s">
        <v>96</v>
      </c>
      <c r="N6" s="49"/>
      <c r="O6" s="49"/>
      <c r="P6" s="49"/>
      <c r="Q6" s="49"/>
      <c r="R6" s="82"/>
      <c r="S6" s="82"/>
      <c r="T6" s="75"/>
      <c r="U6" s="75"/>
      <c r="V6" s="75"/>
      <c r="W6" s="75"/>
      <c r="X6" s="75"/>
      <c r="Y6" s="75"/>
      <c r="Z6" s="514"/>
      <c r="AA6" s="508"/>
    </row>
    <row r="7" spans="1:27" ht="14.25" customHeight="1" x14ac:dyDescent="0.35">
      <c r="A7" s="135"/>
      <c r="B7" s="134"/>
      <c r="C7" s="136"/>
      <c r="D7" s="146" t="s">
        <v>375</v>
      </c>
      <c r="E7" s="147">
        <v>15</v>
      </c>
      <c r="F7" s="432" t="s">
        <v>0</v>
      </c>
      <c r="G7" s="90"/>
      <c r="H7" s="88"/>
      <c r="I7" s="89"/>
      <c r="J7" s="87"/>
      <c r="K7" s="100" t="s">
        <v>372</v>
      </c>
      <c r="L7" s="147">
        <v>7</v>
      </c>
      <c r="M7" s="432" t="s">
        <v>96</v>
      </c>
      <c r="N7" s="49"/>
      <c r="O7" s="49"/>
      <c r="P7" s="49"/>
      <c r="Q7" s="49"/>
      <c r="R7" s="82"/>
      <c r="S7" s="82"/>
      <c r="T7" s="75"/>
      <c r="U7" s="75"/>
      <c r="V7" s="75"/>
      <c r="W7" s="75"/>
      <c r="X7" s="75"/>
      <c r="Y7" s="75"/>
      <c r="Z7" s="514"/>
      <c r="AA7" s="508"/>
    </row>
    <row r="8" spans="1:27" ht="15.75" customHeight="1" x14ac:dyDescent="0.3">
      <c r="A8" s="135"/>
      <c r="B8" s="134"/>
      <c r="C8" s="136"/>
      <c r="D8" s="146" t="s">
        <v>376</v>
      </c>
      <c r="E8" s="147">
        <v>17</v>
      </c>
      <c r="F8" s="432" t="s">
        <v>0</v>
      </c>
      <c r="G8" s="90"/>
      <c r="H8" s="88"/>
      <c r="I8" s="89"/>
      <c r="J8" s="87"/>
      <c r="K8" s="100" t="s">
        <v>540</v>
      </c>
      <c r="L8" s="147"/>
      <c r="M8" s="432" t="s">
        <v>20</v>
      </c>
      <c r="N8" s="49"/>
      <c r="O8" s="49"/>
      <c r="P8" s="49"/>
      <c r="Q8" s="49"/>
      <c r="R8" s="82"/>
      <c r="S8" s="82"/>
      <c r="T8" s="75"/>
      <c r="U8" s="75"/>
      <c r="V8" s="75"/>
      <c r="W8" s="75"/>
      <c r="X8" s="75"/>
      <c r="Y8" s="75"/>
      <c r="Z8" s="514"/>
      <c r="AA8" s="508"/>
    </row>
    <row r="9" spans="1:27" ht="15.75" customHeight="1" x14ac:dyDescent="0.3">
      <c r="A9" s="135"/>
      <c r="B9" s="134"/>
      <c r="C9" s="136"/>
      <c r="D9" s="146" t="s">
        <v>373</v>
      </c>
      <c r="E9" s="597">
        <v>32</v>
      </c>
      <c r="F9" s="148"/>
      <c r="G9" s="90"/>
      <c r="H9" s="88"/>
      <c r="I9" s="89"/>
      <c r="J9" s="87"/>
      <c r="K9" s="100" t="str">
        <f>CHOOSE(MODE, "Secondary Winding DCR", "Secondary Winding #1 DCR")</f>
        <v>Secondary Winding #1 DCR</v>
      </c>
      <c r="L9" s="147"/>
      <c r="M9" s="432" t="s">
        <v>20</v>
      </c>
      <c r="N9" s="49"/>
      <c r="O9" s="49"/>
      <c r="P9" s="49"/>
      <c r="Q9" s="49"/>
      <c r="R9" s="82"/>
      <c r="S9" s="82"/>
      <c r="T9" s="75"/>
      <c r="U9" s="75"/>
      <c r="V9" s="75"/>
      <c r="W9" s="75"/>
      <c r="X9" s="75"/>
      <c r="Y9" s="75"/>
      <c r="Z9" s="514"/>
      <c r="AA9" s="508"/>
    </row>
    <row r="10" spans="1:27" ht="15.75" customHeight="1" x14ac:dyDescent="0.3">
      <c r="A10" s="135"/>
      <c r="B10" s="134"/>
      <c r="C10" s="136"/>
      <c r="D10" s="146" t="str">
        <f>CHOOSE(MODE, "Output Voltage, VOUT ", "Output Voltage, VOUT1")</f>
        <v>Output Voltage, VOUT1</v>
      </c>
      <c r="E10" s="147">
        <v>15</v>
      </c>
      <c r="F10" s="432" t="s">
        <v>0</v>
      </c>
      <c r="G10" s="90"/>
      <c r="H10" s="88"/>
      <c r="I10" s="89"/>
      <c r="J10" s="87"/>
      <c r="K10" s="100" t="str">
        <f>CHOOSE(MODE, "", "Secondary Winding #2 DCR")</f>
        <v>Secondary Winding #2 DCR</v>
      </c>
      <c r="L10" s="147"/>
      <c r="M10" s="432" t="str">
        <f>CHOOSE(MODE, "", "mΩ")</f>
        <v>mΩ</v>
      </c>
      <c r="N10" s="49"/>
      <c r="O10" s="49"/>
      <c r="P10" s="49"/>
      <c r="Q10" s="49"/>
      <c r="R10" s="82"/>
      <c r="S10" s="82"/>
      <c r="T10" s="75"/>
      <c r="U10" s="75"/>
      <c r="V10" s="75"/>
      <c r="W10" s="75"/>
      <c r="X10" s="75"/>
      <c r="Y10" s="75"/>
      <c r="Z10" s="514"/>
      <c r="AA10" s="508"/>
    </row>
    <row r="11" spans="1:27" ht="15.75" customHeight="1" thickBot="1" x14ac:dyDescent="0.35">
      <c r="A11" s="138"/>
      <c r="B11" s="155"/>
      <c r="C11" s="515"/>
      <c r="D11" s="521" t="str">
        <f>CHOOSE(MODE, "Rated Output Current, IOUT ", "Rated Output Current, IOUT1")</f>
        <v>Rated Output Current, IOUT1</v>
      </c>
      <c r="E11" s="522">
        <v>1</v>
      </c>
      <c r="F11" s="523" t="s">
        <v>1</v>
      </c>
      <c r="G11" s="90"/>
      <c r="H11" s="88"/>
      <c r="I11" s="75"/>
      <c r="J11" s="75"/>
      <c r="K11" s="100" t="s">
        <v>685</v>
      </c>
      <c r="L11" s="147"/>
      <c r="M11" s="432" t="s">
        <v>684</v>
      </c>
      <c r="N11" s="49"/>
      <c r="O11" s="49"/>
      <c r="P11" s="49"/>
      <c r="Q11" s="49"/>
      <c r="R11" s="82"/>
      <c r="S11" s="82"/>
      <c r="T11" s="75"/>
      <c r="U11" s="75"/>
      <c r="V11" s="75"/>
      <c r="W11" s="75"/>
      <c r="X11" s="75"/>
      <c r="Y11" s="75"/>
      <c r="Z11" s="514"/>
      <c r="AA11" s="508"/>
    </row>
    <row r="12" spans="1:27" ht="15.75" customHeight="1" x14ac:dyDescent="0.3">
      <c r="A12" s="75"/>
      <c r="B12" s="75"/>
      <c r="C12" s="75"/>
      <c r="D12" s="146" t="str">
        <f>CHOOSE(MODE, "", "Output Voltage, VOUT2")</f>
        <v>Output Voltage, VOUT2</v>
      </c>
      <c r="E12" s="147">
        <v>7</v>
      </c>
      <c r="F12" s="432" t="str">
        <f>CHOOSE(MODE, "", "V", "V")</f>
        <v>V</v>
      </c>
      <c r="G12" s="90"/>
      <c r="H12" s="88"/>
      <c r="I12" s="89"/>
      <c r="J12" s="87"/>
      <c r="K12" s="86" t="str">
        <f>IF(MODE=1, "Transformer Turns Ratio, Pri : Sec", "Turns Ratio, PRI : SEC1")</f>
        <v>Turns Ratio, PRI : SEC1</v>
      </c>
      <c r="L12" s="440"/>
      <c r="M12" s="461"/>
      <c r="N12" s="49"/>
      <c r="O12" s="49"/>
      <c r="P12" s="49"/>
      <c r="Q12" s="49"/>
      <c r="R12" s="82"/>
      <c r="S12" s="82"/>
      <c r="T12" s="75"/>
      <c r="U12" s="75"/>
      <c r="V12" s="75"/>
      <c r="W12" s="75"/>
      <c r="X12" s="75"/>
      <c r="Y12" s="75"/>
      <c r="Z12" s="514"/>
      <c r="AA12" s="508"/>
    </row>
    <row r="13" spans="1:27" ht="15.75" customHeight="1" thickBot="1" x14ac:dyDescent="0.35">
      <c r="A13" s="138"/>
      <c r="B13" s="155"/>
      <c r="C13" s="515"/>
      <c r="D13" s="521" t="str">
        <f>CHOOSE(MODE, "", "Rated Output Current, IOUT2")</f>
        <v>Rated Output Current, IOUT2</v>
      </c>
      <c r="E13" s="522">
        <v>0.25</v>
      </c>
      <c r="F13" s="523" t="str">
        <f>CHOOSE(MODE, "", "A", "A")</f>
        <v>A</v>
      </c>
      <c r="G13" s="90"/>
      <c r="H13" s="135"/>
      <c r="I13" s="134"/>
      <c r="J13" s="136"/>
      <c r="K13" s="87" t="str">
        <f>CHOOSE(MODE, "Diode Max Rev Voltage (Spike Not Included)", "Turns Ratio, SEC1 : SEC2")</f>
        <v>Turns Ratio, SEC1 : SEC2</v>
      </c>
      <c r="L13" s="644">
        <f>CHOOSE(MODE, ROUND(VRRM_DIODE,0), ROUND(Nsec1sec2,2))</f>
        <v>0.5</v>
      </c>
      <c r="M13" s="461" t="str">
        <f>CHOOSE(MODE, "V", "")</f>
        <v/>
      </c>
      <c r="N13" s="49"/>
      <c r="O13" s="49"/>
      <c r="P13" s="49"/>
      <c r="Q13" s="49"/>
      <c r="R13" s="82"/>
      <c r="S13" s="82"/>
      <c r="T13" s="75"/>
      <c r="U13" s="75"/>
      <c r="V13" s="75"/>
      <c r="W13" s="75"/>
      <c r="X13" s="75"/>
      <c r="Y13" s="75"/>
      <c r="Z13" s="514"/>
      <c r="AA13" s="508"/>
    </row>
    <row r="14" spans="1:27" ht="15.75" customHeight="1" x14ac:dyDescent="0.3">
      <c r="A14" s="429"/>
      <c r="B14" s="75"/>
      <c r="C14" s="75"/>
      <c r="D14" s="75"/>
      <c r="E14" s="75"/>
      <c r="F14" s="524"/>
      <c r="G14" s="91"/>
      <c r="H14" s="135"/>
      <c r="I14" s="134"/>
      <c r="J14" s="616"/>
      <c r="K14" s="136" t="s">
        <v>679</v>
      </c>
      <c r="L14" s="648">
        <f>Don_Vinmin*100</f>
        <v>66.527196652719667</v>
      </c>
      <c r="M14" s="649" t="s">
        <v>680</v>
      </c>
      <c r="N14" s="49"/>
      <c r="O14" s="49"/>
      <c r="P14" s="49"/>
      <c r="Q14" s="49"/>
      <c r="R14" s="82"/>
      <c r="S14" s="82"/>
      <c r="T14" s="75"/>
      <c r="U14" s="75"/>
      <c r="V14" s="75"/>
      <c r="W14" s="75"/>
      <c r="X14" s="75"/>
      <c r="Y14" s="75"/>
      <c r="Z14" s="514"/>
      <c r="AA14" s="508"/>
    </row>
    <row r="15" spans="1:27" ht="19.5" customHeight="1" thickBot="1" x14ac:dyDescent="0.35">
      <c r="A15" s="106" t="s">
        <v>299</v>
      </c>
      <c r="B15" s="92"/>
      <c r="C15" s="93"/>
      <c r="D15" s="93"/>
      <c r="E15" s="94"/>
      <c r="F15" s="93"/>
      <c r="G15" s="90"/>
      <c r="H15" s="617"/>
      <c r="I15" s="512"/>
      <c r="J15" s="512"/>
      <c r="K15" s="515" t="str">
        <f>CHOOSE(MODE, "Max Output Current at VIN(min)", "Max Output Power at VIN(min)")</f>
        <v>Max Output Power at VIN(min)</v>
      </c>
      <c r="L15" s="651">
        <f>CHOOSE(MODE, 'Variable Mgmt'!B39, 'Variable Mgmt'!B38)</f>
        <v>15.547405857740586</v>
      </c>
      <c r="M15" s="650" t="str">
        <f>CHOOSE(MODE, "A", "W")</f>
        <v>W</v>
      </c>
      <c r="N15" s="49"/>
      <c r="O15" s="49"/>
      <c r="P15" s="49"/>
      <c r="Q15" s="49"/>
      <c r="R15" s="82"/>
      <c r="S15" s="82"/>
      <c r="T15" s="75"/>
      <c r="U15" s="75"/>
      <c r="V15" s="75"/>
      <c r="W15" s="75"/>
      <c r="X15" s="75"/>
      <c r="Y15" s="75"/>
      <c r="Z15" s="514"/>
      <c r="AA15" s="508"/>
    </row>
    <row r="16" spans="1:27" ht="15.75" customHeight="1" x14ac:dyDescent="0.3">
      <c r="A16" s="389"/>
      <c r="B16" s="590"/>
      <c r="C16" s="591"/>
      <c r="D16" s="210" t="s">
        <v>318</v>
      </c>
      <c r="E16" s="672">
        <f>'Variable Mgmt'!B111</f>
        <v>4.7</v>
      </c>
      <c r="F16" s="433" t="s">
        <v>97</v>
      </c>
      <c r="G16" s="90"/>
      <c r="H16" s="591"/>
      <c r="I16" s="49"/>
      <c r="J16" s="49"/>
      <c r="K16" s="656" t="s">
        <v>712</v>
      </c>
      <c r="L16" s="657">
        <f>'Calculations - Single'!BS105*1000</f>
        <v>0</v>
      </c>
      <c r="M16" s="591" t="s">
        <v>294</v>
      </c>
      <c r="N16" s="49"/>
      <c r="O16" s="49"/>
      <c r="P16" s="49"/>
      <c r="Q16" s="49"/>
      <c r="R16" s="82"/>
      <c r="S16" s="82"/>
      <c r="T16" s="75"/>
      <c r="U16" s="75"/>
      <c r="V16" s="75"/>
      <c r="W16" s="75"/>
      <c r="X16" s="75"/>
      <c r="Y16" s="75"/>
      <c r="Z16" s="514"/>
      <c r="AA16" s="508"/>
    </row>
    <row r="17" spans="1:27" ht="15.75" customHeight="1" x14ac:dyDescent="0.35">
      <c r="A17" s="97"/>
      <c r="B17" s="89"/>
      <c r="C17" s="96"/>
      <c r="D17" s="100" t="s">
        <v>141</v>
      </c>
      <c r="E17" s="98">
        <v>10</v>
      </c>
      <c r="F17" s="434" t="s">
        <v>97</v>
      </c>
      <c r="G17" s="90"/>
      <c r="H17" s="89"/>
      <c r="I17" s="49"/>
      <c r="J17" s="49"/>
      <c r="K17" s="656" t="s">
        <v>713</v>
      </c>
      <c r="L17" s="657">
        <f>'Calculations - Single'!BT105*1000</f>
        <v>0</v>
      </c>
      <c r="M17" s="89" t="s">
        <v>294</v>
      </c>
      <c r="N17" s="49"/>
      <c r="O17" s="49"/>
      <c r="P17" s="49"/>
      <c r="Q17" s="49"/>
      <c r="R17" s="82"/>
      <c r="S17" s="82"/>
      <c r="T17" s="75"/>
      <c r="U17" s="75"/>
      <c r="V17" s="75"/>
      <c r="W17" s="75"/>
      <c r="X17" s="75"/>
      <c r="Y17" s="75"/>
      <c r="Z17" s="514"/>
      <c r="AA17" s="508"/>
    </row>
    <row r="18" spans="1:27" ht="15.75" customHeight="1" x14ac:dyDescent="0.3">
      <c r="A18" s="97"/>
      <c r="B18" s="89"/>
      <c r="C18" s="152"/>
      <c r="D18" s="146" t="s">
        <v>104</v>
      </c>
      <c r="E18" s="151">
        <v>3</v>
      </c>
      <c r="F18" s="435" t="s">
        <v>20</v>
      </c>
      <c r="G18" s="90"/>
      <c r="H18" s="89"/>
      <c r="I18" s="49"/>
      <c r="J18" s="49"/>
      <c r="K18" s="656" t="s">
        <v>714</v>
      </c>
      <c r="L18" s="663">
        <f>'Calculations - Single'!U105</f>
        <v>3.4293280370738168</v>
      </c>
      <c r="M18" s="89" t="s">
        <v>1</v>
      </c>
      <c r="N18" s="49"/>
      <c r="O18" s="49"/>
      <c r="P18" s="49"/>
      <c r="Q18" s="49"/>
      <c r="R18" s="82"/>
      <c r="S18" s="82"/>
      <c r="T18" s="75"/>
      <c r="U18" s="75"/>
      <c r="V18" s="75"/>
      <c r="W18" s="75"/>
      <c r="X18" s="75"/>
      <c r="Y18" s="75"/>
      <c r="Z18" s="514"/>
      <c r="AA18" s="508"/>
    </row>
    <row r="19" spans="1:27" ht="15.75" customHeight="1" thickBot="1" x14ac:dyDescent="0.4">
      <c r="A19" s="101"/>
      <c r="B19" s="102"/>
      <c r="C19" s="108"/>
      <c r="D19" s="212" t="s">
        <v>509</v>
      </c>
      <c r="E19" s="213">
        <f>Vinripple2</f>
        <v>135.63829110911342</v>
      </c>
      <c r="F19" s="105" t="s">
        <v>103</v>
      </c>
      <c r="G19" s="90"/>
      <c r="H19" s="104"/>
      <c r="I19" s="512"/>
      <c r="J19" s="512"/>
      <c r="K19" s="668" t="s">
        <v>715</v>
      </c>
      <c r="L19" s="669">
        <f>Nps*L18</f>
        <v>5.1439920556107257</v>
      </c>
      <c r="M19" s="104" t="s">
        <v>1</v>
      </c>
      <c r="N19" s="49"/>
      <c r="O19" s="49"/>
      <c r="P19" s="49"/>
      <c r="Q19" s="49"/>
      <c r="R19" s="82"/>
      <c r="S19" s="82"/>
      <c r="T19" s="75"/>
      <c r="U19" s="75"/>
      <c r="V19" s="75"/>
      <c r="W19" s="75"/>
      <c r="X19" s="75"/>
      <c r="Y19" s="75"/>
      <c r="Z19" s="514"/>
      <c r="AA19" s="508"/>
    </row>
    <row r="20" spans="1:27" ht="15.75" customHeight="1" thickBot="1" x14ac:dyDescent="0.35">
      <c r="A20" s="426"/>
      <c r="B20" s="427"/>
      <c r="C20" s="428"/>
      <c r="D20" s="428" t="str">
        <f>CHOOSE(MODE, "Minimum Output Capacitance", "Minimum Output Capacitance, Output #1")</f>
        <v>Minimum Output Capacitance, Output #1</v>
      </c>
      <c r="E20" s="665">
        <f>'Variable Mgmt'!B86</f>
        <v>17.111543209876547</v>
      </c>
      <c r="F20" s="433" t="s">
        <v>97</v>
      </c>
      <c r="G20" s="601"/>
      <c r="H20" s="426"/>
      <c r="I20" s="600"/>
      <c r="J20" s="509"/>
      <c r="K20" s="518" t="str">
        <f>CHOOSE(MODE, "", "Minimum Output Capacitance, Output #2")</f>
        <v>Minimum Output Capacitance, Output #2</v>
      </c>
      <c r="L20" s="664">
        <f>'Variable Mgmt'!B96</f>
        <v>10</v>
      </c>
      <c r="M20" s="670" t="s">
        <v>97</v>
      </c>
      <c r="N20" s="49"/>
      <c r="O20" s="49"/>
      <c r="P20" s="49"/>
      <c r="Q20" s="49"/>
      <c r="R20" s="82"/>
      <c r="S20" s="82"/>
      <c r="T20" s="75"/>
      <c r="U20" s="75"/>
      <c r="V20" s="75"/>
      <c r="W20" s="75"/>
      <c r="X20" s="75"/>
      <c r="Y20" s="75"/>
      <c r="Z20" s="514"/>
      <c r="AA20" s="508"/>
    </row>
    <row r="21" spans="1:27" ht="15.75" customHeight="1" x14ac:dyDescent="0.3">
      <c r="A21" s="88"/>
      <c r="B21" s="89"/>
      <c r="C21" s="136"/>
      <c r="D21" s="153" t="s">
        <v>140</v>
      </c>
      <c r="E21" s="147">
        <v>44</v>
      </c>
      <c r="F21" s="432" t="s">
        <v>97</v>
      </c>
      <c r="G21" s="602"/>
      <c r="H21" s="89"/>
      <c r="I21" s="49"/>
      <c r="J21" s="75"/>
      <c r="K21" s="153" t="s">
        <v>548</v>
      </c>
      <c r="L21" s="147">
        <v>44</v>
      </c>
      <c r="M21" s="432" t="s">
        <v>97</v>
      </c>
      <c r="N21" s="49"/>
      <c r="O21" s="49"/>
      <c r="P21" s="49"/>
      <c r="Q21" s="49"/>
      <c r="R21" s="82"/>
      <c r="S21" s="82"/>
      <c r="T21" s="75"/>
      <c r="U21" s="75"/>
      <c r="V21" s="75"/>
      <c r="W21" s="75"/>
      <c r="X21" s="75"/>
      <c r="Y21" s="75"/>
      <c r="Z21" s="514"/>
      <c r="AA21" s="508"/>
    </row>
    <row r="22" spans="1:27" ht="16.5" customHeight="1" thickBot="1" x14ac:dyDescent="0.35">
      <c r="A22" s="88"/>
      <c r="B22" s="89"/>
      <c r="C22" s="152"/>
      <c r="D22" s="146" t="s">
        <v>549</v>
      </c>
      <c r="E22" s="151">
        <v>3</v>
      </c>
      <c r="F22" s="435" t="s">
        <v>20</v>
      </c>
      <c r="G22" s="603"/>
      <c r="H22" s="89"/>
      <c r="I22" s="49"/>
      <c r="J22" s="75"/>
      <c r="K22" s="146" t="s">
        <v>549</v>
      </c>
      <c r="L22" s="151">
        <v>3</v>
      </c>
      <c r="M22" s="435" t="s">
        <v>20</v>
      </c>
      <c r="N22" s="49"/>
      <c r="O22" s="49"/>
      <c r="P22" s="49"/>
      <c r="Q22" s="49"/>
      <c r="R22" s="82"/>
      <c r="S22" s="82"/>
      <c r="T22" s="75"/>
      <c r="U22" s="75"/>
      <c r="V22" s="75"/>
      <c r="W22" s="75"/>
      <c r="X22" s="75"/>
      <c r="Y22" s="75"/>
      <c r="Z22" s="514"/>
      <c r="AA22" s="508"/>
    </row>
    <row r="23" spans="1:27" ht="15.75" customHeight="1" thickBot="1" x14ac:dyDescent="0.4">
      <c r="A23" s="101"/>
      <c r="B23" s="104"/>
      <c r="C23" s="104"/>
      <c r="D23" s="212" t="str">
        <f>CHOOSE(MODE, "Resulting Output Voltage Ripple", "Resulting Output Voltage Ripple, Output #1")</f>
        <v>Resulting Output Voltage Ripple, Output #1</v>
      </c>
      <c r="E23" s="213">
        <f>Vripple1_actual</f>
        <v>2.1115303433847989</v>
      </c>
      <c r="F23" s="105" t="s">
        <v>103</v>
      </c>
      <c r="G23" s="601"/>
      <c r="H23" s="104"/>
      <c r="I23" s="512"/>
      <c r="J23" s="511"/>
      <c r="K23" s="212" t="str">
        <f>CHOOSE(MODE, "", "Resulting Output Voltage Ripple, Output #2")</f>
        <v>Resulting Output Voltage Ripple, Output #2</v>
      </c>
      <c r="L23" s="213">
        <f>Vripple2_actual</f>
        <v>2.1115303433847989</v>
      </c>
      <c r="M23" s="105" t="s">
        <v>103</v>
      </c>
      <c r="N23" s="49"/>
      <c r="O23" s="49"/>
      <c r="P23" s="49"/>
      <c r="Q23" s="49"/>
      <c r="R23" s="82"/>
      <c r="S23" s="82"/>
      <c r="T23" s="75"/>
      <c r="U23" s="75"/>
      <c r="V23" s="75"/>
      <c r="W23" s="75"/>
      <c r="X23" s="75"/>
      <c r="Y23" s="75"/>
      <c r="Z23" s="514"/>
      <c r="AA23" s="508"/>
    </row>
    <row r="24" spans="1:27" ht="13.5" customHeight="1" x14ac:dyDescent="0.3">
      <c r="A24" s="429"/>
      <c r="B24" s="75"/>
      <c r="C24" s="75"/>
      <c r="D24" s="75"/>
      <c r="E24" s="75"/>
      <c r="F24" s="75"/>
      <c r="G24" s="75"/>
      <c r="H24" s="75"/>
      <c r="I24" s="75"/>
      <c r="J24" s="75"/>
      <c r="K24" s="75"/>
      <c r="L24" s="75"/>
      <c r="M24" s="75"/>
      <c r="N24" s="49"/>
      <c r="O24" s="49"/>
      <c r="P24" s="49"/>
      <c r="Q24" s="49"/>
      <c r="R24" s="82"/>
      <c r="S24" s="82"/>
      <c r="T24" s="75"/>
      <c r="U24" s="75"/>
      <c r="V24" s="75"/>
      <c r="W24" s="75"/>
      <c r="X24" s="75"/>
      <c r="Y24" s="75"/>
      <c r="Z24" s="514"/>
      <c r="AA24" s="508"/>
    </row>
    <row r="25" spans="1:27" ht="19.5" customHeight="1" thickBot="1" x14ac:dyDescent="0.35">
      <c r="A25" s="106" t="s">
        <v>393</v>
      </c>
      <c r="B25" s="95"/>
      <c r="C25" s="89"/>
      <c r="D25" s="87"/>
      <c r="E25" s="89"/>
      <c r="F25" s="89"/>
      <c r="G25" s="89"/>
      <c r="H25" s="89"/>
      <c r="I25" s="49"/>
      <c r="J25" s="49"/>
      <c r="K25" s="49"/>
      <c r="L25" s="49"/>
      <c r="M25" s="49"/>
      <c r="N25" s="49"/>
      <c r="O25" s="49"/>
      <c r="P25" s="49"/>
      <c r="Q25" s="49"/>
      <c r="R25" s="82"/>
      <c r="S25" s="82"/>
      <c r="T25" s="75"/>
      <c r="U25" s="75"/>
      <c r="V25" s="75"/>
      <c r="W25" s="75"/>
      <c r="X25" s="75"/>
      <c r="Y25" s="75"/>
      <c r="Z25" s="514"/>
      <c r="AA25" s="508"/>
    </row>
    <row r="26" spans="1:27" ht="15.75" customHeight="1" x14ac:dyDescent="0.3">
      <c r="A26" s="141"/>
      <c r="B26" s="142"/>
      <c r="C26" s="210"/>
      <c r="D26" s="210" t="s">
        <v>378</v>
      </c>
      <c r="E26" s="594">
        <f>Rfb_recommend</f>
        <v>238.5</v>
      </c>
      <c r="F26" s="526" t="s">
        <v>21</v>
      </c>
      <c r="G26" s="89"/>
      <c r="H26" s="89"/>
      <c r="I26" s="49"/>
      <c r="J26" s="49"/>
      <c r="K26" s="49"/>
      <c r="L26" s="49"/>
      <c r="M26" s="49"/>
      <c r="N26" s="49"/>
      <c r="O26" s="49"/>
      <c r="P26" s="49"/>
      <c r="Q26" s="49"/>
      <c r="R26" s="82"/>
      <c r="S26" s="82"/>
      <c r="T26" s="75"/>
      <c r="U26" s="75"/>
      <c r="V26" s="75"/>
      <c r="W26" s="75"/>
      <c r="X26" s="75"/>
      <c r="Y26" s="75"/>
      <c r="Z26" s="514"/>
      <c r="AA26" s="508"/>
    </row>
    <row r="27" spans="1:27" ht="15.75" customHeight="1" thickBot="1" x14ac:dyDescent="0.35">
      <c r="A27" s="135"/>
      <c r="B27" s="134"/>
      <c r="C27" s="136"/>
      <c r="D27" s="153" t="s">
        <v>377</v>
      </c>
      <c r="E27" s="154">
        <v>240</v>
      </c>
      <c r="F27" s="148" t="str">
        <f>IF(Vout=Vref,"","kΩ")</f>
        <v>kΩ</v>
      </c>
      <c r="G27" s="89"/>
      <c r="H27" s="89"/>
      <c r="I27" s="49"/>
      <c r="J27" s="49"/>
      <c r="K27" s="49"/>
      <c r="L27" s="49"/>
      <c r="M27" s="49"/>
      <c r="N27" s="49"/>
      <c r="O27" s="49"/>
      <c r="P27" s="49"/>
      <c r="Q27" s="49"/>
      <c r="R27" s="82"/>
      <c r="S27" s="82"/>
      <c r="T27" s="75"/>
      <c r="U27" s="75"/>
      <c r="V27" s="75"/>
      <c r="W27" s="75"/>
      <c r="X27" s="75"/>
      <c r="Y27" s="75"/>
      <c r="Z27" s="514"/>
      <c r="AA27" s="508"/>
    </row>
    <row r="28" spans="1:27" ht="14.1" customHeight="1" x14ac:dyDescent="0.3">
      <c r="A28" s="393"/>
      <c r="B28" s="394"/>
      <c r="C28" s="395"/>
      <c r="D28" s="396" t="s">
        <v>293</v>
      </c>
      <c r="E28" s="397"/>
      <c r="F28" s="398"/>
      <c r="G28" s="90"/>
      <c r="H28" s="89"/>
      <c r="I28" s="49"/>
      <c r="J28" s="49"/>
      <c r="K28" s="49"/>
      <c r="L28" s="49"/>
      <c r="M28" s="49"/>
      <c r="N28" s="49"/>
      <c r="O28" s="49"/>
      <c r="P28" s="49"/>
      <c r="Q28" s="49"/>
      <c r="R28" s="82"/>
      <c r="S28" s="82"/>
      <c r="T28" s="75"/>
      <c r="U28" s="75"/>
      <c r="V28" s="75"/>
      <c r="W28" s="75"/>
      <c r="X28" s="75"/>
      <c r="Y28" s="75"/>
      <c r="Z28" s="514"/>
      <c r="AA28" s="508"/>
    </row>
    <row r="29" spans="1:27" ht="16.5" customHeight="1" x14ac:dyDescent="0.3">
      <c r="A29" s="135"/>
      <c r="B29" s="134"/>
      <c r="C29" s="134"/>
      <c r="D29" s="150" t="str">
        <f>CHOOSE(MODE_SS,"Soft-Start Time","*Leave SS Pin Open or Supply by Ext. Bias")</f>
        <v>Soft-Start Time</v>
      </c>
      <c r="E29" s="151">
        <v>9</v>
      </c>
      <c r="F29" s="148" t="s">
        <v>63</v>
      </c>
      <c r="G29" s="90"/>
      <c r="H29" s="89"/>
      <c r="I29" s="49"/>
      <c r="J29" s="49"/>
      <c r="K29" s="49"/>
      <c r="L29" s="49"/>
      <c r="M29" s="49"/>
      <c r="N29" s="49"/>
      <c r="O29" s="49"/>
      <c r="P29" s="49"/>
      <c r="Q29" s="49"/>
      <c r="R29" s="82"/>
      <c r="S29" s="82"/>
      <c r="T29" s="75"/>
      <c r="U29" s="75"/>
      <c r="V29" s="75"/>
      <c r="W29" s="75"/>
      <c r="X29" s="75"/>
      <c r="Y29" s="75"/>
      <c r="Z29" s="514"/>
      <c r="AA29" s="508"/>
    </row>
    <row r="30" spans="1:27" ht="16.5" customHeight="1" thickBot="1" x14ac:dyDescent="0.4">
      <c r="A30" s="138"/>
      <c r="B30" s="139"/>
      <c r="C30" s="139"/>
      <c r="D30" s="376" t="s">
        <v>142</v>
      </c>
      <c r="E30" s="392">
        <f>IF(Tss&gt;0.0006,Css_u*1000000000,"N/A")</f>
        <v>47</v>
      </c>
      <c r="F30" s="140" t="s">
        <v>56</v>
      </c>
      <c r="G30" s="90"/>
      <c r="H30" s="89"/>
      <c r="I30" s="49"/>
      <c r="J30" s="49"/>
      <c r="K30" s="49"/>
      <c r="L30" s="49"/>
      <c r="M30" s="49"/>
      <c r="N30" s="49"/>
      <c r="O30" s="49"/>
      <c r="P30" s="49"/>
      <c r="Q30" s="49"/>
      <c r="R30" s="82"/>
      <c r="S30" s="82"/>
      <c r="T30" s="75"/>
      <c r="U30" s="75"/>
      <c r="V30" s="75"/>
      <c r="W30" s="75"/>
      <c r="X30" s="75"/>
      <c r="Y30" s="75"/>
      <c r="Z30" s="514"/>
      <c r="AA30" s="508"/>
    </row>
    <row r="31" spans="1:27" ht="15.75" customHeight="1" x14ac:dyDescent="0.3">
      <c r="A31" s="135"/>
      <c r="B31" s="134"/>
      <c r="C31" s="134"/>
      <c r="D31" s="86" t="s">
        <v>391</v>
      </c>
      <c r="E31" s="149"/>
      <c r="F31" s="137"/>
      <c r="G31" s="89"/>
      <c r="H31" s="89"/>
      <c r="I31" s="49"/>
      <c r="J31" s="49"/>
      <c r="K31" s="49"/>
      <c r="L31" s="49"/>
      <c r="M31" s="49"/>
      <c r="N31" s="49"/>
      <c r="O31" s="49"/>
      <c r="P31" s="49"/>
      <c r="Q31" s="49"/>
      <c r="R31" s="82"/>
      <c r="S31" s="82"/>
      <c r="T31" s="75"/>
      <c r="U31" s="75"/>
      <c r="V31" s="75"/>
      <c r="W31" s="75"/>
      <c r="X31" s="75"/>
      <c r="Y31" s="75"/>
      <c r="Z31" s="514"/>
      <c r="AA31" s="508"/>
    </row>
    <row r="32" spans="1:27" ht="15.75" customHeight="1" x14ac:dyDescent="0.3">
      <c r="A32" s="135"/>
      <c r="B32" s="134"/>
      <c r="C32" s="134"/>
      <c r="D32" s="86" t="str">
        <f>CHOOSE(TC,"Diode Voltage Drop Thermal Coefficient","*Leave TC Pin Open")</f>
        <v>Diode Voltage Drop Thermal Coefficient</v>
      </c>
      <c r="E32" s="598">
        <v>-1.5</v>
      </c>
      <c r="F32" s="137" t="s">
        <v>390</v>
      </c>
      <c r="G32" s="89"/>
      <c r="H32" s="89"/>
      <c r="I32" s="49"/>
      <c r="J32" s="49"/>
      <c r="K32" s="49"/>
      <c r="L32" s="49"/>
      <c r="M32" s="49"/>
      <c r="N32" s="49"/>
      <c r="O32" s="49"/>
      <c r="P32" s="49"/>
      <c r="Q32" s="49"/>
      <c r="R32" s="82"/>
      <c r="S32" s="82"/>
      <c r="T32" s="75"/>
      <c r="U32" s="75"/>
      <c r="V32" s="75"/>
      <c r="W32" s="75"/>
      <c r="X32" s="75"/>
      <c r="Y32" s="75"/>
      <c r="Z32" s="514"/>
      <c r="AA32" s="508"/>
    </row>
    <row r="33" spans="1:35" ht="15.75" customHeight="1" thickBot="1" x14ac:dyDescent="0.35">
      <c r="A33" s="138"/>
      <c r="B33" s="155"/>
      <c r="C33" s="155"/>
      <c r="D33" s="515" t="s">
        <v>392</v>
      </c>
      <c r="E33" s="536">
        <f>RTC</f>
        <v>316</v>
      </c>
      <c r="F33" s="537" t="s">
        <v>21</v>
      </c>
      <c r="G33" s="89"/>
      <c r="H33" s="89"/>
      <c r="I33" s="49"/>
      <c r="J33" s="49"/>
      <c r="K33" s="73"/>
      <c r="L33" s="49"/>
      <c r="M33" s="49"/>
      <c r="N33" s="49"/>
      <c r="O33" s="49"/>
      <c r="P33" s="49"/>
      <c r="Q33" s="49"/>
      <c r="R33" s="82"/>
      <c r="S33" s="82"/>
      <c r="T33" s="75"/>
      <c r="U33" s="75"/>
      <c r="V33" s="75"/>
      <c r="W33" s="75"/>
      <c r="X33" s="75"/>
      <c r="Y33" s="75"/>
      <c r="Z33" s="514"/>
      <c r="AA33" s="508"/>
    </row>
    <row r="34" spans="1:35" ht="16.5" customHeight="1" x14ac:dyDescent="0.3">
      <c r="A34" s="135"/>
      <c r="B34" s="134"/>
      <c r="C34" s="134"/>
      <c r="D34" s="153" t="s">
        <v>307</v>
      </c>
      <c r="E34" s="149"/>
      <c r="F34" s="137"/>
      <c r="G34" s="89"/>
      <c r="H34" s="89"/>
      <c r="I34" s="49"/>
      <c r="J34" s="49"/>
      <c r="K34" s="49"/>
      <c r="L34" s="49"/>
      <c r="M34" s="49"/>
      <c r="N34" s="49"/>
      <c r="O34" s="49"/>
      <c r="P34" s="49"/>
      <c r="Q34" s="49"/>
      <c r="R34" s="82"/>
      <c r="S34" s="82"/>
      <c r="T34" s="75"/>
      <c r="U34" s="75"/>
      <c r="V34" s="75"/>
      <c r="W34" s="75"/>
      <c r="X34" s="75"/>
      <c r="Y34" s="75"/>
      <c r="Z34" s="514"/>
      <c r="AA34" s="508"/>
    </row>
    <row r="35" spans="1:35" ht="15.75" customHeight="1" x14ac:dyDescent="0.3">
      <c r="A35" s="135"/>
      <c r="B35" s="134"/>
      <c r="C35" s="152"/>
      <c r="D35" s="153" t="str">
        <f>CHOOSE(MODE_UVLO, "Input UVLO Turn-On Threshold", "*Connect EN pin to VIN or Logic HIGH")</f>
        <v>Input UVLO Turn-On Threshold</v>
      </c>
      <c r="E35" s="154">
        <v>9</v>
      </c>
      <c r="F35" s="148" t="s">
        <v>0</v>
      </c>
      <c r="G35" s="89"/>
      <c r="H35" s="89"/>
      <c r="I35" s="82"/>
      <c r="J35" s="82"/>
      <c r="K35" s="82"/>
      <c r="L35" s="214"/>
      <c r="M35" s="49"/>
      <c r="N35" s="49"/>
      <c r="O35" s="49"/>
      <c r="P35" s="49"/>
      <c r="Q35" s="49"/>
      <c r="R35" s="82"/>
      <c r="S35" s="82"/>
      <c r="T35" s="75"/>
      <c r="U35" s="75"/>
      <c r="V35" s="75"/>
      <c r="W35" s="75"/>
      <c r="X35" s="75"/>
      <c r="Y35" s="75"/>
      <c r="Z35" s="514"/>
      <c r="AA35" s="508"/>
    </row>
    <row r="36" spans="1:35" ht="15.75" customHeight="1" thickBot="1" x14ac:dyDescent="0.35">
      <c r="A36" s="138"/>
      <c r="B36" s="155"/>
      <c r="C36" s="155"/>
      <c r="D36" s="437" t="str">
        <f>CHOOSE(MODE_UVLO, "Input UVLO Turn-Off Threshold", "")</f>
        <v>Input UVLO Turn-Off Threshold</v>
      </c>
      <c r="E36" s="438">
        <v>7</v>
      </c>
      <c r="F36" s="439" t="s">
        <v>0</v>
      </c>
      <c r="G36" s="89"/>
      <c r="H36" s="136"/>
      <c r="I36" s="215"/>
      <c r="J36" s="217"/>
      <c r="K36" s="82"/>
      <c r="L36" s="82"/>
      <c r="M36" s="49"/>
      <c r="N36" s="49"/>
      <c r="O36" s="49"/>
      <c r="P36" s="49"/>
      <c r="Q36" s="49"/>
      <c r="R36" s="82"/>
      <c r="S36" s="82"/>
      <c r="T36" s="75"/>
      <c r="U36" s="75"/>
      <c r="V36" s="75"/>
      <c r="W36" s="75"/>
      <c r="X36" s="75"/>
      <c r="Y36" s="75"/>
      <c r="Z36" s="514"/>
      <c r="AA36" s="508"/>
    </row>
    <row r="37" spans="1:35" ht="15.75" customHeight="1" x14ac:dyDescent="0.3">
      <c r="A37" s="462"/>
      <c r="B37" s="134"/>
      <c r="C37" s="152"/>
      <c r="D37" s="136" t="s">
        <v>382</v>
      </c>
      <c r="E37" s="585">
        <f>'Variable Mgmt'!F142</f>
        <v>340</v>
      </c>
      <c r="F37" s="137" t="s">
        <v>21</v>
      </c>
      <c r="G37" s="89"/>
      <c r="H37" s="219"/>
      <c r="I37" s="150"/>
      <c r="J37" s="596"/>
      <c r="K37" s="218"/>
      <c r="L37" s="82"/>
      <c r="M37" s="49"/>
      <c r="N37" s="49"/>
      <c r="O37" s="49"/>
      <c r="P37" s="49"/>
      <c r="Q37" s="49"/>
      <c r="R37" s="82"/>
      <c r="S37" s="82"/>
      <c r="T37" s="75"/>
      <c r="U37" s="75"/>
      <c r="V37" s="75"/>
      <c r="W37" s="75"/>
      <c r="X37" s="75"/>
      <c r="Y37" s="75"/>
      <c r="Z37" s="514"/>
      <c r="AA37" s="508"/>
    </row>
    <row r="38" spans="1:35" ht="15.75" customHeight="1" thickBot="1" x14ac:dyDescent="0.35">
      <c r="A38" s="138"/>
      <c r="B38" s="155"/>
      <c r="C38" s="155"/>
      <c r="D38" s="515" t="s">
        <v>295</v>
      </c>
      <c r="E38" s="516">
        <f>'Variable Mgmt'!F143</f>
        <v>68.100000000000009</v>
      </c>
      <c r="F38" s="140" t="s">
        <v>21</v>
      </c>
      <c r="G38" s="89"/>
      <c r="H38" s="89"/>
      <c r="I38" s="82"/>
      <c r="J38" s="216"/>
      <c r="K38" s="82"/>
      <c r="L38" s="82"/>
      <c r="M38" s="49"/>
      <c r="N38" s="49"/>
      <c r="O38" s="49"/>
      <c r="P38" s="49"/>
      <c r="Q38" s="49" t="s">
        <v>78</v>
      </c>
      <c r="R38" s="82"/>
      <c r="S38" s="82"/>
      <c r="T38" s="75"/>
      <c r="U38" s="75"/>
      <c r="V38" s="75"/>
      <c r="W38" s="75"/>
      <c r="X38" s="75"/>
      <c r="Y38" s="75"/>
      <c r="Z38" s="514"/>
      <c r="AA38" s="508"/>
    </row>
    <row r="39" spans="1:35" ht="13.5" customHeight="1" x14ac:dyDescent="0.3">
      <c r="A39" s="462"/>
      <c r="B39" s="517"/>
      <c r="C39" s="517"/>
      <c r="D39" s="518"/>
      <c r="E39" s="519"/>
      <c r="F39" s="520"/>
      <c r="G39" s="89"/>
      <c r="H39" s="89"/>
      <c r="I39" s="49"/>
      <c r="J39" s="74"/>
      <c r="K39" s="49"/>
      <c r="L39" s="49"/>
      <c r="M39" s="49"/>
      <c r="N39" s="49"/>
      <c r="O39" s="49"/>
      <c r="P39" s="49"/>
      <c r="Q39" s="49"/>
      <c r="R39" s="82"/>
      <c r="S39" s="82"/>
      <c r="T39" s="75"/>
      <c r="U39" s="75"/>
      <c r="V39" s="75"/>
      <c r="W39" s="75"/>
      <c r="X39" s="75"/>
      <c r="Y39" s="75"/>
      <c r="Z39" s="514"/>
      <c r="AA39" s="508"/>
    </row>
    <row r="40" spans="1:35" ht="19.5" customHeight="1" thickBot="1" x14ac:dyDescent="0.35">
      <c r="A40" s="463" t="s">
        <v>508</v>
      </c>
      <c r="B40" s="89"/>
      <c r="C40" s="89"/>
      <c r="D40" s="87"/>
      <c r="E40" s="99"/>
      <c r="F40" s="89"/>
      <c r="G40" s="89"/>
      <c r="H40" s="89"/>
      <c r="I40" s="49"/>
      <c r="J40" s="74"/>
      <c r="K40" s="49"/>
      <c r="L40" s="49"/>
      <c r="M40" s="49"/>
      <c r="N40" s="49"/>
      <c r="O40" s="49"/>
      <c r="P40" s="49"/>
      <c r="Q40" s="49"/>
      <c r="R40" s="82"/>
      <c r="S40" s="82"/>
      <c r="T40" s="75"/>
      <c r="U40" s="75"/>
      <c r="V40" s="75"/>
      <c r="W40" s="75"/>
      <c r="X40" s="75"/>
      <c r="Y40" s="75"/>
      <c r="Z40" s="514"/>
      <c r="AA40" s="508"/>
    </row>
    <row r="41" spans="1:35" ht="15.75" customHeight="1" x14ac:dyDescent="0.35">
      <c r="A41" s="581"/>
      <c r="B41" s="509"/>
      <c r="C41" s="509"/>
      <c r="D41" s="582" t="s">
        <v>661</v>
      </c>
      <c r="E41" s="586">
        <v>0.9</v>
      </c>
      <c r="F41" s="583" t="s">
        <v>0</v>
      </c>
      <c r="G41" s="89"/>
      <c r="H41" s="89"/>
      <c r="I41" s="49"/>
      <c r="J41" s="74"/>
      <c r="K41" s="49"/>
      <c r="L41" s="49"/>
      <c r="M41" s="49"/>
      <c r="N41" s="49"/>
      <c r="O41" s="49"/>
      <c r="P41" s="49"/>
      <c r="Q41" s="49"/>
      <c r="R41" s="82"/>
      <c r="S41" s="82"/>
      <c r="T41" s="75"/>
      <c r="U41" s="75"/>
      <c r="V41" s="75"/>
      <c r="W41" s="75"/>
      <c r="X41" s="75"/>
      <c r="Y41" s="75"/>
      <c r="Z41" s="514"/>
      <c r="AA41" s="508"/>
    </row>
    <row r="42" spans="1:35" ht="15.75" customHeight="1" x14ac:dyDescent="0.35">
      <c r="A42" s="429"/>
      <c r="B42" s="75"/>
      <c r="C42" s="75"/>
      <c r="D42" s="642" t="s">
        <v>662</v>
      </c>
      <c r="E42" s="98">
        <v>0.9</v>
      </c>
      <c r="F42" s="434" t="s">
        <v>0</v>
      </c>
      <c r="G42" s="89"/>
      <c r="H42" s="89"/>
      <c r="I42" s="49"/>
      <c r="J42" s="74"/>
      <c r="K42" s="49"/>
      <c r="L42" s="49"/>
      <c r="M42" s="49"/>
      <c r="N42" s="49"/>
      <c r="O42" s="49"/>
      <c r="P42" s="49"/>
      <c r="Q42" s="49"/>
      <c r="R42" s="82"/>
      <c r="S42" s="82"/>
      <c r="T42" s="75"/>
      <c r="U42" s="75"/>
      <c r="V42" s="75"/>
      <c r="W42" s="75"/>
      <c r="X42" s="75"/>
      <c r="Y42" s="75"/>
      <c r="Z42" s="514"/>
      <c r="AA42" s="508"/>
    </row>
    <row r="43" spans="1:35" ht="15.75" customHeight="1" x14ac:dyDescent="0.3">
      <c r="A43" s="88"/>
      <c r="B43" s="134"/>
      <c r="C43" s="134"/>
      <c r="D43" s="153" t="s">
        <v>306</v>
      </c>
      <c r="E43" s="580">
        <v>90</v>
      </c>
      <c r="F43" s="435" t="s">
        <v>84</v>
      </c>
      <c r="G43" s="89"/>
      <c r="H43" s="89"/>
      <c r="I43" s="49"/>
      <c r="J43" s="74"/>
      <c r="K43" s="49"/>
      <c r="L43" s="49"/>
      <c r="M43" s="49"/>
      <c r="N43" s="49"/>
      <c r="O43" s="49"/>
      <c r="P43" s="49"/>
      <c r="Q43" s="49"/>
      <c r="R43" s="82"/>
      <c r="S43" s="82"/>
      <c r="T43" s="75"/>
      <c r="U43" s="75"/>
      <c r="V43" s="75"/>
      <c r="W43" s="75"/>
      <c r="X43" s="75"/>
      <c r="Y43" s="75"/>
      <c r="Z43" s="514"/>
      <c r="AA43" s="508"/>
    </row>
    <row r="44" spans="1:35" ht="15.75" customHeight="1" x14ac:dyDescent="0.35">
      <c r="A44" s="88"/>
      <c r="B44" s="89"/>
      <c r="C44" s="89"/>
      <c r="D44" s="86" t="s">
        <v>518</v>
      </c>
      <c r="E44" s="377">
        <v>25</v>
      </c>
      <c r="F44" s="434" t="s">
        <v>102</v>
      </c>
      <c r="G44" s="89"/>
      <c r="H44" s="89"/>
      <c r="I44" s="49"/>
      <c r="J44" s="49"/>
      <c r="K44" s="49"/>
      <c r="L44" s="49"/>
      <c r="M44" s="49"/>
      <c r="N44" s="49"/>
      <c r="O44" s="49"/>
      <c r="P44" s="49"/>
      <c r="Q44" s="49"/>
      <c r="R44" s="82"/>
      <c r="S44" s="82"/>
      <c r="T44" s="75"/>
      <c r="U44" s="75"/>
      <c r="V44" s="75"/>
      <c r="W44" s="75"/>
      <c r="X44" s="75"/>
      <c r="Y44" s="75"/>
      <c r="Z44" s="514"/>
      <c r="AA44" s="508"/>
    </row>
    <row r="45" spans="1:35" ht="15.75" customHeight="1" x14ac:dyDescent="0.35">
      <c r="A45" s="88"/>
      <c r="B45" s="89"/>
      <c r="C45" s="89"/>
      <c r="D45" s="87" t="s">
        <v>695</v>
      </c>
      <c r="E45" s="373">
        <f>CHOOSE(MODE, 'Calculations - Single'!BN105, 'Calculations - Dual'!BM105)</f>
        <v>723.81331554032249</v>
      </c>
      <c r="F45" s="103" t="s">
        <v>294</v>
      </c>
      <c r="G45" s="89"/>
      <c r="H45" s="89"/>
      <c r="I45" s="49"/>
      <c r="J45" s="49"/>
      <c r="K45" s="49"/>
      <c r="L45" s="49"/>
      <c r="M45" s="49"/>
      <c r="N45" s="49"/>
      <c r="O45" s="49"/>
      <c r="P45" s="49"/>
      <c r="Q45" s="49"/>
      <c r="R45" s="82"/>
      <c r="S45" s="82"/>
      <c r="T45" s="75"/>
      <c r="U45" s="75"/>
      <c r="V45" s="75"/>
      <c r="W45" s="75"/>
      <c r="X45" s="75"/>
      <c r="Y45" s="75"/>
      <c r="Z45" s="514"/>
      <c r="AA45" s="508"/>
    </row>
    <row r="46" spans="1:35" ht="15.75" customHeight="1" thickBot="1" x14ac:dyDescent="0.4">
      <c r="A46" s="101"/>
      <c r="B46" s="102"/>
      <c r="C46" s="102"/>
      <c r="D46" s="376" t="s">
        <v>696</v>
      </c>
      <c r="E46" s="525">
        <f>E44+E45/1000*E43</f>
        <v>90.143198398629025</v>
      </c>
      <c r="F46" s="436" t="s">
        <v>102</v>
      </c>
      <c r="G46" s="89"/>
      <c r="H46" s="89"/>
      <c r="I46" s="49"/>
      <c r="J46" s="49"/>
      <c r="K46" s="49"/>
      <c r="L46" s="49"/>
      <c r="M46" s="49"/>
      <c r="N46" s="49"/>
      <c r="O46" s="49"/>
      <c r="P46" s="49"/>
      <c r="Q46" s="49"/>
      <c r="R46" s="82"/>
      <c r="S46" s="82"/>
      <c r="T46" s="75"/>
      <c r="U46" s="75"/>
      <c r="V46" s="75"/>
      <c r="W46" s="75"/>
      <c r="X46" s="75"/>
      <c r="Y46" s="75"/>
      <c r="Z46" s="514"/>
      <c r="AA46" s="508"/>
    </row>
    <row r="47" spans="1:35" ht="15.75" customHeight="1" thickBot="1" x14ac:dyDescent="0.35">
      <c r="A47" s="101"/>
      <c r="B47" s="104"/>
      <c r="C47" s="104"/>
      <c r="D47" s="104"/>
      <c r="E47" s="574"/>
      <c r="F47" s="104"/>
      <c r="G47" s="104"/>
      <c r="H47" s="104"/>
      <c r="I47" s="512"/>
      <c r="J47" s="512"/>
      <c r="K47" s="512"/>
      <c r="L47" s="512"/>
      <c r="M47" s="512"/>
      <c r="N47" s="512"/>
      <c r="O47" s="512"/>
      <c r="P47" s="512"/>
      <c r="Q47" s="512"/>
      <c r="R47" s="510"/>
      <c r="S47" s="510"/>
      <c r="T47" s="510"/>
      <c r="U47" s="511"/>
      <c r="V47" s="511"/>
      <c r="W47" s="510"/>
      <c r="X47" s="510"/>
      <c r="Y47" s="510"/>
      <c r="Z47" s="575"/>
      <c r="AA47" s="508"/>
      <c r="AB47" s="23"/>
      <c r="AC47" s="23"/>
      <c r="AD47" s="23"/>
      <c r="AG47" s="23"/>
      <c r="AH47" s="23"/>
      <c r="AI47" s="23"/>
    </row>
    <row r="48" spans="1:35" x14ac:dyDescent="0.3">
      <c r="A48" s="419"/>
      <c r="B48" s="420"/>
      <c r="C48" s="421"/>
      <c r="D48" s="421"/>
      <c r="E48" s="421"/>
      <c r="F48" s="421"/>
      <c r="G48" s="421"/>
      <c r="H48" s="421"/>
      <c r="I48" s="421"/>
      <c r="J48" s="421"/>
      <c r="K48" s="421"/>
      <c r="L48" s="421"/>
      <c r="M48" s="421"/>
      <c r="N48" s="421"/>
      <c r="O48" s="421"/>
      <c r="P48" s="421"/>
      <c r="Q48" s="421"/>
      <c r="R48" s="418"/>
      <c r="S48" s="418"/>
      <c r="T48" s="418"/>
      <c r="U48" s="508"/>
      <c r="V48" s="508"/>
      <c r="W48" s="418"/>
      <c r="X48" s="418"/>
      <c r="Y48" s="418"/>
      <c r="Z48" s="508"/>
      <c r="AA48" s="508"/>
      <c r="AB48" s="23"/>
      <c r="AC48" s="23"/>
      <c r="AD48" s="23"/>
      <c r="AG48" s="23"/>
      <c r="AH48" s="23"/>
      <c r="AI48" s="23"/>
    </row>
    <row r="49" spans="1:35" x14ac:dyDescent="0.3">
      <c r="A49" s="45"/>
      <c r="B49" s="45"/>
      <c r="C49" s="45"/>
      <c r="D49" s="45"/>
      <c r="E49" s="45"/>
      <c r="F49" s="45"/>
      <c r="G49" s="45"/>
      <c r="H49" s="45"/>
      <c r="I49" s="45"/>
      <c r="J49" s="45"/>
      <c r="K49" s="45"/>
      <c r="L49" s="45"/>
      <c r="M49" s="45"/>
      <c r="N49" s="45"/>
      <c r="O49" s="45"/>
      <c r="P49" s="45"/>
      <c r="Q49" s="45"/>
      <c r="R49" s="23"/>
      <c r="S49" s="23"/>
      <c r="T49" s="23"/>
      <c r="W49" s="23"/>
      <c r="X49" s="23"/>
      <c r="Y49" s="23"/>
      <c r="AB49" s="23"/>
      <c r="AC49" s="23"/>
      <c r="AD49" s="23"/>
      <c r="AG49" s="23"/>
      <c r="AH49" s="23"/>
      <c r="AI49" s="23"/>
    </row>
    <row r="50" spans="1:35" x14ac:dyDescent="0.3">
      <c r="B50" s="45"/>
      <c r="C50" s="45"/>
      <c r="D50" s="45"/>
      <c r="E50" s="45"/>
      <c r="F50" s="45"/>
      <c r="G50" s="45"/>
      <c r="H50" s="45"/>
      <c r="I50" s="45"/>
      <c r="J50" s="45"/>
      <c r="K50" s="45"/>
      <c r="L50" s="45"/>
      <c r="R50" s="23"/>
      <c r="S50" s="23"/>
      <c r="T50" s="23"/>
      <c r="W50" s="23"/>
      <c r="X50" s="23"/>
      <c r="Y50" s="23"/>
      <c r="AB50" s="23"/>
      <c r="AC50" s="23"/>
      <c r="AD50" s="23"/>
      <c r="AG50" s="23"/>
      <c r="AH50" s="23"/>
      <c r="AI50" s="23"/>
    </row>
    <row r="51" spans="1:35" x14ac:dyDescent="0.3">
      <c r="B51" s="45"/>
      <c r="C51" s="45"/>
      <c r="D51" s="45"/>
      <c r="E51" s="45"/>
      <c r="F51" s="45"/>
      <c r="G51" s="45"/>
      <c r="H51" s="45"/>
      <c r="I51" s="45"/>
      <c r="J51" s="45"/>
      <c r="K51" s="45"/>
      <c r="L51" s="45"/>
      <c r="R51" s="23"/>
      <c r="S51" s="23"/>
      <c r="T51" s="23"/>
      <c r="W51" s="23"/>
      <c r="X51" s="23"/>
      <c r="Y51" s="23"/>
      <c r="AB51" s="23"/>
      <c r="AC51" s="23"/>
      <c r="AD51" s="23"/>
      <c r="AG51" s="23"/>
      <c r="AH51" s="23"/>
      <c r="AI51" s="23"/>
    </row>
    <row r="52" spans="1:35" x14ac:dyDescent="0.3">
      <c r="B52" s="45"/>
      <c r="C52" s="45"/>
      <c r="D52" s="45"/>
      <c r="E52" s="45"/>
      <c r="F52" s="45"/>
      <c r="G52" s="45"/>
      <c r="H52" s="45"/>
      <c r="I52" s="45"/>
      <c r="J52" s="45"/>
      <c r="K52" s="45"/>
      <c r="L52" s="45"/>
      <c r="R52" s="23"/>
      <c r="S52" s="23"/>
      <c r="T52" s="23"/>
      <c r="W52" s="23"/>
      <c r="X52" s="23"/>
      <c r="Y52" s="23"/>
      <c r="AB52" s="23"/>
      <c r="AC52" s="23"/>
      <c r="AD52" s="23"/>
      <c r="AG52" s="23"/>
      <c r="AH52" s="23"/>
      <c r="AI52" s="23"/>
    </row>
    <row r="53" spans="1:35" x14ac:dyDescent="0.3">
      <c r="B53" s="45"/>
      <c r="C53" s="45"/>
      <c r="D53" s="45"/>
      <c r="E53" s="45"/>
      <c r="F53" s="45"/>
      <c r="G53" s="45"/>
      <c r="H53" s="45"/>
      <c r="I53" s="45"/>
      <c r="J53" s="45"/>
      <c r="K53" s="45"/>
      <c r="L53" s="45"/>
      <c r="R53" s="23"/>
      <c r="S53" s="23"/>
      <c r="T53" s="23"/>
      <c r="W53" s="23"/>
      <c r="X53" s="23"/>
      <c r="Y53" s="23"/>
      <c r="AB53" s="23"/>
      <c r="AC53" s="23"/>
      <c r="AD53" s="23"/>
      <c r="AG53" s="23"/>
      <c r="AH53" s="23"/>
      <c r="AI53" s="23"/>
    </row>
  </sheetData>
  <sheetProtection password="CCC8" sheet="1" objects="1" scenarios="1" selectLockedCells="1"/>
  <phoneticPr fontId="6" type="noConversion"/>
  <conditionalFormatting sqref="E6:E8">
    <cfRule type="cellIs" dxfId="61" priority="105" stopIfTrue="1" operator="notBetween">
      <formula>42</formula>
      <formula>4.5</formula>
    </cfRule>
  </conditionalFormatting>
  <conditionalFormatting sqref="E10">
    <cfRule type="cellIs" dxfId="60" priority="102" stopIfTrue="1" operator="notBetween">
      <formula>-200</formula>
      <formula>200</formula>
    </cfRule>
  </conditionalFormatting>
  <conditionalFormatting sqref="E21">
    <cfRule type="cellIs" dxfId="59" priority="99" stopIfTrue="1" operator="lessThan">
      <formula>$E$20</formula>
    </cfRule>
  </conditionalFormatting>
  <conditionalFormatting sqref="E17">
    <cfRule type="cellIs" dxfId="58" priority="95" stopIfTrue="1" operator="lessThan">
      <formula>$E$16</formula>
    </cfRule>
  </conditionalFormatting>
  <conditionalFormatting sqref="E18">
    <cfRule type="cellIs" dxfId="57" priority="94" stopIfTrue="1" operator="equal">
      <formula>0</formula>
    </cfRule>
  </conditionalFormatting>
  <conditionalFormatting sqref="E35">
    <cfRule type="cellIs" dxfId="56" priority="91" operator="notBetween">
      <formula>42</formula>
      <formula>4.5</formula>
    </cfRule>
  </conditionalFormatting>
  <conditionalFormatting sqref="E29">
    <cfRule type="cellIs" dxfId="55" priority="89" operator="lessThan">
      <formula>6</formula>
    </cfRule>
  </conditionalFormatting>
  <conditionalFormatting sqref="F14">
    <cfRule type="expression" dxfId="54" priority="78">
      <formula>(MODE=2)</formula>
    </cfRule>
  </conditionalFormatting>
  <conditionalFormatting sqref="E29:F29">
    <cfRule type="expression" dxfId="53" priority="73">
      <formula>OR(MODE_SS=2,MODE_SS=3)</formula>
    </cfRule>
  </conditionalFormatting>
  <conditionalFormatting sqref="D29">
    <cfRule type="expression" dxfId="52" priority="72">
      <formula>OR(MODE_SS=2,MODE_SS=3)</formula>
    </cfRule>
  </conditionalFormatting>
  <conditionalFormatting sqref="D30:F30">
    <cfRule type="expression" dxfId="51" priority="71">
      <formula>OR(MODE_SS=2,MODE_SS=3)</formula>
    </cfRule>
  </conditionalFormatting>
  <conditionalFormatting sqref="D35">
    <cfRule type="expression" dxfId="50" priority="69">
      <formula>MODE_UVLO=2</formula>
    </cfRule>
  </conditionalFormatting>
  <conditionalFormatting sqref="C37:F39 E35:F36">
    <cfRule type="expression" dxfId="49" priority="43">
      <formula>MODE_UVLO=2</formula>
    </cfRule>
  </conditionalFormatting>
  <conditionalFormatting sqref="D36">
    <cfRule type="expression" dxfId="48" priority="66">
      <formula>MODE_UVLO=2</formula>
    </cfRule>
  </conditionalFormatting>
  <conditionalFormatting sqref="E46">
    <cfRule type="cellIs" dxfId="47" priority="51" operator="notBetween">
      <formula>-40</formula>
      <formula>150</formula>
    </cfRule>
  </conditionalFormatting>
  <conditionalFormatting sqref="E44">
    <cfRule type="cellIs" dxfId="46" priority="50" operator="notBetween">
      <formula>-40</formula>
      <formula>150</formula>
    </cfRule>
  </conditionalFormatting>
  <conditionalFormatting sqref="F20">
    <cfRule type="cellIs" dxfId="45" priority="49" stopIfTrue="1" operator="lessThanOrEqual">
      <formula>0</formula>
    </cfRule>
  </conditionalFormatting>
  <conditionalFormatting sqref="A36:F36">
    <cfRule type="expression" dxfId="44" priority="33">
      <formula>MODE_UVLO=1</formula>
    </cfRule>
  </conditionalFormatting>
  <conditionalFormatting sqref="A39:F39">
    <cfRule type="expression" dxfId="43" priority="42">
      <formula>MODE_UVLO=2</formula>
    </cfRule>
  </conditionalFormatting>
  <conditionalFormatting sqref="F37:F38">
    <cfRule type="expression" dxfId="42" priority="41">
      <formula>MODE_UVLO=2</formula>
    </cfRule>
  </conditionalFormatting>
  <conditionalFormatting sqref="E36">
    <cfRule type="cellIs" dxfId="41" priority="67" operator="notBetween">
      <formula>3.5</formula>
      <formula>$E$35</formula>
    </cfRule>
  </conditionalFormatting>
  <conditionalFormatting sqref="F16">
    <cfRule type="cellIs" dxfId="40" priority="31" stopIfTrue="1" operator="lessThanOrEqual">
      <formula>0</formula>
    </cfRule>
  </conditionalFormatting>
  <conditionalFormatting sqref="E11">
    <cfRule type="cellIs" dxfId="39" priority="30" operator="between">
      <formula>-0.0099</formula>
      <formula>0.0099</formula>
    </cfRule>
  </conditionalFormatting>
  <conditionalFormatting sqref="J37">
    <cfRule type="cellIs" dxfId="38" priority="113" stopIfTrue="1" operator="notBetween">
      <formula>600</formula>
      <formula>50</formula>
    </cfRule>
    <cfRule type="cellIs" dxfId="37" priority="114" stopIfTrue="1" operator="greaterThan">
      <formula>$E$9</formula>
    </cfRule>
  </conditionalFormatting>
  <conditionalFormatting sqref="E12">
    <cfRule type="cellIs" dxfId="36" priority="29" operator="notBetween">
      <formula>-200</formula>
      <formula>200</formula>
    </cfRule>
  </conditionalFormatting>
  <conditionalFormatting sqref="E13">
    <cfRule type="cellIs" dxfId="35" priority="27" operator="between">
      <formula>-0.0099</formula>
      <formula>0.0099</formula>
    </cfRule>
  </conditionalFormatting>
  <conditionalFormatting sqref="E13">
    <cfRule type="expression" dxfId="34" priority="28">
      <formula>Iout2 &gt; 2</formula>
    </cfRule>
  </conditionalFormatting>
  <conditionalFormatting sqref="E22">
    <cfRule type="cellIs" dxfId="33" priority="23" stopIfTrue="1" operator="equal">
      <formula>0</formula>
    </cfRule>
  </conditionalFormatting>
  <conditionalFormatting sqref="D32">
    <cfRule type="expression" dxfId="32" priority="18">
      <formula>OR(TC=2)</formula>
    </cfRule>
  </conditionalFormatting>
  <conditionalFormatting sqref="D33:F33 E32:F32">
    <cfRule type="expression" dxfId="31" priority="17">
      <formula>OR(TC=2)</formula>
    </cfRule>
  </conditionalFormatting>
  <conditionalFormatting sqref="L22">
    <cfRule type="cellIs" dxfId="30" priority="11" stopIfTrue="1" operator="equal">
      <formula>0</formula>
    </cfRule>
  </conditionalFormatting>
  <conditionalFormatting sqref="L21">
    <cfRule type="cellIs" dxfId="29" priority="13" stopIfTrue="1" operator="lessThan">
      <formula>$L$20</formula>
    </cfRule>
  </conditionalFormatting>
  <conditionalFormatting sqref="M20">
    <cfRule type="cellIs" dxfId="28" priority="12" stopIfTrue="1" operator="lessThanOrEqual">
      <formula>0</formula>
    </cfRule>
  </conditionalFormatting>
  <hyperlinks>
    <hyperlink ref="C3" r:id="rId1" xr:uid="{00000000-0004-0000-0000-000000000000}"/>
  </hyperlinks>
  <printOptions horizontalCentered="1" verticalCentered="1"/>
  <pageMargins left="0.1" right="0.1" top="0.1" bottom="0.1" header="0.25" footer="0.25"/>
  <pageSetup scale="61" orientation="landscape" r:id="rId2"/>
  <headerFooter alignWithMargins="0"/>
  <rowBreaks count="1" manualBreakCount="1">
    <brk id="48" max="16383" man="1"/>
  </rowBreaks>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672895" r:id="rId6" name="Spinner 127">
              <controlPr defaultSize="0" autoPict="0">
                <anchor moveWithCells="1" sizeWithCells="1">
                  <from>
                    <xdr:col>5</xdr:col>
                    <xdr:colOff>121920</xdr:colOff>
                    <xdr:row>6</xdr:row>
                    <xdr:rowOff>7620</xdr:rowOff>
                  </from>
                  <to>
                    <xdr:col>5</xdr:col>
                    <xdr:colOff>304800</xdr:colOff>
                    <xdr:row>7</xdr:row>
                    <xdr:rowOff>30480</xdr:rowOff>
                  </to>
                </anchor>
              </controlPr>
            </control>
          </mc:Choice>
        </mc:AlternateContent>
        <mc:AlternateContent xmlns:mc="http://schemas.openxmlformats.org/markup-compatibility/2006">
          <mc:Choice Requires="x14">
            <control shapeId="672935" r:id="rId7" name="Drop Down 167">
              <controlPr defaultSize="0" autoLine="0" autoPict="0">
                <anchor moveWithCells="1">
                  <from>
                    <xdr:col>4</xdr:col>
                    <xdr:colOff>7620</xdr:colOff>
                    <xdr:row>27</xdr:row>
                    <xdr:rowOff>0</xdr:rowOff>
                  </from>
                  <to>
                    <xdr:col>5</xdr:col>
                    <xdr:colOff>274320</xdr:colOff>
                    <xdr:row>28</xdr:row>
                    <xdr:rowOff>30480</xdr:rowOff>
                  </to>
                </anchor>
              </controlPr>
            </control>
          </mc:Choice>
        </mc:AlternateContent>
        <mc:AlternateContent xmlns:mc="http://schemas.openxmlformats.org/markup-compatibility/2006">
          <mc:Choice Requires="x14">
            <control shapeId="673043" r:id="rId8" name="Drop Down 275">
              <controlPr defaultSize="0" autoLine="0" autoPict="0">
                <anchor moveWithCells="1">
                  <from>
                    <xdr:col>4</xdr:col>
                    <xdr:colOff>7620</xdr:colOff>
                    <xdr:row>33</xdr:row>
                    <xdr:rowOff>0</xdr:rowOff>
                  </from>
                  <to>
                    <xdr:col>5</xdr:col>
                    <xdr:colOff>259080</xdr:colOff>
                    <xdr:row>33</xdr:row>
                    <xdr:rowOff>198120</xdr:rowOff>
                  </to>
                </anchor>
              </controlPr>
            </control>
          </mc:Choice>
        </mc:AlternateContent>
        <mc:AlternateContent xmlns:mc="http://schemas.openxmlformats.org/markup-compatibility/2006">
          <mc:Choice Requires="x14">
            <control shapeId="697343" r:id="rId9" name="Drop Down 3071">
              <controlPr defaultSize="0" autoLine="0" autoPict="0">
                <anchor moveWithCells="1">
                  <from>
                    <xdr:col>11</xdr:col>
                    <xdr:colOff>7620</xdr:colOff>
                    <xdr:row>11</xdr:row>
                    <xdr:rowOff>0</xdr:rowOff>
                  </from>
                  <to>
                    <xdr:col>12</xdr:col>
                    <xdr:colOff>68580</xdr:colOff>
                    <xdr:row>12</xdr:row>
                    <xdr:rowOff>7620</xdr:rowOff>
                  </to>
                </anchor>
              </controlPr>
            </control>
          </mc:Choice>
        </mc:AlternateContent>
        <mc:AlternateContent xmlns:mc="http://schemas.openxmlformats.org/markup-compatibility/2006">
          <mc:Choice Requires="x14">
            <control shapeId="714798" r:id="rId10" name="Drop Down 3118">
              <controlPr defaultSize="0" autoLine="0" autoPict="0">
                <anchor moveWithCells="1">
                  <from>
                    <xdr:col>4</xdr:col>
                    <xdr:colOff>0</xdr:colOff>
                    <xdr:row>30</xdr:row>
                    <xdr:rowOff>7620</xdr:rowOff>
                  </from>
                  <to>
                    <xdr:col>5</xdr:col>
                    <xdr:colOff>266700</xdr:colOff>
                    <xdr:row>31</xdr:row>
                    <xdr:rowOff>7620</xdr:rowOff>
                  </to>
                </anchor>
              </controlPr>
            </control>
          </mc:Choice>
        </mc:AlternateContent>
        <mc:AlternateContent xmlns:mc="http://schemas.openxmlformats.org/markup-compatibility/2006">
          <mc:Choice Requires="x14">
            <control shapeId="715085" r:id="rId11" name="Drop Down 3405">
              <controlPr locked="0" defaultSize="0" autoLine="0" autoPict="0">
                <anchor moveWithCells="1">
                  <from>
                    <xdr:col>4</xdr:col>
                    <xdr:colOff>0</xdr:colOff>
                    <xdr:row>7</xdr:row>
                    <xdr:rowOff>190500</xdr:rowOff>
                  </from>
                  <to>
                    <xdr:col>5</xdr:col>
                    <xdr:colOff>76200</xdr:colOff>
                    <xdr:row>8</xdr:row>
                    <xdr:rowOff>190500</xdr:rowOff>
                  </to>
                </anchor>
              </controlPr>
            </control>
          </mc:Choice>
        </mc:AlternateContent>
        <mc:AlternateContent xmlns:mc="http://schemas.openxmlformats.org/markup-compatibility/2006">
          <mc:Choice Requires="x14">
            <control shapeId="736565" r:id="rId12" name="Drop Down 4405">
              <controlPr locked="0" defaultSize="0" autoLine="0" autoPict="0">
                <anchor moveWithCells="1">
                  <from>
                    <xdr:col>4</xdr:col>
                    <xdr:colOff>0</xdr:colOff>
                    <xdr:row>4</xdr:row>
                    <xdr:rowOff>7620</xdr:rowOff>
                  </from>
                  <to>
                    <xdr:col>5</xdr:col>
                    <xdr:colOff>266700</xdr:colOff>
                    <xdr:row>4</xdr:row>
                    <xdr:rowOff>236220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43" id="{2F97F2FF-95A0-40C5-B045-6ADA68EA7C2F}">
            <xm:f>'Variable Mgmt'!$B$52</xm:f>
            <x14:dxf>
              <font>
                <strike val="0"/>
                <color theme="0"/>
              </font>
              <fill>
                <patternFill>
                  <bgColor theme="0"/>
                </patternFill>
              </fill>
            </x14:dxf>
          </x14:cfRule>
          <xm:sqref>E12:E13</xm:sqref>
        </x14:conditionalFormatting>
        <x14:conditionalFormatting xmlns:xm="http://schemas.microsoft.com/office/excel/2006/main">
          <x14:cfRule type="expression" priority="145" id="{9B976DD7-FFA8-454F-A63D-186A721FDF9C}">
            <xm:f>'Variable Mgmt'!$B$52</xm:f>
            <x14:dxf>
              <border>
                <bottom/>
                <vertical/>
                <horizontal/>
              </border>
            </x14:dxf>
          </x14:cfRule>
          <xm:sqref>A12:F13</xm:sqref>
        </x14:conditionalFormatting>
        <x14:conditionalFormatting xmlns:xm="http://schemas.microsoft.com/office/excel/2006/main">
          <x14:cfRule type="expression" priority="146" id="{25C53C6F-CE07-4419-8FCF-F6B8FCD8434A}">
            <xm:f>'Variable Mgmt'!$B$52</xm:f>
            <x14:dxf>
              <border>
                <right/>
                <vertical/>
                <horizontal/>
              </border>
            </x14:dxf>
          </x14:cfRule>
          <xm:sqref>F12:F13</xm:sqref>
        </x14:conditionalFormatting>
        <x14:conditionalFormatting xmlns:xm="http://schemas.microsoft.com/office/excel/2006/main">
          <x14:cfRule type="expression" priority="16" id="{56BB0655-3B2C-4E9D-AD05-7700A46C30F4}">
            <xm:f>'Variable Mgmt'!$B$52=FALSE</xm:f>
            <x14:dxf>
              <border>
                <bottom/>
                <vertical/>
                <horizontal/>
              </border>
            </x14:dxf>
          </x14:cfRule>
          <xm:sqref>A12:F12</xm:sqref>
        </x14:conditionalFormatting>
        <x14:conditionalFormatting xmlns:xm="http://schemas.microsoft.com/office/excel/2006/main">
          <x14:cfRule type="expression" priority="15" id="{7DE853EF-1754-4C48-A140-FF26B3EC5CF8}">
            <xm:f>'Variable Mgmt'!$B$52=FALSE</xm:f>
            <x14:dxf>
              <border>
                <bottom/>
                <vertical/>
                <horizontal/>
              </border>
            </x14:dxf>
          </x14:cfRule>
          <xm:sqref>A11:F11</xm:sqref>
        </x14:conditionalFormatting>
        <x14:conditionalFormatting xmlns:xm="http://schemas.microsoft.com/office/excel/2006/main">
          <x14:cfRule type="expression" priority="10" id="{18CE8F81-B526-43C7-B5F1-BAA9C73809CD}">
            <xm:f>'Variable Mgmt'!$B$52=TRUE</xm:f>
            <x14:dxf>
              <font>
                <color theme="0"/>
              </font>
              <fill>
                <patternFill>
                  <bgColor theme="0"/>
                </patternFill>
              </fill>
              <border>
                <right/>
                <top/>
                <bottom/>
              </border>
            </x14:dxf>
          </x14:cfRule>
          <xm:sqref>K20:M23</xm:sqref>
        </x14:conditionalFormatting>
        <x14:conditionalFormatting xmlns:xm="http://schemas.microsoft.com/office/excel/2006/main">
          <x14:cfRule type="expression" priority="9" id="{B42E45EE-F49B-4512-9DB9-8B85B95C6919}">
            <xm:f>'Variable Mgmt'!$B$52=TRUE</xm:f>
            <x14:dxf>
              <border>
                <left/>
                <right/>
                <top/>
                <bottom/>
                <vertical/>
                <horizontal/>
              </border>
            </x14:dxf>
          </x14:cfRule>
          <xm:sqref>H20:J23</xm:sqref>
        </x14:conditionalFormatting>
        <x14:conditionalFormatting xmlns:xm="http://schemas.microsoft.com/office/excel/2006/main">
          <x14:cfRule type="expression" priority="8" id="{8076779E-531E-4945-9FF1-9C72CDB0D6DC}">
            <xm:f>'Variable Mgmt'!$B$52=TRUE</xm:f>
            <x14:dxf>
              <border>
                <top/>
                <bottom/>
                <vertical/>
                <horizontal/>
              </border>
            </x14:dxf>
          </x14:cfRule>
          <xm:sqref>G21:G22</xm:sqref>
        </x14:conditionalFormatting>
        <x14:conditionalFormatting xmlns:xm="http://schemas.microsoft.com/office/excel/2006/main">
          <x14:cfRule type="expression" priority="150" id="{EE277573-B7FD-4D2F-97C3-CC46EAD89E7B}">
            <xm:f>AND('Variable Mgmt'!#REF!&gt;'Variable Mgmt'!$B$56*1/1000, MODE=1)</xm:f>
            <x14:dxf>
              <font>
                <b/>
                <i val="0"/>
                <color rgb="FFFF0000"/>
              </font>
            </x14:dxf>
          </x14:cfRule>
          <xm:sqref>L12</xm:sqref>
        </x14:conditionalFormatting>
        <x14:conditionalFormatting xmlns:xm="http://schemas.microsoft.com/office/excel/2006/main">
          <x14:cfRule type="expression" priority="7" id="{DA50B535-B6B5-4DFB-9CBC-C505A48C7EB5}">
            <xm:f>'Variable Mgmt'!$B$52=TRUE</xm:f>
            <x14:dxf>
              <font>
                <color theme="0"/>
              </font>
              <fill>
                <patternFill>
                  <bgColor theme="0"/>
                </patternFill>
              </fill>
            </x14:dxf>
          </x14:cfRule>
          <xm:sqref>L10</xm:sqref>
        </x14:conditionalFormatting>
        <x14:conditionalFormatting xmlns:xm="http://schemas.microsoft.com/office/excel/2006/main">
          <x14:cfRule type="expression" priority="6" id="{FB76FAF3-E114-4E5D-9585-0FED8547CF75}">
            <xm:f>'Variable Mgmt'!$D$38=TRUE</xm:f>
            <x14:dxf>
              <font>
                <color theme="0"/>
              </font>
              <fill>
                <patternFill patternType="solid">
                  <fgColor auto="1"/>
                  <bgColor rgb="FFFF0000"/>
                </patternFill>
              </fill>
            </x14:dxf>
          </x14:cfRule>
          <xm:sqref>L15:M15</xm:sqref>
        </x14:conditionalFormatting>
        <x14:conditionalFormatting xmlns:xm="http://schemas.microsoft.com/office/excel/2006/main">
          <x14:cfRule type="expression" priority="5" id="{2E35C64D-1122-4B17-B495-E52D781938E1}">
            <xm:f>'Variable Mgmt'!$D$61=TRUE</xm:f>
            <x14:dxf>
              <font>
                <strike val="0"/>
                <color theme="0"/>
              </font>
              <fill>
                <patternFill>
                  <bgColor rgb="FFFF0000"/>
                </patternFill>
              </fill>
            </x14:dxf>
          </x14:cfRule>
          <xm:sqref>L14:M14</xm:sqref>
        </x14:conditionalFormatting>
        <x14:conditionalFormatting xmlns:xm="http://schemas.microsoft.com/office/excel/2006/main">
          <x14:cfRule type="expression" priority="4" id="{7C67D9FD-52B5-4703-BBAF-09AA10A65712}">
            <xm:f>'Variable Mgmt'!$B$52=FALSE</xm:f>
            <x14:dxf>
              <font>
                <color theme="0"/>
              </font>
            </x14:dxf>
          </x14:cfRule>
          <xm:sqref>K16:M19</xm:sqref>
        </x14:conditionalFormatting>
        <x14:conditionalFormatting xmlns:xm="http://schemas.microsoft.com/office/excel/2006/main">
          <x14:cfRule type="expression" priority="1" id="{49974368-61CB-482A-8D0C-8A60E047767C}">
            <xm:f>'Variable Mgmt'!$B$76&gt;'Variable Mgmt'!$B$65*1000000</xm:f>
            <x14:dxf>
              <font>
                <color rgb="FFFF0000"/>
              </font>
            </x14:dxf>
          </x14:cfRule>
          <xm:sqref>L7</xm:sqref>
        </x14:conditionalFormatting>
      </x14:conditionalFormatting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dimension ref="A2:B7"/>
  <sheetViews>
    <sheetView zoomScaleNormal="100" workbookViewId="0">
      <selection activeCell="D7" sqref="D7"/>
    </sheetView>
  </sheetViews>
  <sheetFormatPr defaultRowHeight="13.2" x14ac:dyDescent="0.25"/>
  <cols>
    <col min="2" max="2" width="126.44140625" customWidth="1"/>
  </cols>
  <sheetData>
    <row r="2" spans="1:2" ht="17.25" customHeight="1" x14ac:dyDescent="0.25">
      <c r="A2" s="76" t="str">
        <f>CHOOSE(MODE, "Fsw_SINGLE", "Fsw_DUAL")</f>
        <v>Fsw_DUAL</v>
      </c>
    </row>
    <row r="5" spans="1:2" ht="409.5" customHeight="1" x14ac:dyDescent="0.25">
      <c r="B5" s="363"/>
    </row>
    <row r="6" spans="1:2" ht="17.100000000000001" customHeight="1" x14ac:dyDescent="0.25"/>
    <row r="7" spans="1:2" ht="409.5" customHeight="1" x14ac:dyDescent="0.25">
      <c r="B7" s="363"/>
    </row>
  </sheetData>
  <pageMargins left="0.7" right="0.7" top="0.75" bottom="0.75" header="0.3" footer="0.3"/>
  <pageSetup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rgb="FF00B050"/>
  </sheetPr>
  <dimension ref="A2:T67"/>
  <sheetViews>
    <sheetView topLeftCell="C8" zoomScaleNormal="100" zoomScaleSheetLayoutView="145" workbookViewId="0">
      <selection activeCell="H21" sqref="H21"/>
    </sheetView>
  </sheetViews>
  <sheetFormatPr defaultRowHeight="13.2" x14ac:dyDescent="0.25"/>
  <cols>
    <col min="1" max="1" width="12.6640625" style="363" customWidth="1"/>
    <col min="2" max="2" width="124.6640625" style="11" customWidth="1"/>
    <col min="3" max="4" width="9.109375" style="363"/>
    <col min="5" max="5" width="124.6640625" style="7" customWidth="1"/>
    <col min="8" max="8" width="124.6640625" style="364" customWidth="1"/>
  </cols>
  <sheetData>
    <row r="2" spans="1:15" x14ac:dyDescent="0.25">
      <c r="A2" s="363" t="str">
        <f>'Variable Mgmt'!K44</f>
        <v>SCH_DUAL_UVLOadj_SSadj_TCyes</v>
      </c>
    </row>
    <row r="5" spans="1:15" s="363" customFormat="1" ht="13.5" customHeight="1" x14ac:dyDescent="0.25">
      <c r="E5" s="364"/>
      <c r="H5" s="364"/>
    </row>
    <row r="6" spans="1:15" s="363" customFormat="1" ht="16.5" customHeight="1" x14ac:dyDescent="0.25">
      <c r="E6" s="364"/>
      <c r="H6" s="364"/>
    </row>
    <row r="7" spans="1:15" ht="357" customHeight="1" x14ac:dyDescent="0.25">
      <c r="B7" s="12"/>
      <c r="E7" s="391"/>
      <c r="F7" s="11"/>
      <c r="G7" s="11"/>
      <c r="I7" s="11"/>
      <c r="J7" s="11"/>
      <c r="K7" s="11"/>
      <c r="L7" s="11"/>
      <c r="M7" s="11"/>
      <c r="N7" s="11"/>
    </row>
    <row r="8" spans="1:15" s="363" customFormat="1" ht="17.25" customHeight="1" x14ac:dyDescent="0.25">
      <c r="B8" s="364"/>
      <c r="E8" s="364"/>
      <c r="H8" s="364"/>
      <c r="O8" s="365"/>
    </row>
    <row r="9" spans="1:15" ht="357" customHeight="1" x14ac:dyDescent="0.25">
      <c r="B9" s="111"/>
      <c r="D9" s="364"/>
      <c r="E9" s="391"/>
      <c r="F9" s="363"/>
      <c r="G9" s="11"/>
      <c r="I9" s="11"/>
      <c r="J9" s="11"/>
      <c r="K9" s="11"/>
      <c r="L9" s="11"/>
      <c r="M9" s="11"/>
      <c r="N9" s="11"/>
      <c r="O9" s="366"/>
    </row>
    <row r="10" spans="1:15" s="363" customFormat="1" x14ac:dyDescent="0.25">
      <c r="E10" s="364"/>
      <c r="H10" s="364"/>
    </row>
    <row r="11" spans="1:15" ht="357" customHeight="1" x14ac:dyDescent="0.25">
      <c r="B11" s="391"/>
      <c r="D11" s="364"/>
      <c r="E11" s="364"/>
      <c r="F11" s="363"/>
      <c r="G11" s="11"/>
      <c r="I11" s="11"/>
      <c r="J11" s="11"/>
      <c r="K11" s="11"/>
      <c r="L11" s="11"/>
      <c r="M11" s="11"/>
      <c r="N11" s="11"/>
      <c r="O11" s="366"/>
    </row>
    <row r="12" spans="1:15" x14ac:dyDescent="0.25">
      <c r="B12" s="363"/>
      <c r="E12" s="364"/>
      <c r="F12" s="363"/>
      <c r="G12" s="11"/>
      <c r="I12" s="11"/>
      <c r="J12" s="11"/>
      <c r="K12" s="11"/>
      <c r="L12" s="11"/>
      <c r="M12" s="11"/>
      <c r="N12" s="11"/>
    </row>
    <row r="13" spans="1:15" ht="357" customHeight="1" x14ac:dyDescent="0.25">
      <c r="B13" s="391"/>
      <c r="E13" s="364"/>
      <c r="F13" s="363"/>
      <c r="G13" s="11"/>
      <c r="I13" s="11"/>
      <c r="J13" s="11"/>
      <c r="K13" s="11"/>
      <c r="L13" s="11"/>
      <c r="M13" s="11"/>
      <c r="N13" s="11"/>
      <c r="O13" s="366"/>
    </row>
    <row r="14" spans="1:15" x14ac:dyDescent="0.25">
      <c r="B14" s="363"/>
      <c r="E14" s="364"/>
      <c r="F14" s="363"/>
      <c r="G14" s="11"/>
      <c r="I14" s="11"/>
      <c r="J14" s="11"/>
      <c r="K14" s="11"/>
      <c r="L14" s="11"/>
      <c r="M14" s="11"/>
      <c r="N14" s="11"/>
    </row>
    <row r="15" spans="1:15" ht="357" customHeight="1" x14ac:dyDescent="0.25">
      <c r="E15" s="364"/>
      <c r="F15" s="363"/>
      <c r="G15" s="11"/>
      <c r="I15" s="11"/>
      <c r="J15" s="11"/>
      <c r="K15" s="11"/>
      <c r="L15" s="11"/>
      <c r="M15" s="11"/>
      <c r="N15" s="11"/>
      <c r="O15" s="366"/>
    </row>
    <row r="16" spans="1:15" x14ac:dyDescent="0.25">
      <c r="B16" s="363"/>
      <c r="E16" s="364"/>
      <c r="F16" s="11"/>
      <c r="G16" s="11"/>
      <c r="I16" s="11"/>
      <c r="J16" s="11"/>
      <c r="K16" s="11"/>
      <c r="L16" s="11"/>
      <c r="M16" s="11"/>
      <c r="N16" s="11"/>
    </row>
    <row r="17" spans="2:15" ht="357" customHeight="1" x14ac:dyDescent="0.25">
      <c r="B17" s="391"/>
      <c r="E17" s="364"/>
      <c r="F17" s="363"/>
      <c r="G17" s="11"/>
      <c r="I17" s="11"/>
      <c r="J17" s="11"/>
      <c r="K17" s="11"/>
      <c r="L17" s="11"/>
      <c r="M17" s="11"/>
      <c r="N17" s="11"/>
      <c r="O17" s="366"/>
    </row>
    <row r="18" spans="2:15" ht="12" customHeight="1" x14ac:dyDescent="0.25">
      <c r="B18" s="363"/>
      <c r="E18" s="364"/>
      <c r="F18" s="11"/>
      <c r="G18" s="11"/>
      <c r="I18" s="11"/>
      <c r="J18" s="11"/>
      <c r="K18" s="11"/>
      <c r="L18" s="11"/>
      <c r="M18" s="11"/>
      <c r="N18" s="11"/>
    </row>
    <row r="19" spans="2:15" ht="357" customHeight="1" x14ac:dyDescent="0.25">
      <c r="B19" s="363"/>
      <c r="E19" s="364"/>
      <c r="F19" s="11"/>
      <c r="G19" s="11"/>
      <c r="I19" s="11"/>
      <c r="J19" s="11"/>
      <c r="K19" s="11"/>
      <c r="L19" s="11"/>
      <c r="M19" s="11"/>
      <c r="N19" s="11"/>
    </row>
    <row r="20" spans="2:15" ht="13.5" customHeight="1" x14ac:dyDescent="0.25">
      <c r="B20" s="363"/>
      <c r="E20" s="364"/>
      <c r="F20" s="11"/>
      <c r="G20" s="11"/>
      <c r="I20" s="11"/>
      <c r="J20" s="11"/>
      <c r="K20" s="11"/>
      <c r="L20" s="11"/>
      <c r="M20" s="11"/>
      <c r="N20" s="11"/>
    </row>
    <row r="21" spans="2:15" ht="357" customHeight="1" x14ac:dyDescent="0.25">
      <c r="B21" s="363"/>
      <c r="E21" s="364"/>
      <c r="F21" s="11"/>
      <c r="G21" s="11"/>
      <c r="I21" s="11"/>
      <c r="J21" s="11"/>
      <c r="K21" s="11"/>
      <c r="L21" s="11"/>
      <c r="M21" s="11"/>
      <c r="N21" s="11"/>
    </row>
    <row r="22" spans="2:15" x14ac:dyDescent="0.25">
      <c r="B22" s="363"/>
      <c r="E22" s="364"/>
      <c r="F22" s="11"/>
      <c r="G22" s="11"/>
      <c r="I22" s="11"/>
      <c r="J22" s="11"/>
      <c r="K22" s="11"/>
      <c r="L22" s="11"/>
      <c r="M22" s="11"/>
      <c r="N22" s="11"/>
    </row>
    <row r="23" spans="2:15" ht="357" customHeight="1" x14ac:dyDescent="0.25">
      <c r="B23" s="363"/>
      <c r="E23" s="364"/>
      <c r="F23" s="11"/>
      <c r="G23" s="11"/>
      <c r="I23" s="11"/>
      <c r="J23" s="11"/>
      <c r="K23" s="11"/>
      <c r="L23" s="11"/>
      <c r="M23" s="11"/>
      <c r="N23" s="11"/>
    </row>
    <row r="24" spans="2:15" x14ac:dyDescent="0.25">
      <c r="B24" s="363"/>
      <c r="E24" s="364"/>
      <c r="F24" s="11"/>
      <c r="G24" s="11"/>
      <c r="I24" s="11"/>
      <c r="J24" s="11"/>
      <c r="K24" s="11"/>
      <c r="L24" s="11"/>
      <c r="M24" s="11"/>
      <c r="N24" s="11"/>
    </row>
    <row r="25" spans="2:15" ht="327.75" customHeight="1" x14ac:dyDescent="0.25">
      <c r="B25" s="363"/>
      <c r="E25" s="364"/>
      <c r="F25" s="11"/>
      <c r="G25" s="11"/>
      <c r="I25" s="11"/>
      <c r="J25" s="11"/>
      <c r="K25" s="11"/>
      <c r="L25" s="11"/>
      <c r="M25" s="11"/>
      <c r="N25" s="11"/>
    </row>
    <row r="26" spans="2:15" x14ac:dyDescent="0.25">
      <c r="E26" s="364"/>
      <c r="F26" s="11"/>
      <c r="G26" s="11"/>
      <c r="I26" s="11"/>
      <c r="J26" s="11"/>
      <c r="K26" s="11"/>
      <c r="L26" s="11"/>
      <c r="M26" s="11"/>
      <c r="N26" s="11"/>
    </row>
    <row r="27" spans="2:15" ht="327.60000000000002" customHeight="1" x14ac:dyDescent="0.25">
      <c r="B27" s="363"/>
      <c r="E27" s="364"/>
      <c r="F27" s="11"/>
      <c r="G27" s="11"/>
      <c r="I27" s="11"/>
      <c r="J27" s="11"/>
      <c r="K27" s="11"/>
      <c r="L27" s="11"/>
      <c r="M27" s="11"/>
      <c r="N27" s="11"/>
    </row>
    <row r="28" spans="2:15" x14ac:dyDescent="0.25">
      <c r="B28" s="363"/>
      <c r="E28" s="364"/>
      <c r="F28" s="11"/>
      <c r="G28" s="11"/>
      <c r="I28" s="11"/>
      <c r="J28" s="11"/>
      <c r="K28" s="11"/>
      <c r="L28" s="11"/>
      <c r="M28" s="11"/>
      <c r="N28" s="11"/>
    </row>
    <row r="29" spans="2:15" ht="327.75" customHeight="1" x14ac:dyDescent="0.25">
      <c r="B29" s="363"/>
      <c r="E29" s="364"/>
      <c r="F29" s="11"/>
      <c r="G29" s="11"/>
      <c r="I29" s="11"/>
      <c r="J29" s="11"/>
      <c r="K29" s="11"/>
      <c r="L29" s="11"/>
      <c r="M29" s="11"/>
      <c r="N29" s="11"/>
    </row>
    <row r="30" spans="2:15" ht="13.5" customHeight="1" x14ac:dyDescent="0.25">
      <c r="B30" s="363"/>
      <c r="E30" s="364"/>
      <c r="F30" s="11"/>
      <c r="G30" s="11"/>
      <c r="I30" s="11"/>
      <c r="J30" s="11"/>
      <c r="K30" s="11"/>
      <c r="L30" s="11"/>
      <c r="M30" s="11"/>
      <c r="N30" s="11"/>
    </row>
    <row r="31" spans="2:15" ht="327.75" customHeight="1" x14ac:dyDescent="0.25">
      <c r="B31" s="363"/>
      <c r="E31" s="364"/>
      <c r="F31" s="11"/>
      <c r="G31" s="11"/>
      <c r="I31" s="11"/>
      <c r="J31" s="11"/>
      <c r="K31" s="11"/>
      <c r="L31" s="11"/>
      <c r="M31" s="11"/>
      <c r="N31" s="11"/>
    </row>
    <row r="32" spans="2:15" ht="13.5" customHeight="1" x14ac:dyDescent="0.25">
      <c r="B32" s="363"/>
      <c r="E32" s="364"/>
      <c r="F32" s="11"/>
      <c r="G32" s="11"/>
      <c r="I32" s="11"/>
      <c r="J32" s="11"/>
      <c r="K32" s="11"/>
      <c r="L32" s="11"/>
      <c r="M32" s="11"/>
      <c r="N32" s="11"/>
    </row>
    <row r="33" spans="2:20" ht="327.75" customHeight="1" x14ac:dyDescent="0.25">
      <c r="B33" s="363"/>
      <c r="E33" s="364"/>
      <c r="F33" s="11"/>
      <c r="G33" s="11"/>
      <c r="I33" s="11"/>
      <c r="J33" s="11"/>
      <c r="K33" s="11"/>
      <c r="L33" s="11"/>
      <c r="M33" s="11"/>
      <c r="N33" s="11"/>
    </row>
    <row r="34" spans="2:20" ht="13.5" customHeight="1" x14ac:dyDescent="0.25">
      <c r="B34" s="363"/>
      <c r="E34" s="364"/>
      <c r="F34" s="11"/>
      <c r="G34" s="11"/>
      <c r="I34" s="11"/>
      <c r="J34" s="11"/>
      <c r="K34" s="11"/>
      <c r="L34" s="11"/>
      <c r="M34" s="11"/>
      <c r="N34" s="11"/>
    </row>
    <row r="35" spans="2:20" ht="327.60000000000002" customHeight="1" x14ac:dyDescent="0.25">
      <c r="B35" s="363"/>
      <c r="E35" s="364"/>
      <c r="F35" s="11"/>
      <c r="G35" s="11"/>
      <c r="I35" s="11"/>
      <c r="J35" s="11"/>
      <c r="K35" s="11"/>
      <c r="L35" s="11"/>
      <c r="M35" s="11"/>
      <c r="N35" s="11"/>
    </row>
    <row r="36" spans="2:20" ht="13.5" customHeight="1" x14ac:dyDescent="0.25">
      <c r="B36" s="363"/>
      <c r="E36" s="364"/>
      <c r="F36" s="11"/>
      <c r="G36" s="11"/>
      <c r="I36" s="11"/>
      <c r="J36" s="11"/>
      <c r="K36" s="11"/>
      <c r="L36" s="11"/>
      <c r="M36" s="11"/>
      <c r="N36" s="11"/>
    </row>
    <row r="37" spans="2:20" ht="327.75" customHeight="1" x14ac:dyDescent="0.25">
      <c r="B37" s="363"/>
      <c r="E37" s="364"/>
      <c r="F37" s="11"/>
      <c r="G37" s="11"/>
      <c r="I37" s="11"/>
      <c r="J37" s="11"/>
      <c r="K37" s="11"/>
      <c r="L37" s="11"/>
      <c r="M37" s="11"/>
      <c r="N37" s="11"/>
    </row>
    <row r="38" spans="2:20" ht="13.5" customHeight="1" x14ac:dyDescent="0.4">
      <c r="B38" s="363"/>
      <c r="E38" s="364"/>
      <c r="F38" s="11"/>
      <c r="G38" s="367"/>
      <c r="I38" s="368"/>
      <c r="J38" s="11"/>
      <c r="K38" s="11"/>
      <c r="L38" s="11"/>
      <c r="M38" s="11"/>
      <c r="N38" s="11"/>
    </row>
    <row r="39" spans="2:20" ht="327.75" customHeight="1" x14ac:dyDescent="0.25">
      <c r="B39" s="363"/>
      <c r="E39" s="364"/>
      <c r="F39" s="11"/>
      <c r="G39" s="11"/>
      <c r="I39" s="368"/>
      <c r="J39" s="11"/>
      <c r="K39" s="11"/>
      <c r="L39" s="11"/>
      <c r="M39" s="11"/>
      <c r="N39" s="11"/>
    </row>
    <row r="40" spans="2:20" x14ac:dyDescent="0.25">
      <c r="B40" s="363"/>
      <c r="E40" s="364"/>
      <c r="F40" s="11"/>
      <c r="G40" s="11"/>
      <c r="I40" s="11"/>
      <c r="J40" s="11"/>
      <c r="K40" s="11"/>
      <c r="L40" s="11"/>
      <c r="M40" s="11"/>
      <c r="N40" s="11"/>
      <c r="O40" s="11"/>
      <c r="P40" s="11"/>
      <c r="Q40" s="13"/>
      <c r="S40" s="369"/>
      <c r="T40" s="369"/>
    </row>
    <row r="41" spans="2:20" ht="327.75" customHeight="1" x14ac:dyDescent="0.25">
      <c r="B41" s="363"/>
      <c r="E41" s="364"/>
      <c r="F41" s="11"/>
      <c r="G41" s="11"/>
      <c r="I41" s="11"/>
      <c r="J41" s="11"/>
      <c r="K41" s="11"/>
      <c r="L41" s="11"/>
      <c r="M41" s="11"/>
      <c r="N41" s="11"/>
      <c r="O41" s="11"/>
      <c r="P41" s="11"/>
      <c r="Q41" s="13"/>
      <c r="S41" s="369"/>
    </row>
    <row r="42" spans="2:20" x14ac:dyDescent="0.25">
      <c r="B42" s="363"/>
      <c r="E42" s="364"/>
      <c r="F42" s="11"/>
      <c r="G42" s="11"/>
      <c r="I42" s="11"/>
      <c r="J42" s="11"/>
      <c r="K42" s="11"/>
      <c r="L42" s="11"/>
      <c r="M42" s="11"/>
      <c r="N42" s="11"/>
      <c r="O42" s="11"/>
      <c r="P42" s="11"/>
      <c r="Q42" s="13"/>
      <c r="S42" s="369"/>
    </row>
    <row r="43" spans="2:20" ht="327.75" customHeight="1" x14ac:dyDescent="0.25">
      <c r="B43" s="363"/>
      <c r="E43" s="364"/>
      <c r="F43" s="11"/>
      <c r="G43" s="11"/>
      <c r="I43" s="11"/>
      <c r="J43" s="11"/>
      <c r="K43" s="11"/>
      <c r="L43" s="11"/>
      <c r="M43" s="11"/>
      <c r="N43" s="11"/>
      <c r="O43" s="11"/>
      <c r="P43" s="11"/>
      <c r="Q43" s="13"/>
      <c r="S43" s="369"/>
    </row>
    <row r="44" spans="2:20" x14ac:dyDescent="0.25">
      <c r="B44" s="363"/>
      <c r="E44" s="364"/>
      <c r="F44" s="11"/>
      <c r="G44" s="11"/>
      <c r="I44" s="11"/>
      <c r="J44" s="11"/>
      <c r="K44" s="11"/>
      <c r="L44" s="11"/>
      <c r="M44" s="11"/>
      <c r="N44" s="11"/>
      <c r="O44" s="11"/>
      <c r="P44" s="11"/>
      <c r="Q44" s="13"/>
      <c r="S44" s="369"/>
    </row>
    <row r="45" spans="2:20" ht="327.75" customHeight="1" x14ac:dyDescent="0.25">
      <c r="B45" s="363"/>
      <c r="E45" s="364"/>
      <c r="F45" s="11"/>
      <c r="G45" s="11"/>
      <c r="I45" s="11"/>
      <c r="J45" s="11"/>
      <c r="K45" s="11"/>
      <c r="L45" s="11"/>
      <c r="M45" s="11"/>
      <c r="N45" s="11"/>
      <c r="O45" s="11"/>
      <c r="P45" s="11"/>
      <c r="Q45" s="13"/>
      <c r="S45" s="369"/>
    </row>
    <row r="46" spans="2:20" x14ac:dyDescent="0.25">
      <c r="B46" s="363"/>
      <c r="E46" s="364"/>
      <c r="F46" s="11"/>
      <c r="G46" s="11"/>
      <c r="I46" s="11"/>
      <c r="J46" s="11"/>
      <c r="K46" s="11"/>
      <c r="L46" s="11"/>
      <c r="M46" s="11"/>
      <c r="N46" s="11"/>
      <c r="O46" s="11"/>
      <c r="P46" s="11"/>
      <c r="Q46" s="13"/>
      <c r="S46" s="369"/>
    </row>
    <row r="47" spans="2:20" ht="327.75" customHeight="1" x14ac:dyDescent="0.25">
      <c r="B47" s="363"/>
      <c r="E47" s="364"/>
      <c r="F47" s="11"/>
      <c r="G47" s="11"/>
      <c r="I47" s="11"/>
      <c r="J47" s="11"/>
      <c r="K47" s="11"/>
      <c r="L47" s="11"/>
      <c r="M47" s="11"/>
      <c r="N47" s="11"/>
      <c r="O47" s="11"/>
      <c r="P47" s="11"/>
      <c r="Q47" s="13"/>
      <c r="S47" s="370"/>
    </row>
    <row r="48" spans="2:20" x14ac:dyDescent="0.25">
      <c r="B48" s="363"/>
      <c r="E48" s="364"/>
      <c r="F48" s="11"/>
      <c r="G48" s="11"/>
      <c r="I48" s="11"/>
      <c r="J48" s="11"/>
      <c r="K48" s="11"/>
      <c r="L48" s="11"/>
      <c r="M48" s="11"/>
      <c r="N48" s="11"/>
      <c r="O48" s="11"/>
      <c r="P48" s="11"/>
      <c r="Q48" s="13"/>
      <c r="S48" s="369"/>
    </row>
    <row r="49" spans="2:19" ht="327.75" customHeight="1" x14ac:dyDescent="0.25">
      <c r="B49" s="363"/>
      <c r="E49" s="364"/>
      <c r="F49" s="11"/>
      <c r="G49" s="11"/>
      <c r="I49" s="11"/>
      <c r="J49" s="11"/>
      <c r="K49" s="11"/>
      <c r="L49" s="11"/>
      <c r="M49" s="11"/>
      <c r="N49" s="11"/>
      <c r="O49" s="11"/>
      <c r="P49" s="11"/>
      <c r="Q49" s="13"/>
      <c r="S49" s="369"/>
    </row>
    <row r="50" spans="2:19" x14ac:dyDescent="0.25">
      <c r="B50" s="363"/>
      <c r="E50" s="364"/>
      <c r="F50" s="11"/>
      <c r="G50" s="11"/>
      <c r="I50" s="11"/>
      <c r="J50" s="11"/>
      <c r="K50" s="11"/>
      <c r="L50" s="11"/>
      <c r="M50" s="11"/>
      <c r="N50" s="11"/>
      <c r="O50" s="11"/>
      <c r="P50" s="11"/>
      <c r="Q50" s="13"/>
      <c r="S50" s="369"/>
    </row>
    <row r="51" spans="2:19" x14ac:dyDescent="0.25">
      <c r="B51" s="363"/>
      <c r="E51" s="364"/>
      <c r="F51" s="11"/>
      <c r="G51" s="11"/>
      <c r="I51" s="11"/>
      <c r="J51" s="11"/>
      <c r="K51" s="11"/>
      <c r="L51" s="11"/>
      <c r="M51" s="11"/>
      <c r="N51" s="11"/>
      <c r="O51" s="11"/>
      <c r="P51" s="11"/>
      <c r="Q51" s="13"/>
      <c r="S51" s="369"/>
    </row>
    <row r="52" spans="2:19" x14ac:dyDescent="0.25">
      <c r="B52" s="363"/>
      <c r="E52" s="364"/>
      <c r="F52" s="11"/>
      <c r="G52" s="11"/>
      <c r="I52" s="11"/>
      <c r="J52" s="11"/>
      <c r="K52" s="11"/>
      <c r="L52" s="11"/>
      <c r="M52" s="11"/>
      <c r="N52" s="11"/>
      <c r="O52" s="11"/>
      <c r="P52" s="11"/>
      <c r="Q52" s="13"/>
      <c r="S52" s="369"/>
    </row>
    <row r="53" spans="2:19" x14ac:dyDescent="0.25">
      <c r="B53" s="363"/>
      <c r="E53" s="364"/>
      <c r="F53" s="11"/>
      <c r="G53" s="11"/>
      <c r="I53" s="11"/>
      <c r="J53" s="11"/>
      <c r="K53" s="11"/>
      <c r="L53" s="11"/>
      <c r="M53" s="11"/>
      <c r="N53" s="11"/>
    </row>
    <row r="54" spans="2:19" x14ac:dyDescent="0.25">
      <c r="B54" s="363"/>
      <c r="E54" s="364"/>
      <c r="F54" s="11"/>
      <c r="G54" s="11"/>
      <c r="I54" s="11"/>
      <c r="J54" s="11"/>
      <c r="K54" s="11"/>
      <c r="L54" s="11"/>
      <c r="M54" s="11"/>
      <c r="N54" s="11"/>
    </row>
    <row r="55" spans="2:19" x14ac:dyDescent="0.25">
      <c r="B55" s="363"/>
      <c r="E55" s="364"/>
      <c r="F55" s="11"/>
      <c r="G55" s="11"/>
      <c r="I55" s="11"/>
      <c r="J55" s="11"/>
      <c r="K55" s="11"/>
      <c r="L55" s="11"/>
      <c r="M55" s="11"/>
      <c r="N55" s="11"/>
      <c r="R55" s="14"/>
    </row>
    <row r="56" spans="2:19" x14ac:dyDescent="0.25">
      <c r="B56" s="363"/>
      <c r="E56" s="364"/>
      <c r="F56" s="11"/>
      <c r="G56" s="11"/>
      <c r="I56" s="11"/>
      <c r="J56" s="11"/>
      <c r="K56" s="11"/>
      <c r="L56" s="11"/>
      <c r="M56" s="11"/>
      <c r="N56" s="11"/>
    </row>
    <row r="57" spans="2:19" x14ac:dyDescent="0.25">
      <c r="B57" s="363"/>
      <c r="E57" s="364"/>
      <c r="F57" s="11"/>
      <c r="G57" s="11"/>
      <c r="I57" s="11"/>
      <c r="J57" s="11"/>
      <c r="K57" s="11"/>
      <c r="L57" s="11"/>
      <c r="M57" s="11"/>
      <c r="N57" s="11"/>
    </row>
    <row r="58" spans="2:19" x14ac:dyDescent="0.25">
      <c r="E58" s="12"/>
      <c r="F58" s="11"/>
      <c r="G58" s="11"/>
      <c r="I58" s="11"/>
      <c r="J58" s="11"/>
      <c r="K58" s="11"/>
      <c r="L58" s="11"/>
      <c r="M58" s="11"/>
      <c r="N58" s="11"/>
    </row>
    <row r="59" spans="2:19" x14ac:dyDescent="0.25">
      <c r="E59" s="12"/>
      <c r="F59" s="11"/>
      <c r="G59" s="11"/>
      <c r="I59" s="11"/>
      <c r="J59" s="11"/>
      <c r="K59" s="11"/>
      <c r="L59" s="11"/>
      <c r="M59" s="11"/>
      <c r="N59" s="11"/>
    </row>
    <row r="60" spans="2:19" x14ac:dyDescent="0.25">
      <c r="E60" s="12"/>
      <c r="F60" s="11"/>
      <c r="G60" s="11"/>
      <c r="I60" s="11"/>
      <c r="J60" s="11"/>
      <c r="K60" s="11"/>
      <c r="L60" s="11"/>
      <c r="M60" s="11"/>
      <c r="N60" s="11"/>
    </row>
    <row r="61" spans="2:19" x14ac:dyDescent="0.25">
      <c r="E61" s="12"/>
      <c r="F61" s="11"/>
      <c r="G61" s="11"/>
      <c r="I61" s="11"/>
      <c r="J61" s="11"/>
      <c r="K61" s="11"/>
      <c r="L61" s="11"/>
      <c r="M61" s="11"/>
      <c r="N61" s="11"/>
    </row>
    <row r="62" spans="2:19" x14ac:dyDescent="0.25">
      <c r="E62" s="12"/>
      <c r="F62" s="11"/>
      <c r="G62" s="11"/>
      <c r="I62" s="11"/>
      <c r="J62" s="11"/>
      <c r="K62" s="11"/>
      <c r="L62" s="11"/>
      <c r="M62" s="11"/>
      <c r="N62" s="11"/>
    </row>
    <row r="63" spans="2:19" x14ac:dyDescent="0.25">
      <c r="E63" s="12"/>
      <c r="F63" s="11"/>
      <c r="G63" s="11"/>
      <c r="I63" s="11"/>
      <c r="J63" s="11"/>
      <c r="K63" s="11"/>
      <c r="L63" s="11"/>
      <c r="M63" s="11"/>
      <c r="N63" s="11"/>
    </row>
    <row r="64" spans="2:19" x14ac:dyDescent="0.25">
      <c r="E64" s="12"/>
      <c r="F64" s="11"/>
      <c r="G64" s="11"/>
      <c r="I64" s="11"/>
      <c r="J64" s="11"/>
      <c r="K64" s="11"/>
      <c r="L64" s="11"/>
      <c r="M64" s="11"/>
      <c r="N64" s="11"/>
    </row>
    <row r="65" spans="5:18" x14ac:dyDescent="0.25">
      <c r="E65" s="12"/>
      <c r="F65" s="11"/>
      <c r="G65" s="11"/>
      <c r="I65" s="11"/>
      <c r="J65" s="11"/>
      <c r="K65" s="11"/>
      <c r="L65" s="11"/>
      <c r="M65" s="11"/>
      <c r="N65" s="11"/>
    </row>
    <row r="66" spans="5:18" x14ac:dyDescent="0.25">
      <c r="E66" s="12"/>
      <c r="F66" s="11"/>
      <c r="G66" s="11"/>
      <c r="I66" s="11"/>
      <c r="J66" s="11"/>
      <c r="K66" s="11"/>
      <c r="L66" s="11"/>
      <c r="M66" s="11"/>
      <c r="N66" s="11"/>
      <c r="R66" s="14"/>
    </row>
    <row r="67" spans="5:18" x14ac:dyDescent="0.25">
      <c r="E67" s="12"/>
      <c r="F67" s="11"/>
      <c r="G67" s="11"/>
      <c r="I67" s="11"/>
      <c r="J67" s="11"/>
      <c r="K67" s="11"/>
      <c r="L67" s="11"/>
      <c r="M67" s="11"/>
      <c r="N67" s="11"/>
    </row>
  </sheetData>
  <conditionalFormatting sqref="O6">
    <cfRule type="cellIs" dxfId="0" priority="1" stopIfTrue="1" operator="equal">
      <formula>"n"</formula>
    </cfRule>
  </conditionalFormatting>
  <pageMargins left="0.75" right="0.75" top="1" bottom="1" header="0.5" footer="0.5"/>
  <pageSetup scale="83"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dimension ref="A2:K159"/>
  <sheetViews>
    <sheetView workbookViewId="0">
      <selection activeCell="I10" sqref="I10"/>
    </sheetView>
  </sheetViews>
  <sheetFormatPr defaultRowHeight="13.2" x14ac:dyDescent="0.25"/>
  <cols>
    <col min="1" max="1" width="17.33203125" customWidth="1"/>
    <col min="2" max="2" width="12" bestFit="1" customWidth="1"/>
    <col min="8" max="8" width="12.109375" customWidth="1"/>
    <col min="9" max="9" width="12.44140625" bestFit="1" customWidth="1"/>
    <col min="10" max="10" width="15.44140625" customWidth="1"/>
  </cols>
  <sheetData>
    <row r="2" spans="1:11" x14ac:dyDescent="0.25">
      <c r="A2" t="s">
        <v>68</v>
      </c>
      <c r="B2" t="s">
        <v>66</v>
      </c>
      <c r="C2" t="s">
        <v>14</v>
      </c>
      <c r="D2" t="s">
        <v>28</v>
      </c>
      <c r="E2" t="s">
        <v>75</v>
      </c>
    </row>
    <row r="3" spans="1:11" x14ac:dyDescent="0.25">
      <c r="A3" t="s">
        <v>71</v>
      </c>
      <c r="B3">
        <f>Css</f>
        <v>4.5000000000000006E-8</v>
      </c>
      <c r="C3">
        <f>Cout</f>
        <v>44</v>
      </c>
      <c r="D3">
        <f>Cin</f>
        <v>10</v>
      </c>
      <c r="E3">
        <f>Cb</f>
        <v>0</v>
      </c>
      <c r="H3" t="s">
        <v>73</v>
      </c>
      <c r="I3" t="s">
        <v>74</v>
      </c>
      <c r="J3" s="3" t="s">
        <v>70</v>
      </c>
    </row>
    <row r="4" spans="1:11" ht="13.8" x14ac:dyDescent="0.3">
      <c r="A4" s="6" t="s">
        <v>70</v>
      </c>
      <c r="B4" s="6">
        <f>SUM(B6:B158)/1000000000000</f>
        <v>4.6999999999999997E-8</v>
      </c>
      <c r="C4" s="6">
        <f>SUM(C6:C158)/1000000000000</f>
        <v>0</v>
      </c>
      <c r="D4" s="6">
        <f>SUM(D6:D158)/1000000000000</f>
        <v>0</v>
      </c>
      <c r="E4" s="6">
        <f t="shared" ref="E4" si="0">IF(E3="OPEN","OPEN",SUM(E6:E158)/1000000000000)</f>
        <v>0</v>
      </c>
      <c r="H4" s="76" t="s">
        <v>139</v>
      </c>
      <c r="I4" t="e">
        <f>Rt</f>
        <v>#NAME?</v>
      </c>
      <c r="J4" s="3" t="e">
        <f t="shared" ref="J4:J9" si="1">IF(I4&gt;(INT(0.5+100*POWER(10,IF(96*(LOG(I4)-INT(LOG(I4)))-ROUND(96*(LOG(I4)-INT(LOG(I4))),0)&lt;0,ROUND(96*(LOG(I4)-INT(LOG(I4))),0)-1,ROUND(96*(LOG(I4)-INT(LOG(I4))),0))/96))*POWER(10,INT(LOG(I4))-2)+INT(0.5+100*POWER(10,(IF(96*(LOG(I4)-INT(LOG(I4)))-ROUND(96*(LOG(I4)-INT(LOG(I4))),0)&lt;0,ROUND(96*(LOG(I4)-INT(LOG(I4))),0)-1,ROUND(96*(LOG(I4)-INT(LOG(I4))),0))+1)/96))*POWER(10,INT(LOG(I4))-2))/2,INT(0.5+100*POWER(10,(IF(96*(LOG(I4)-INT(LOG(I4)))-ROUND(96*(LOG(I4)-INT(LOG(I4))),0)&lt;0,ROUND(96*(LOG(I4)-INT(LOG(I4))),0)-1,ROUND(96*(LOG(I4)-INT(LOG(I4))),0))+1)/96))*POWER(10,INT(LOG(I4))-2),INT(0.5+100*POWER(10,IF(96*(LOG(I4)-INT(LOG(I4)))-ROUND(96*(LOG(I4)-INT(LOG(I4))),0)&lt;0,ROUND(96*(LOG(I4)-INT(LOG(I4))),0)-1,ROUND(96*(LOG(I4)-INT(LOG(I4))),0))/96))*POWER(10,INT(LOG(I4))-2))</f>
        <v>#NAME?</v>
      </c>
      <c r="K4" s="17" t="s">
        <v>136</v>
      </c>
    </row>
    <row r="5" spans="1:11" ht="13.8" x14ac:dyDescent="0.3">
      <c r="A5" t="s">
        <v>69</v>
      </c>
      <c r="J5" s="3"/>
      <c r="K5" s="17"/>
    </row>
    <row r="6" spans="1:11" ht="13.8" x14ac:dyDescent="0.3">
      <c r="A6">
        <v>0.47</v>
      </c>
      <c r="B6">
        <f t="shared" ref="B6:E6" si="2">IF(IF((B$3*10^12-$A7)*(B$3*10^12-$A6)*-1&lt;0,0,1)*IF(ABS(B$3*10^12-$A7)&gt;(B$3*10^12-$A6),$A6,$A7)=B7,0,IF((B$3*10^12-$A7)*(B$3*10^12-$A6)*-1&lt;0,0,1)*IF(ABS(B$3*10^12-$A7)&gt;(B$3*10^12-$A6),$A6,$A7))</f>
        <v>0</v>
      </c>
      <c r="C6">
        <f t="shared" si="2"/>
        <v>0</v>
      </c>
      <c r="D6">
        <f t="shared" si="2"/>
        <v>0</v>
      </c>
      <c r="E6">
        <f t="shared" si="2"/>
        <v>0</v>
      </c>
      <c r="H6" s="76" t="s">
        <v>163</v>
      </c>
      <c r="I6" t="e">
        <f>Rshunt</f>
        <v>#NAME?</v>
      </c>
      <c r="J6" s="3" t="e">
        <f t="shared" si="1"/>
        <v>#NAME?</v>
      </c>
      <c r="K6" s="17" t="s">
        <v>136</v>
      </c>
    </row>
    <row r="7" spans="1:11" ht="13.8" x14ac:dyDescent="0.3">
      <c r="A7">
        <v>0.56000000000000005</v>
      </c>
      <c r="B7">
        <f t="shared" ref="B7:B70" si="3">IF(IF((B$3*10^12-$A8)*(B$3*10^12-$A7)*-1&lt;0,0,1)*IF(ABS(B$3*10^12-$A8)&gt;(B$3*10^12-$A7),$A7,$A8)=B8,0,IF((B$3*10^12-$A8)*(B$3*10^12-$A7)*-1&lt;0,0,1)*IF(ABS(B$3*10^12-$A8)&gt;(B$3*10^12-$A7),$A7,$A8))</f>
        <v>0</v>
      </c>
      <c r="C7">
        <f t="shared" ref="C7:C69" si="4">IF(IF((C$3*10^12-$A8)*(C$3*10^12-$A7)*-1&lt;0,0,1)*IF(ABS(C$3*10^12-$A8)&gt;(C$3*10^12-$A7),$A7,$A8)=C8,0,IF((C$3*10^12-$A8)*(C$3*10^12-$A7)*-1&lt;0,0,1)*IF(ABS(C$3*10^12-$A8)&gt;(C$3*10^12-$A7),$A7,$A8))</f>
        <v>0</v>
      </c>
      <c r="D7">
        <f t="shared" ref="D7:D69" si="5">IF(IF((D$3*10^12-$A8)*(D$3*10^12-$A7)*-1&lt;0,0,1)*IF(ABS(D$3*10^12-$A8)&gt;(D$3*10^12-$A7),$A7,$A8)=D8,0,IF((D$3*10^12-$A8)*(D$3*10^12-$A7)*-1&lt;0,0,1)*IF(ABS(D$3*10^12-$A8)&gt;(D$3*10^12-$A7),$A7,$A8))</f>
        <v>0</v>
      </c>
      <c r="E7">
        <f t="shared" ref="E7:E37" si="6">IF(IF((E$3*10^12-$A8)*(E$3*10^12-$A7)*-1&lt;0,0,1)*IF(ABS(E$3*10^12-$A8)&gt;(E$3*10^12-$A7),$A7,$A8)=E8,0,IF((E$3*10^12-$A8)*(E$3*10^12-$A7)*-1&lt;0,0,1)*IF(ABS(E$3*10^12-$A8)&gt;(E$3*10^12-$A7),$A7,$A8))</f>
        <v>0</v>
      </c>
      <c r="H7" t="s">
        <v>79</v>
      </c>
      <c r="I7" t="e">
        <f>Rcea1</f>
        <v>#NAME?</v>
      </c>
      <c r="J7" s="3" t="e">
        <f t="shared" si="1"/>
        <v>#NAME?</v>
      </c>
      <c r="K7" s="17" t="s">
        <v>136</v>
      </c>
    </row>
    <row r="8" spans="1:11" ht="13.8" x14ac:dyDescent="0.3">
      <c r="A8">
        <v>0.68</v>
      </c>
      <c r="B8">
        <f t="shared" si="3"/>
        <v>0</v>
      </c>
      <c r="C8">
        <f t="shared" si="4"/>
        <v>0</v>
      </c>
      <c r="D8">
        <f t="shared" si="5"/>
        <v>0</v>
      </c>
      <c r="E8">
        <f t="shared" si="6"/>
        <v>0</v>
      </c>
      <c r="J8" s="3"/>
      <c r="K8" s="17"/>
    </row>
    <row r="9" spans="1:11" ht="13.8" x14ac:dyDescent="0.3">
      <c r="A9">
        <v>0.82</v>
      </c>
      <c r="B9">
        <f t="shared" si="3"/>
        <v>0</v>
      </c>
      <c r="C9">
        <f t="shared" si="4"/>
        <v>0</v>
      </c>
      <c r="D9">
        <f t="shared" si="5"/>
        <v>0</v>
      </c>
      <c r="E9">
        <f t="shared" si="6"/>
        <v>0</v>
      </c>
      <c r="H9" t="s">
        <v>387</v>
      </c>
      <c r="I9">
        <f>RTC_1</f>
        <v>320000</v>
      </c>
      <c r="J9" s="3">
        <f t="shared" si="1"/>
        <v>316000</v>
      </c>
      <c r="K9" s="17" t="s">
        <v>136</v>
      </c>
    </row>
    <row r="10" spans="1:11" ht="13.8" x14ac:dyDescent="0.3">
      <c r="A10">
        <v>1</v>
      </c>
      <c r="B10">
        <f t="shared" si="3"/>
        <v>0</v>
      </c>
      <c r="C10">
        <f t="shared" si="4"/>
        <v>0</v>
      </c>
      <c r="D10">
        <f t="shared" si="5"/>
        <v>0</v>
      </c>
      <c r="E10">
        <f t="shared" si="6"/>
        <v>0</v>
      </c>
      <c r="H10" t="s">
        <v>17</v>
      </c>
      <c r="I10">
        <f>Rfb</f>
        <v>240000</v>
      </c>
      <c r="J10" s="3">
        <f>IF(I10="OPEN","OPEN",IF(I10&gt;(INT(0.5+100*POWER(10,IF(96*(LOG(I10)-INT(LOG(I10)))-ROUND(96*(LOG(I10)-INT(LOG(I10))),0)&lt;0,ROUND(96*(LOG(I10)-INT(LOG(I10))),0)-1,ROUND(96*(LOG(I10)-INT(LOG(I10))),0))/96))*POWER(10,INT(LOG(I10))-2)+INT(0.5+100*POWER(10,(IF(96*(LOG(I10)-INT(LOG(I10)))-ROUND(96*(LOG(I10)-INT(LOG(I10))),0)&lt;0,ROUND(96*(LOG(I10)-INT(LOG(I10))),0)-1,ROUND(96*(LOG(I10)-INT(LOG(I10))),0))+1)/96))*POWER(10,INT(LOG(I10))-2))/2,INT(0.5+100*POWER(10,(IF(96*(LOG(I10)-INT(LOG(I10)))-ROUND(96*(LOG(I10)-INT(LOG(I10))),0)&lt;0,ROUND(96*(LOG(I10)-INT(LOG(I10))),0)-1,ROUND(96*(LOG(I10)-INT(LOG(I10))),0))+1)/96))*POWER(10,INT(LOG(I10))-2),INT(0.5+100*POWER(10,IF(96*(LOG(I10)-INT(LOG(I10)))-ROUND(96*(LOG(I10)-INT(LOG(I10))),0)&lt;0,ROUND(96*(LOG(I10)-INT(LOG(I10))),0)-1,ROUND(96*(LOG(I10)-INT(LOG(I10))),0))/96))*POWER(10,INT(LOG(I10))-2)))</f>
        <v>237000</v>
      </c>
      <c r="K10" s="17" t="s">
        <v>136</v>
      </c>
    </row>
    <row r="11" spans="1:11" x14ac:dyDescent="0.25">
      <c r="A11">
        <v>1.2</v>
      </c>
      <c r="B11">
        <f t="shared" si="3"/>
        <v>0</v>
      </c>
      <c r="C11">
        <f t="shared" si="4"/>
        <v>0</v>
      </c>
      <c r="D11">
        <f t="shared" si="5"/>
        <v>0</v>
      </c>
      <c r="E11">
        <f t="shared" si="6"/>
        <v>0</v>
      </c>
      <c r="J11" s="3"/>
    </row>
    <row r="12" spans="1:11" x14ac:dyDescent="0.25">
      <c r="A12">
        <v>1.5</v>
      </c>
      <c r="B12">
        <f t="shared" si="3"/>
        <v>0</v>
      </c>
      <c r="C12">
        <f t="shared" si="4"/>
        <v>0</v>
      </c>
      <c r="D12">
        <f t="shared" si="5"/>
        <v>0</v>
      </c>
      <c r="E12">
        <f t="shared" si="6"/>
        <v>0</v>
      </c>
      <c r="J12" s="3"/>
    </row>
    <row r="13" spans="1:11" ht="13.8" x14ac:dyDescent="0.3">
      <c r="A13">
        <v>1.8</v>
      </c>
      <c r="B13">
        <f t="shared" si="3"/>
        <v>0</v>
      </c>
      <c r="C13">
        <f t="shared" si="4"/>
        <v>0</v>
      </c>
      <c r="D13">
        <f t="shared" si="5"/>
        <v>0</v>
      </c>
      <c r="E13">
        <f t="shared" si="6"/>
        <v>0</v>
      </c>
      <c r="H13" s="76" t="s">
        <v>76</v>
      </c>
      <c r="I13" t="e">
        <f>Rs_ideal*1000</f>
        <v>#NAME?</v>
      </c>
      <c r="J13" s="3" t="e">
        <f>IF(I13=0,0,IF(I13&gt;(INT(0.5+100*POWER(10,IF(96*(LOG(I13)-INT(LOG(I13)))-ROUND(96*(LOG(I13)-INT(LOG(I13))),0)&lt;0,ROUND(96*(LOG(I13)-INT(LOG(I13))),0)-1,ROUND(96*(LOG(I13)-INT(LOG(I13))),0))/96))*POWER(10,INT(LOG(I13))-2)+INT(0.5+100*POWER(10,(IF(96*(LOG(I13)-INT(LOG(I13)))-ROUND(96*(LOG(I13)-INT(LOG(I13))),0)&lt;0,ROUND(96*(LOG(I13)-INT(LOG(I13))),0)-1,ROUND(96*(LOG(I13)-INT(LOG(I13))),0))+1)/96))*POWER(10,INT(LOG(I13))-2))/2,INT(0.5+100*POWER(10,(IF(96*(LOG(I13)-INT(LOG(I13)))-ROUND(96*(LOG(I13)-INT(LOG(I13))),0)&lt;0,ROUND(96*(LOG(I13)-INT(LOG(I13))),0)-1,ROUND(96*(LOG(I13)-INT(LOG(I13))),0))+1)/96))*POWER(10,INT(LOG(I13))-2),INT(0.5+100*POWER(10,IF(96*(LOG(I13)-INT(LOG(I13)))-ROUND(96*(LOG(I13)-INT(LOG(I13))),0)&lt;0,ROUND(96*(LOG(I13)-INT(LOG(I13))),0)-1,ROUND(96*(LOG(I13)-INT(LOG(I13))),0))/96))*POWER(10,INT(LOG(I13))-2)))</f>
        <v>#NAME?</v>
      </c>
      <c r="K13" s="17" t="s">
        <v>162</v>
      </c>
    </row>
    <row r="14" spans="1:11" x14ac:dyDescent="0.25">
      <c r="A14">
        <v>2.2000000000000002</v>
      </c>
      <c r="B14">
        <f t="shared" ref="B14:E14" si="7">IF(IF((B$3*10^12-$A15)*(B$3*10^12-$A14)*-1&lt;0,0,1)*IF(ABS(B$3*10^12-$A15)&gt;(B$3*10^12-$A14),$A14,$A15)=B15,0,IF((B$3*10^12-$A15)*(B$3*10^12-$A14)*-1&lt;0,0,1)*IF(ABS(B$3*10^12-$A15)&gt;(B$3*10^12-$A14),$A14,$A15))</f>
        <v>0</v>
      </c>
      <c r="C14">
        <f t="shared" si="7"/>
        <v>0</v>
      </c>
      <c r="D14">
        <f t="shared" si="7"/>
        <v>0</v>
      </c>
      <c r="E14">
        <f t="shared" si="7"/>
        <v>0</v>
      </c>
      <c r="H14" s="76" t="s">
        <v>161</v>
      </c>
      <c r="I14" t="e">
        <f>Cslope_ideal</f>
        <v>#NAME?</v>
      </c>
      <c r="J14" t="e">
        <f>#REF!*1000000000000</f>
        <v>#REF!</v>
      </c>
      <c r="K14" s="76" t="s">
        <v>15</v>
      </c>
    </row>
    <row r="15" spans="1:11" x14ac:dyDescent="0.25">
      <c r="A15">
        <v>2.7</v>
      </c>
      <c r="B15">
        <f t="shared" si="3"/>
        <v>0</v>
      </c>
      <c r="C15">
        <f t="shared" si="4"/>
        <v>0</v>
      </c>
      <c r="D15">
        <f t="shared" si="5"/>
        <v>0</v>
      </c>
      <c r="E15">
        <f t="shared" si="6"/>
        <v>0</v>
      </c>
    </row>
    <row r="16" spans="1:11" ht="13.8" x14ac:dyDescent="0.3">
      <c r="A16">
        <v>3.3</v>
      </c>
      <c r="B16">
        <f t="shared" si="3"/>
        <v>0</v>
      </c>
      <c r="C16">
        <f t="shared" si="4"/>
        <v>0</v>
      </c>
      <c r="D16">
        <f t="shared" si="5"/>
        <v>0</v>
      </c>
      <c r="E16">
        <f t="shared" si="6"/>
        <v>0</v>
      </c>
      <c r="H16" s="76" t="s">
        <v>130</v>
      </c>
      <c r="I16">
        <f>Ruvlo1</f>
        <v>339.99999999999983</v>
      </c>
      <c r="J16" s="3">
        <f>IF(I16="OPEN","OPEN",IF(I16&gt;(INT(0.5+100*POWER(10,IF(96*(LOG(I16)-INT(LOG(I16)))-ROUND(96*(LOG(I16)-INT(LOG(I16))),0)&lt;0,ROUND(96*(LOG(I16)-INT(LOG(I16))),0)-1,ROUND(96*(LOG(I16)-INT(LOG(I16))),0))/96))*POWER(10,INT(LOG(I16))-2)+INT(0.5+100*POWER(10,(IF(96*(LOG(I16)-INT(LOG(I16)))-ROUND(96*(LOG(I16)-INT(LOG(I16))),0)&lt;0,ROUND(96*(LOG(I16)-INT(LOG(I16))),0)-1,ROUND(96*(LOG(I16)-INT(LOG(I16))),0))+1)/96))*POWER(10,INT(LOG(I16))-2))/2,INT(0.5+100*POWER(10,(IF(96*(LOG(I16)-INT(LOG(I16)))-ROUND(96*(LOG(I16)-INT(LOG(I16))),0)&lt;0,ROUND(96*(LOG(I16)-INT(LOG(I16))),0)-1,ROUND(96*(LOG(I16)-INT(LOG(I16))),0))+1)/96))*POWER(10,INT(LOG(I16))-2),INT(0.5+100*POWER(10,IF(96*(LOG(I16)-INT(LOG(I16)))-ROUND(96*(LOG(I16)-INT(LOG(I16))),0)&lt;0,ROUND(96*(LOG(I16)-INT(LOG(I16))),0)-1,ROUND(96*(LOG(I16)-INT(LOG(I16))),0))/96))*POWER(10,INT(LOG(I16))-2)))</f>
        <v>340</v>
      </c>
      <c r="K16" s="17" t="s">
        <v>113</v>
      </c>
    </row>
    <row r="17" spans="1:11" ht="13.8" x14ac:dyDescent="0.3">
      <c r="A17">
        <v>3.9</v>
      </c>
      <c r="B17">
        <f t="shared" si="3"/>
        <v>0</v>
      </c>
      <c r="C17">
        <f t="shared" si="4"/>
        <v>0</v>
      </c>
      <c r="D17">
        <f t="shared" si="5"/>
        <v>0</v>
      </c>
      <c r="E17">
        <f t="shared" si="6"/>
        <v>0</v>
      </c>
      <c r="H17" s="76" t="s">
        <v>131</v>
      </c>
      <c r="I17" s="177">
        <f>Ruvlo2</f>
        <v>68</v>
      </c>
      <c r="J17" s="3">
        <f>IF(I17="OPEN","OPEN",IF(I17&gt;(INT(0.5+100*POWER(10,IF(96*(LOG(I17)-INT(LOG(I17)))-ROUND(96*(LOG(I17)-INT(LOG(I17))),0)&lt;0,ROUND(96*(LOG(I17)-INT(LOG(I17))),0)-1,ROUND(96*(LOG(I17)-INT(LOG(I17))),0))/96))*POWER(10,INT(LOG(I17))-2)+INT(0.5+100*POWER(10,(IF(96*(LOG(I17)-INT(LOG(I17)))-ROUND(96*(LOG(I17)-INT(LOG(I17))),0)&lt;0,ROUND(96*(LOG(I17)-INT(LOG(I17))),0)-1,ROUND(96*(LOG(I17)-INT(LOG(I17))),0))+1)/96))*POWER(10,INT(LOG(I17))-2))/2,INT(0.5+100*POWER(10,(IF(96*(LOG(I17)-INT(LOG(I17)))-ROUND(96*(LOG(I17)-INT(LOG(I17))),0)&lt;0,ROUND(96*(LOG(I17)-INT(LOG(I17))),0)-1,ROUND(96*(LOG(I17)-INT(LOG(I17))),0))+1)/96))*POWER(10,INT(LOG(I17))-2),INT(0.5+100*POWER(10,IF(96*(LOG(I17)-INT(LOG(I17)))-ROUND(96*(LOG(I17)-INT(LOG(I17))),0)&lt;0,ROUND(96*(LOG(I17)-INT(LOG(I17))),0)-1,ROUND(96*(LOG(I17)-INT(LOG(I17))),0))/96))*POWER(10,INT(LOG(I17))-2)))</f>
        <v>68.100000000000009</v>
      </c>
      <c r="K17" s="17" t="s">
        <v>113</v>
      </c>
    </row>
    <row r="18" spans="1:11" ht="13.8" x14ac:dyDescent="0.3">
      <c r="A18">
        <v>4.7</v>
      </c>
      <c r="B18">
        <f t="shared" si="3"/>
        <v>0</v>
      </c>
      <c r="C18">
        <f t="shared" si="4"/>
        <v>0</v>
      </c>
      <c r="D18">
        <f t="shared" si="5"/>
        <v>0</v>
      </c>
      <c r="E18">
        <f t="shared" si="6"/>
        <v>0</v>
      </c>
      <c r="H18" s="76" t="s">
        <v>297</v>
      </c>
      <c r="I18" s="177" t="e">
        <f>Rhys</f>
        <v>#NAME?</v>
      </c>
      <c r="J18" s="3" t="e">
        <f>IF(I18="OPEN","OPEN",IF(I18&gt;(INT(0.5+100*POWER(10,IF(96*(LOG(I18)-INT(LOG(I18)))-ROUND(96*(LOG(I18)-INT(LOG(I18))),0)&lt;0,ROUND(96*(LOG(I18)-INT(LOG(I18))),0)-1,ROUND(96*(LOG(I18)-INT(LOG(I18))),0))/96))*POWER(10,INT(LOG(I18))-2)+INT(0.5+100*POWER(10,(IF(96*(LOG(I18)-INT(LOG(I18)))-ROUND(96*(LOG(I18)-INT(LOG(I18))),0)&lt;0,ROUND(96*(LOG(I18)-INT(LOG(I18))),0)-1,ROUND(96*(LOG(I18)-INT(LOG(I18))),0))+1)/96))*POWER(10,INT(LOG(I18))-2))/2,INT(0.5+100*POWER(10,(IF(96*(LOG(I18)-INT(LOG(I18)))-ROUND(96*(LOG(I18)-INT(LOG(I18))),0)&lt;0,ROUND(96*(LOG(I18)-INT(LOG(I18))),0)-1,ROUND(96*(LOG(I18)-INT(LOG(I18))),0))+1)/96))*POWER(10,INT(LOG(I18))-2),INT(0.5+100*POWER(10,IF(96*(LOG(I18)-INT(LOG(I18)))-ROUND(96*(LOG(I18)-INT(LOG(I18))),0)&lt;0,ROUND(96*(LOG(I18)-INT(LOG(I18))),0)-1,ROUND(96*(LOG(I18)-INT(LOG(I18))),0))/96))*POWER(10,INT(LOG(I18))-2)))</f>
        <v>#NAME?</v>
      </c>
      <c r="K18" s="17" t="s">
        <v>113</v>
      </c>
    </row>
    <row r="19" spans="1:11" x14ac:dyDescent="0.25">
      <c r="A19">
        <v>5.6</v>
      </c>
      <c r="B19">
        <f t="shared" si="3"/>
        <v>0</v>
      </c>
      <c r="C19">
        <f t="shared" si="4"/>
        <v>0</v>
      </c>
      <c r="D19">
        <f t="shared" si="5"/>
        <v>0</v>
      </c>
      <c r="E19">
        <f t="shared" si="6"/>
        <v>0</v>
      </c>
    </row>
    <row r="20" spans="1:11" x14ac:dyDescent="0.25">
      <c r="A20">
        <v>6.8</v>
      </c>
      <c r="B20">
        <f t="shared" si="3"/>
        <v>0</v>
      </c>
      <c r="C20">
        <f t="shared" si="4"/>
        <v>0</v>
      </c>
      <c r="D20">
        <f t="shared" si="5"/>
        <v>0</v>
      </c>
      <c r="E20">
        <f t="shared" si="6"/>
        <v>0</v>
      </c>
      <c r="H20" s="76"/>
      <c r="J20" s="3"/>
    </row>
    <row r="21" spans="1:11" x14ac:dyDescent="0.25">
      <c r="A21">
        <v>8.1999999999999993</v>
      </c>
      <c r="B21">
        <f t="shared" si="3"/>
        <v>0</v>
      </c>
      <c r="C21">
        <f t="shared" si="4"/>
        <v>0</v>
      </c>
      <c r="D21">
        <f t="shared" si="5"/>
        <v>0</v>
      </c>
      <c r="E21">
        <f t="shared" si="6"/>
        <v>0</v>
      </c>
      <c r="J21" s="3"/>
    </row>
    <row r="22" spans="1:11" ht="13.8" x14ac:dyDescent="0.3">
      <c r="A22">
        <v>10</v>
      </c>
      <c r="B22">
        <f t="shared" si="3"/>
        <v>0</v>
      </c>
      <c r="C22">
        <f t="shared" si="4"/>
        <v>0</v>
      </c>
      <c r="D22">
        <f t="shared" si="5"/>
        <v>0</v>
      </c>
      <c r="E22">
        <f t="shared" si="6"/>
        <v>0</v>
      </c>
      <c r="H22" s="76"/>
      <c r="J22" s="3"/>
      <c r="K22" s="17"/>
    </row>
    <row r="23" spans="1:11" x14ac:dyDescent="0.25">
      <c r="A23">
        <v>12</v>
      </c>
      <c r="B23">
        <f t="shared" si="3"/>
        <v>0</v>
      </c>
      <c r="C23">
        <f t="shared" si="4"/>
        <v>0</v>
      </c>
      <c r="D23">
        <f t="shared" si="5"/>
        <v>0</v>
      </c>
      <c r="E23">
        <f t="shared" si="6"/>
        <v>0</v>
      </c>
    </row>
    <row r="24" spans="1:11" x14ac:dyDescent="0.25">
      <c r="A24">
        <v>15</v>
      </c>
      <c r="B24">
        <f t="shared" si="3"/>
        <v>0</v>
      </c>
      <c r="C24">
        <f t="shared" si="4"/>
        <v>0</v>
      </c>
      <c r="D24">
        <f t="shared" si="5"/>
        <v>0</v>
      </c>
      <c r="E24">
        <f t="shared" si="6"/>
        <v>0</v>
      </c>
      <c r="J24" s="3"/>
    </row>
    <row r="25" spans="1:11" ht="13.8" x14ac:dyDescent="0.3">
      <c r="A25">
        <v>18</v>
      </c>
      <c r="B25">
        <f t="shared" si="3"/>
        <v>0</v>
      </c>
      <c r="C25">
        <f t="shared" si="4"/>
        <v>0</v>
      </c>
      <c r="D25">
        <f t="shared" si="5"/>
        <v>0</v>
      </c>
      <c r="E25">
        <f t="shared" si="6"/>
        <v>0</v>
      </c>
      <c r="H25" s="76"/>
      <c r="J25" s="3"/>
      <c r="K25" s="17"/>
    </row>
    <row r="26" spans="1:11" x14ac:dyDescent="0.25">
      <c r="A26">
        <v>22</v>
      </c>
      <c r="B26">
        <f t="shared" si="3"/>
        <v>0</v>
      </c>
      <c r="C26">
        <f t="shared" si="4"/>
        <v>0</v>
      </c>
      <c r="D26">
        <f t="shared" si="5"/>
        <v>0</v>
      </c>
      <c r="E26">
        <f t="shared" si="6"/>
        <v>0</v>
      </c>
    </row>
    <row r="27" spans="1:11" x14ac:dyDescent="0.25">
      <c r="A27">
        <v>27</v>
      </c>
      <c r="B27">
        <f t="shared" si="3"/>
        <v>0</v>
      </c>
      <c r="C27">
        <f t="shared" si="4"/>
        <v>0</v>
      </c>
      <c r="D27">
        <f t="shared" si="5"/>
        <v>0</v>
      </c>
      <c r="E27">
        <f t="shared" si="6"/>
        <v>0</v>
      </c>
    </row>
    <row r="28" spans="1:11" ht="13.8" x14ac:dyDescent="0.3">
      <c r="A28">
        <v>33</v>
      </c>
      <c r="B28">
        <f t="shared" si="3"/>
        <v>0</v>
      </c>
      <c r="C28">
        <f t="shared" si="4"/>
        <v>0</v>
      </c>
      <c r="D28">
        <f t="shared" si="5"/>
        <v>0</v>
      </c>
      <c r="E28">
        <f t="shared" si="6"/>
        <v>0</v>
      </c>
      <c r="H28" s="4"/>
      <c r="K28" s="17"/>
    </row>
    <row r="29" spans="1:11" x14ac:dyDescent="0.25">
      <c r="A29">
        <v>39</v>
      </c>
      <c r="B29">
        <f t="shared" si="3"/>
        <v>0</v>
      </c>
      <c r="C29">
        <f t="shared" si="4"/>
        <v>0</v>
      </c>
      <c r="D29">
        <f t="shared" si="5"/>
        <v>0</v>
      </c>
      <c r="E29">
        <f t="shared" si="6"/>
        <v>0</v>
      </c>
      <c r="H29" s="4"/>
      <c r="K29" s="76"/>
    </row>
    <row r="30" spans="1:11" x14ac:dyDescent="0.25">
      <c r="A30">
        <v>47</v>
      </c>
      <c r="B30">
        <f t="shared" si="3"/>
        <v>0</v>
      </c>
      <c r="C30">
        <f t="shared" si="4"/>
        <v>0</v>
      </c>
      <c r="D30">
        <f t="shared" si="5"/>
        <v>0</v>
      </c>
      <c r="E30">
        <f t="shared" si="6"/>
        <v>0</v>
      </c>
      <c r="H30" s="4"/>
      <c r="K30" s="76"/>
    </row>
    <row r="31" spans="1:11" ht="13.8" x14ac:dyDescent="0.3">
      <c r="A31">
        <v>56</v>
      </c>
      <c r="B31">
        <f t="shared" si="3"/>
        <v>0</v>
      </c>
      <c r="C31">
        <f t="shared" si="4"/>
        <v>0</v>
      </c>
      <c r="D31">
        <f t="shared" si="5"/>
        <v>0</v>
      </c>
      <c r="E31">
        <f t="shared" si="6"/>
        <v>0</v>
      </c>
      <c r="H31" s="4"/>
      <c r="K31" s="17"/>
    </row>
    <row r="32" spans="1:11" x14ac:dyDescent="0.25">
      <c r="A32">
        <v>68</v>
      </c>
      <c r="B32">
        <f t="shared" si="3"/>
        <v>0</v>
      </c>
      <c r="C32">
        <f t="shared" si="4"/>
        <v>0</v>
      </c>
      <c r="D32">
        <f t="shared" si="5"/>
        <v>0</v>
      </c>
      <c r="E32">
        <f t="shared" si="6"/>
        <v>0</v>
      </c>
      <c r="H32" s="4"/>
      <c r="K32" s="76"/>
    </row>
    <row r="33" spans="1:8" x14ac:dyDescent="0.25">
      <c r="A33">
        <v>82</v>
      </c>
      <c r="B33">
        <f t="shared" si="3"/>
        <v>0</v>
      </c>
      <c r="C33">
        <f t="shared" si="4"/>
        <v>0</v>
      </c>
      <c r="D33">
        <f t="shared" si="5"/>
        <v>0</v>
      </c>
      <c r="E33">
        <f t="shared" si="6"/>
        <v>0</v>
      </c>
    </row>
    <row r="34" spans="1:8" x14ac:dyDescent="0.25">
      <c r="A34">
        <f>A22*10</f>
        <v>100</v>
      </c>
      <c r="B34">
        <f t="shared" si="3"/>
        <v>0</v>
      </c>
      <c r="C34">
        <f t="shared" si="4"/>
        <v>0</v>
      </c>
      <c r="D34">
        <f t="shared" si="5"/>
        <v>0</v>
      </c>
      <c r="E34">
        <f t="shared" si="6"/>
        <v>0</v>
      </c>
      <c r="H34" s="76"/>
    </row>
    <row r="35" spans="1:8" x14ac:dyDescent="0.25">
      <c r="A35">
        <f t="shared" ref="A35:A98" si="8">A23*10</f>
        <v>120</v>
      </c>
      <c r="B35">
        <f t="shared" si="3"/>
        <v>0</v>
      </c>
      <c r="C35">
        <f t="shared" si="4"/>
        <v>0</v>
      </c>
      <c r="D35">
        <f t="shared" si="5"/>
        <v>0</v>
      </c>
      <c r="E35">
        <f t="shared" si="6"/>
        <v>0</v>
      </c>
      <c r="H35" s="76"/>
    </row>
    <row r="36" spans="1:8" x14ac:dyDescent="0.25">
      <c r="A36">
        <f t="shared" si="8"/>
        <v>150</v>
      </c>
      <c r="B36">
        <f t="shared" si="3"/>
        <v>0</v>
      </c>
      <c r="C36">
        <f t="shared" si="4"/>
        <v>0</v>
      </c>
      <c r="D36">
        <f t="shared" si="5"/>
        <v>0</v>
      </c>
      <c r="E36">
        <f t="shared" si="6"/>
        <v>0</v>
      </c>
    </row>
    <row r="37" spans="1:8" x14ac:dyDescent="0.25">
      <c r="A37">
        <f t="shared" si="8"/>
        <v>180</v>
      </c>
      <c r="B37">
        <f t="shared" si="3"/>
        <v>0</v>
      </c>
      <c r="C37">
        <f t="shared" si="4"/>
        <v>0</v>
      </c>
      <c r="D37">
        <f t="shared" si="5"/>
        <v>0</v>
      </c>
      <c r="E37">
        <f t="shared" si="6"/>
        <v>0</v>
      </c>
    </row>
    <row r="38" spans="1:8" x14ac:dyDescent="0.25">
      <c r="A38">
        <f t="shared" si="8"/>
        <v>220</v>
      </c>
      <c r="B38">
        <f t="shared" si="3"/>
        <v>0</v>
      </c>
      <c r="C38">
        <f t="shared" si="4"/>
        <v>0</v>
      </c>
      <c r="D38">
        <f t="shared" si="5"/>
        <v>0</v>
      </c>
      <c r="E38">
        <f t="shared" ref="E38:E69" si="9">IF(IF((E$3*10^12-$A39)*(E$3*10^12-$A38)*-1&lt;0,0,1)*IF(ABS(E$3*10^12-$A39)&gt;(E$3*10^12-$A38),$A38,$A39)=E39,0,IF((E$3*10^12-$A39)*(E$3*10^12-$A38)*-1&lt;0,0,1)*IF(ABS(E$3*10^12-$A39)&gt;(E$3*10^12-$A38),$A38,$A39))</f>
        <v>0</v>
      </c>
    </row>
    <row r="39" spans="1:8" x14ac:dyDescent="0.25">
      <c r="A39">
        <f t="shared" si="8"/>
        <v>270</v>
      </c>
      <c r="B39">
        <f t="shared" si="3"/>
        <v>0</v>
      </c>
      <c r="C39">
        <f t="shared" si="4"/>
        <v>0</v>
      </c>
      <c r="D39">
        <f t="shared" si="5"/>
        <v>0</v>
      </c>
      <c r="E39">
        <f t="shared" si="9"/>
        <v>0</v>
      </c>
    </row>
    <row r="40" spans="1:8" x14ac:dyDescent="0.25">
      <c r="A40">
        <f t="shared" si="8"/>
        <v>330</v>
      </c>
      <c r="B40">
        <f t="shared" si="3"/>
        <v>0</v>
      </c>
      <c r="C40">
        <f t="shared" si="4"/>
        <v>0</v>
      </c>
      <c r="D40">
        <f t="shared" si="5"/>
        <v>0</v>
      </c>
      <c r="E40">
        <f t="shared" si="9"/>
        <v>0</v>
      </c>
    </row>
    <row r="41" spans="1:8" x14ac:dyDescent="0.25">
      <c r="A41">
        <f t="shared" si="8"/>
        <v>390</v>
      </c>
      <c r="B41">
        <f t="shared" si="3"/>
        <v>0</v>
      </c>
      <c r="C41">
        <f t="shared" si="4"/>
        <v>0</v>
      </c>
      <c r="D41">
        <f t="shared" si="5"/>
        <v>0</v>
      </c>
      <c r="E41">
        <f t="shared" si="9"/>
        <v>0</v>
      </c>
    </row>
    <row r="42" spans="1:8" x14ac:dyDescent="0.25">
      <c r="A42">
        <f t="shared" si="8"/>
        <v>470</v>
      </c>
      <c r="B42">
        <f t="shared" si="3"/>
        <v>0</v>
      </c>
      <c r="C42">
        <f t="shared" si="4"/>
        <v>0</v>
      </c>
      <c r="D42">
        <f t="shared" si="5"/>
        <v>0</v>
      </c>
      <c r="E42">
        <f t="shared" si="9"/>
        <v>0</v>
      </c>
    </row>
    <row r="43" spans="1:8" x14ac:dyDescent="0.25">
      <c r="A43">
        <f t="shared" si="8"/>
        <v>560</v>
      </c>
      <c r="B43">
        <f t="shared" si="3"/>
        <v>0</v>
      </c>
      <c r="C43">
        <f t="shared" si="4"/>
        <v>0</v>
      </c>
      <c r="D43">
        <f t="shared" si="5"/>
        <v>0</v>
      </c>
      <c r="E43">
        <f t="shared" si="9"/>
        <v>0</v>
      </c>
    </row>
    <row r="44" spans="1:8" x14ac:dyDescent="0.25">
      <c r="A44">
        <f t="shared" si="8"/>
        <v>680</v>
      </c>
      <c r="B44">
        <f t="shared" si="3"/>
        <v>0</v>
      </c>
      <c r="C44">
        <f t="shared" si="4"/>
        <v>0</v>
      </c>
      <c r="D44">
        <f t="shared" si="5"/>
        <v>0</v>
      </c>
      <c r="E44">
        <f t="shared" si="9"/>
        <v>0</v>
      </c>
    </row>
    <row r="45" spans="1:8" x14ac:dyDescent="0.25">
      <c r="A45">
        <f>A33*10</f>
        <v>820</v>
      </c>
      <c r="B45">
        <f t="shared" si="3"/>
        <v>0</v>
      </c>
      <c r="C45">
        <f t="shared" si="4"/>
        <v>0</v>
      </c>
      <c r="D45">
        <f t="shared" si="5"/>
        <v>0</v>
      </c>
      <c r="E45">
        <f t="shared" si="9"/>
        <v>0</v>
      </c>
    </row>
    <row r="46" spans="1:8" x14ac:dyDescent="0.25">
      <c r="A46">
        <f t="shared" si="8"/>
        <v>1000</v>
      </c>
      <c r="B46">
        <f t="shared" si="3"/>
        <v>0</v>
      </c>
      <c r="C46">
        <f t="shared" si="4"/>
        <v>0</v>
      </c>
      <c r="D46">
        <f t="shared" si="5"/>
        <v>0</v>
      </c>
      <c r="E46">
        <f t="shared" si="9"/>
        <v>0</v>
      </c>
    </row>
    <row r="47" spans="1:8" x14ac:dyDescent="0.25">
      <c r="A47">
        <f t="shared" si="8"/>
        <v>1200</v>
      </c>
      <c r="B47">
        <f t="shared" si="3"/>
        <v>0</v>
      </c>
      <c r="C47">
        <f t="shared" si="4"/>
        <v>0</v>
      </c>
      <c r="D47">
        <f t="shared" si="5"/>
        <v>0</v>
      </c>
      <c r="E47">
        <f t="shared" si="9"/>
        <v>0</v>
      </c>
    </row>
    <row r="48" spans="1:8" x14ac:dyDescent="0.25">
      <c r="A48">
        <f t="shared" si="8"/>
        <v>1500</v>
      </c>
      <c r="B48">
        <f t="shared" si="3"/>
        <v>0</v>
      </c>
      <c r="C48">
        <f t="shared" si="4"/>
        <v>0</v>
      </c>
      <c r="D48">
        <f t="shared" si="5"/>
        <v>0</v>
      </c>
      <c r="E48">
        <f t="shared" si="9"/>
        <v>0</v>
      </c>
    </row>
    <row r="49" spans="1:5" x14ac:dyDescent="0.25">
      <c r="A49">
        <f t="shared" si="8"/>
        <v>1800</v>
      </c>
      <c r="B49">
        <f t="shared" si="3"/>
        <v>0</v>
      </c>
      <c r="C49">
        <f t="shared" si="4"/>
        <v>0</v>
      </c>
      <c r="D49">
        <f t="shared" si="5"/>
        <v>0</v>
      </c>
      <c r="E49">
        <f t="shared" si="9"/>
        <v>0</v>
      </c>
    </row>
    <row r="50" spans="1:5" x14ac:dyDescent="0.25">
      <c r="A50">
        <f t="shared" si="8"/>
        <v>2200</v>
      </c>
      <c r="B50">
        <f t="shared" si="3"/>
        <v>0</v>
      </c>
      <c r="C50">
        <f t="shared" si="4"/>
        <v>0</v>
      </c>
      <c r="D50">
        <f t="shared" si="5"/>
        <v>0</v>
      </c>
      <c r="E50">
        <f t="shared" si="9"/>
        <v>0</v>
      </c>
    </row>
    <row r="51" spans="1:5" x14ac:dyDescent="0.25">
      <c r="A51">
        <f t="shared" si="8"/>
        <v>2700</v>
      </c>
      <c r="B51">
        <f t="shared" si="3"/>
        <v>0</v>
      </c>
      <c r="C51">
        <f t="shared" si="4"/>
        <v>0</v>
      </c>
      <c r="D51">
        <f t="shared" si="5"/>
        <v>0</v>
      </c>
      <c r="E51">
        <f t="shared" si="9"/>
        <v>0</v>
      </c>
    </row>
    <row r="52" spans="1:5" x14ac:dyDescent="0.25">
      <c r="A52">
        <f t="shared" si="8"/>
        <v>3300</v>
      </c>
      <c r="B52">
        <f t="shared" si="3"/>
        <v>0</v>
      </c>
      <c r="C52">
        <f t="shared" si="4"/>
        <v>0</v>
      </c>
      <c r="D52">
        <f t="shared" si="5"/>
        <v>0</v>
      </c>
      <c r="E52">
        <f t="shared" si="9"/>
        <v>0</v>
      </c>
    </row>
    <row r="53" spans="1:5" x14ac:dyDescent="0.25">
      <c r="A53">
        <f t="shared" si="8"/>
        <v>3900</v>
      </c>
      <c r="B53">
        <f t="shared" si="3"/>
        <v>0</v>
      </c>
      <c r="C53">
        <f t="shared" si="4"/>
        <v>0</v>
      </c>
      <c r="D53">
        <f t="shared" si="5"/>
        <v>0</v>
      </c>
      <c r="E53">
        <f t="shared" si="9"/>
        <v>0</v>
      </c>
    </row>
    <row r="54" spans="1:5" x14ac:dyDescent="0.25">
      <c r="A54">
        <f t="shared" si="8"/>
        <v>4700</v>
      </c>
      <c r="B54">
        <f t="shared" si="3"/>
        <v>0</v>
      </c>
      <c r="C54">
        <f t="shared" si="4"/>
        <v>0</v>
      </c>
      <c r="D54">
        <f t="shared" si="5"/>
        <v>0</v>
      </c>
      <c r="E54">
        <f t="shared" si="9"/>
        <v>0</v>
      </c>
    </row>
    <row r="55" spans="1:5" x14ac:dyDescent="0.25">
      <c r="A55">
        <f t="shared" si="8"/>
        <v>5600</v>
      </c>
      <c r="B55">
        <f t="shared" si="3"/>
        <v>0</v>
      </c>
      <c r="C55">
        <f t="shared" si="4"/>
        <v>0</v>
      </c>
      <c r="D55">
        <f t="shared" si="5"/>
        <v>0</v>
      </c>
      <c r="E55">
        <f t="shared" si="9"/>
        <v>0</v>
      </c>
    </row>
    <row r="56" spans="1:5" x14ac:dyDescent="0.25">
      <c r="A56">
        <f t="shared" si="8"/>
        <v>6800</v>
      </c>
      <c r="B56">
        <f t="shared" si="3"/>
        <v>0</v>
      </c>
      <c r="C56">
        <f t="shared" si="4"/>
        <v>0</v>
      </c>
      <c r="D56">
        <f t="shared" si="5"/>
        <v>0</v>
      </c>
      <c r="E56">
        <f t="shared" si="9"/>
        <v>0</v>
      </c>
    </row>
    <row r="57" spans="1:5" x14ac:dyDescent="0.25">
      <c r="A57">
        <f t="shared" si="8"/>
        <v>8200</v>
      </c>
      <c r="B57">
        <f t="shared" si="3"/>
        <v>0</v>
      </c>
      <c r="C57">
        <f t="shared" si="4"/>
        <v>0</v>
      </c>
      <c r="D57">
        <f t="shared" si="5"/>
        <v>0</v>
      </c>
      <c r="E57">
        <f t="shared" si="9"/>
        <v>0</v>
      </c>
    </row>
    <row r="58" spans="1:5" x14ac:dyDescent="0.25">
      <c r="A58">
        <f t="shared" si="8"/>
        <v>10000</v>
      </c>
      <c r="B58">
        <f t="shared" si="3"/>
        <v>0</v>
      </c>
      <c r="C58">
        <f t="shared" si="4"/>
        <v>0</v>
      </c>
      <c r="D58">
        <f t="shared" si="5"/>
        <v>0</v>
      </c>
      <c r="E58">
        <f t="shared" si="9"/>
        <v>0</v>
      </c>
    </row>
    <row r="59" spans="1:5" x14ac:dyDescent="0.25">
      <c r="A59">
        <f t="shared" si="8"/>
        <v>12000</v>
      </c>
      <c r="B59">
        <f t="shared" si="3"/>
        <v>0</v>
      </c>
      <c r="C59">
        <f t="shared" si="4"/>
        <v>0</v>
      </c>
      <c r="D59">
        <f t="shared" si="5"/>
        <v>0</v>
      </c>
      <c r="E59">
        <f t="shared" si="9"/>
        <v>0</v>
      </c>
    </row>
    <row r="60" spans="1:5" x14ac:dyDescent="0.25">
      <c r="A60">
        <f t="shared" si="8"/>
        <v>15000</v>
      </c>
      <c r="B60">
        <f t="shared" si="3"/>
        <v>0</v>
      </c>
      <c r="C60">
        <f t="shared" si="4"/>
        <v>0</v>
      </c>
      <c r="D60">
        <f t="shared" si="5"/>
        <v>0</v>
      </c>
      <c r="E60">
        <f t="shared" si="9"/>
        <v>0</v>
      </c>
    </row>
    <row r="61" spans="1:5" x14ac:dyDescent="0.25">
      <c r="A61">
        <f t="shared" si="8"/>
        <v>18000</v>
      </c>
      <c r="B61">
        <f t="shared" si="3"/>
        <v>0</v>
      </c>
      <c r="C61">
        <f t="shared" si="4"/>
        <v>0</v>
      </c>
      <c r="D61">
        <f t="shared" si="5"/>
        <v>0</v>
      </c>
      <c r="E61">
        <f t="shared" si="9"/>
        <v>0</v>
      </c>
    </row>
    <row r="62" spans="1:5" x14ac:dyDescent="0.25">
      <c r="A62">
        <f t="shared" si="8"/>
        <v>22000</v>
      </c>
      <c r="B62">
        <f t="shared" si="3"/>
        <v>0</v>
      </c>
      <c r="C62">
        <f t="shared" si="4"/>
        <v>0</v>
      </c>
      <c r="D62">
        <f t="shared" si="5"/>
        <v>0</v>
      </c>
      <c r="E62">
        <f t="shared" si="9"/>
        <v>0</v>
      </c>
    </row>
    <row r="63" spans="1:5" x14ac:dyDescent="0.25">
      <c r="A63">
        <f t="shared" si="8"/>
        <v>27000</v>
      </c>
      <c r="B63">
        <f t="shared" si="3"/>
        <v>0</v>
      </c>
      <c r="C63">
        <f t="shared" si="4"/>
        <v>0</v>
      </c>
      <c r="D63">
        <f t="shared" si="5"/>
        <v>0</v>
      </c>
      <c r="E63">
        <f t="shared" si="9"/>
        <v>0</v>
      </c>
    </row>
    <row r="64" spans="1:5" x14ac:dyDescent="0.25">
      <c r="A64">
        <f t="shared" si="8"/>
        <v>33000</v>
      </c>
      <c r="B64">
        <f t="shared" si="3"/>
        <v>0</v>
      </c>
      <c r="C64">
        <f t="shared" si="4"/>
        <v>0</v>
      </c>
      <c r="D64">
        <f t="shared" si="5"/>
        <v>0</v>
      </c>
      <c r="E64">
        <f t="shared" si="9"/>
        <v>0</v>
      </c>
    </row>
    <row r="65" spans="1:5" x14ac:dyDescent="0.25">
      <c r="A65">
        <f t="shared" si="8"/>
        <v>39000</v>
      </c>
      <c r="B65">
        <f t="shared" si="3"/>
        <v>47000</v>
      </c>
      <c r="C65">
        <f t="shared" si="4"/>
        <v>0</v>
      </c>
      <c r="D65">
        <f t="shared" si="5"/>
        <v>0</v>
      </c>
      <c r="E65">
        <f t="shared" si="9"/>
        <v>0</v>
      </c>
    </row>
    <row r="66" spans="1:5" x14ac:dyDescent="0.25">
      <c r="A66">
        <f t="shared" si="8"/>
        <v>47000</v>
      </c>
      <c r="B66">
        <f t="shared" si="3"/>
        <v>0</v>
      </c>
      <c r="C66">
        <f t="shared" si="4"/>
        <v>0</v>
      </c>
      <c r="D66">
        <f t="shared" si="5"/>
        <v>0</v>
      </c>
      <c r="E66">
        <f t="shared" si="9"/>
        <v>0</v>
      </c>
    </row>
    <row r="67" spans="1:5" x14ac:dyDescent="0.25">
      <c r="A67">
        <f t="shared" si="8"/>
        <v>56000</v>
      </c>
      <c r="B67">
        <f t="shared" si="3"/>
        <v>0</v>
      </c>
      <c r="C67">
        <f t="shared" si="4"/>
        <v>0</v>
      </c>
      <c r="D67">
        <f t="shared" si="5"/>
        <v>0</v>
      </c>
      <c r="E67">
        <f t="shared" si="9"/>
        <v>0</v>
      </c>
    </row>
    <row r="68" spans="1:5" x14ac:dyDescent="0.25">
      <c r="A68">
        <f t="shared" si="8"/>
        <v>68000</v>
      </c>
      <c r="B68">
        <f t="shared" si="3"/>
        <v>0</v>
      </c>
      <c r="C68">
        <f t="shared" si="4"/>
        <v>0</v>
      </c>
      <c r="D68">
        <f t="shared" si="5"/>
        <v>0</v>
      </c>
      <c r="E68">
        <f t="shared" si="9"/>
        <v>0</v>
      </c>
    </row>
    <row r="69" spans="1:5" x14ac:dyDescent="0.25">
      <c r="A69">
        <f t="shared" si="8"/>
        <v>82000</v>
      </c>
      <c r="B69">
        <f t="shared" si="3"/>
        <v>0</v>
      </c>
      <c r="C69">
        <f t="shared" si="4"/>
        <v>0</v>
      </c>
      <c r="D69">
        <f t="shared" si="5"/>
        <v>0</v>
      </c>
      <c r="E69">
        <f t="shared" si="9"/>
        <v>0</v>
      </c>
    </row>
    <row r="70" spans="1:5" x14ac:dyDescent="0.25">
      <c r="A70">
        <f t="shared" si="8"/>
        <v>100000</v>
      </c>
      <c r="B70">
        <f t="shared" si="3"/>
        <v>0</v>
      </c>
      <c r="C70">
        <f t="shared" ref="C70:D70" si="10">IF(IF((C$3*10^12-$A71)*(C$3*10^12-$A70)*-1&lt;0,0,1)*IF(ABS(C$3*10^12-$A71)&gt;(C$3*10^12-$A70),$A70,$A71)=C71,0,IF((C$3*10^12-$A71)*(C$3*10^12-$A70)*-1&lt;0,0,1)*IF(ABS(C$3*10^12-$A71)&gt;(C$3*10^12-$A70),$A70,$A71))</f>
        <v>0</v>
      </c>
      <c r="D70">
        <f t="shared" si="10"/>
        <v>0</v>
      </c>
      <c r="E70">
        <f t="shared" ref="E70:E101" si="11">IF(IF((E$3*10^12-$A71)*(E$3*10^12-$A70)*-1&lt;0,0,1)*IF(ABS(E$3*10^12-$A71)&gt;(E$3*10^12-$A70),$A70,$A71)=E71,0,IF((E$3*10^12-$A71)*(E$3*10^12-$A70)*-1&lt;0,0,1)*IF(ABS(E$3*10^12-$A71)&gt;(E$3*10^12-$A70),$A70,$A71))</f>
        <v>0</v>
      </c>
    </row>
    <row r="71" spans="1:5" x14ac:dyDescent="0.25">
      <c r="A71">
        <f t="shared" si="8"/>
        <v>120000</v>
      </c>
      <c r="B71">
        <f t="shared" ref="B71:B134" si="12">IF(IF((B$3*10^12-$A72)*(B$3*10^12-$A71)*-1&lt;0,0,1)*IF(ABS(B$3*10^12-$A72)&gt;(B$3*10^12-$A71),$A71,$A72)=B72,0,IF((B$3*10^12-$A72)*(B$3*10^12-$A71)*-1&lt;0,0,1)*IF(ABS(B$3*10^12-$A72)&gt;(B$3*10^12-$A71),$A71,$A72))</f>
        <v>0</v>
      </c>
      <c r="C71">
        <f t="shared" ref="C71:C133" si="13">IF(IF((C$3*10^12-$A72)*(C$3*10^12-$A71)*-1&lt;0,0,1)*IF(ABS(C$3*10^12-$A72)&gt;(C$3*10^12-$A71),$A71,$A72)=C72,0,IF((C$3*10^12-$A72)*(C$3*10^12-$A71)*-1&lt;0,0,1)*IF(ABS(C$3*10^12-$A72)&gt;(C$3*10^12-$A71),$A71,$A72))</f>
        <v>0</v>
      </c>
      <c r="D71">
        <f t="shared" ref="D71:D102" si="14">IF(IF((D$3*10^12-$A72)*(D$3*10^12-$A71)*-1&lt;0,0,1)*IF(ABS(D$3*10^12-$A72)&gt;(D$3*10^12-$A71),$A71,$A72)=D72,0,IF((D$3*10^12-$A72)*(D$3*10^12-$A71)*-1&lt;0,0,1)*IF(ABS(D$3*10^12-$A72)&gt;(D$3*10^12-$A71),$A71,$A72))</f>
        <v>0</v>
      </c>
      <c r="E71">
        <f t="shared" si="11"/>
        <v>0</v>
      </c>
    </row>
    <row r="72" spans="1:5" x14ac:dyDescent="0.25">
      <c r="A72">
        <f t="shared" si="8"/>
        <v>150000</v>
      </c>
      <c r="B72">
        <f t="shared" si="12"/>
        <v>0</v>
      </c>
      <c r="C72">
        <f t="shared" si="13"/>
        <v>0</v>
      </c>
      <c r="D72">
        <f t="shared" si="14"/>
        <v>0</v>
      </c>
      <c r="E72">
        <f t="shared" si="11"/>
        <v>0</v>
      </c>
    </row>
    <row r="73" spans="1:5" x14ac:dyDescent="0.25">
      <c r="A73">
        <f t="shared" si="8"/>
        <v>180000</v>
      </c>
      <c r="B73">
        <f t="shared" si="12"/>
        <v>0</v>
      </c>
      <c r="C73">
        <f t="shared" si="13"/>
        <v>0</v>
      </c>
      <c r="D73">
        <f t="shared" si="14"/>
        <v>0</v>
      </c>
      <c r="E73">
        <f t="shared" si="11"/>
        <v>0</v>
      </c>
    </row>
    <row r="74" spans="1:5" x14ac:dyDescent="0.25">
      <c r="A74">
        <f t="shared" si="8"/>
        <v>220000</v>
      </c>
      <c r="B74">
        <f t="shared" si="12"/>
        <v>0</v>
      </c>
      <c r="C74">
        <f t="shared" si="13"/>
        <v>0</v>
      </c>
      <c r="D74">
        <f t="shared" si="14"/>
        <v>0</v>
      </c>
      <c r="E74">
        <f t="shared" si="11"/>
        <v>0</v>
      </c>
    </row>
    <row r="75" spans="1:5" x14ac:dyDescent="0.25">
      <c r="A75">
        <f t="shared" si="8"/>
        <v>270000</v>
      </c>
      <c r="B75">
        <f t="shared" si="12"/>
        <v>0</v>
      </c>
      <c r="C75">
        <f t="shared" si="13"/>
        <v>0</v>
      </c>
      <c r="D75">
        <f t="shared" si="14"/>
        <v>0</v>
      </c>
      <c r="E75">
        <f t="shared" si="11"/>
        <v>0</v>
      </c>
    </row>
    <row r="76" spans="1:5" x14ac:dyDescent="0.25">
      <c r="A76">
        <f t="shared" si="8"/>
        <v>330000</v>
      </c>
      <c r="B76">
        <f t="shared" si="12"/>
        <v>0</v>
      </c>
      <c r="C76">
        <f t="shared" si="13"/>
        <v>0</v>
      </c>
      <c r="D76">
        <f t="shared" si="14"/>
        <v>0</v>
      </c>
      <c r="E76">
        <f t="shared" si="11"/>
        <v>0</v>
      </c>
    </row>
    <row r="77" spans="1:5" x14ac:dyDescent="0.25">
      <c r="A77">
        <f t="shared" si="8"/>
        <v>390000</v>
      </c>
      <c r="B77">
        <f t="shared" si="12"/>
        <v>0</v>
      </c>
      <c r="C77">
        <f t="shared" si="13"/>
        <v>0</v>
      </c>
      <c r="D77">
        <f t="shared" si="14"/>
        <v>0</v>
      </c>
      <c r="E77">
        <f t="shared" si="11"/>
        <v>0</v>
      </c>
    </row>
    <row r="78" spans="1:5" x14ac:dyDescent="0.25">
      <c r="A78">
        <f t="shared" si="8"/>
        <v>470000</v>
      </c>
      <c r="B78">
        <f t="shared" si="12"/>
        <v>0</v>
      </c>
      <c r="C78">
        <f t="shared" si="13"/>
        <v>0</v>
      </c>
      <c r="D78">
        <f t="shared" si="14"/>
        <v>0</v>
      </c>
      <c r="E78">
        <f t="shared" si="11"/>
        <v>0</v>
      </c>
    </row>
    <row r="79" spans="1:5" x14ac:dyDescent="0.25">
      <c r="A79">
        <f t="shared" si="8"/>
        <v>560000</v>
      </c>
      <c r="B79">
        <f t="shared" si="12"/>
        <v>0</v>
      </c>
      <c r="C79">
        <f t="shared" si="13"/>
        <v>0</v>
      </c>
      <c r="D79">
        <f t="shared" si="14"/>
        <v>0</v>
      </c>
      <c r="E79">
        <f t="shared" si="11"/>
        <v>0</v>
      </c>
    </row>
    <row r="80" spans="1:5" x14ac:dyDescent="0.25">
      <c r="A80">
        <f t="shared" si="8"/>
        <v>680000</v>
      </c>
      <c r="B80">
        <f t="shared" si="12"/>
        <v>0</v>
      </c>
      <c r="C80">
        <f t="shared" si="13"/>
        <v>0</v>
      </c>
      <c r="D80">
        <f t="shared" si="14"/>
        <v>0</v>
      </c>
      <c r="E80">
        <f t="shared" si="11"/>
        <v>0</v>
      </c>
    </row>
    <row r="81" spans="1:5" x14ac:dyDescent="0.25">
      <c r="A81">
        <f t="shared" si="8"/>
        <v>820000</v>
      </c>
      <c r="B81">
        <f t="shared" si="12"/>
        <v>0</v>
      </c>
      <c r="C81">
        <f t="shared" si="13"/>
        <v>0</v>
      </c>
      <c r="D81">
        <f t="shared" si="14"/>
        <v>0</v>
      </c>
      <c r="E81">
        <f t="shared" si="11"/>
        <v>0</v>
      </c>
    </row>
    <row r="82" spans="1:5" x14ac:dyDescent="0.25">
      <c r="A82">
        <f t="shared" si="8"/>
        <v>1000000</v>
      </c>
      <c r="B82">
        <f t="shared" si="12"/>
        <v>0</v>
      </c>
      <c r="C82">
        <f t="shared" si="13"/>
        <v>0</v>
      </c>
      <c r="D82">
        <f t="shared" si="14"/>
        <v>0</v>
      </c>
      <c r="E82">
        <f t="shared" si="11"/>
        <v>0</v>
      </c>
    </row>
    <row r="83" spans="1:5" x14ac:dyDescent="0.25">
      <c r="A83">
        <f t="shared" si="8"/>
        <v>1200000</v>
      </c>
      <c r="B83">
        <f t="shared" si="12"/>
        <v>0</v>
      </c>
      <c r="C83">
        <f t="shared" si="13"/>
        <v>0</v>
      </c>
      <c r="D83">
        <f t="shared" si="14"/>
        <v>0</v>
      </c>
      <c r="E83">
        <f t="shared" si="11"/>
        <v>0</v>
      </c>
    </row>
    <row r="84" spans="1:5" x14ac:dyDescent="0.25">
      <c r="A84">
        <f t="shared" si="8"/>
        <v>1500000</v>
      </c>
      <c r="B84">
        <f t="shared" si="12"/>
        <v>0</v>
      </c>
      <c r="C84">
        <f t="shared" si="13"/>
        <v>0</v>
      </c>
      <c r="D84">
        <f t="shared" si="14"/>
        <v>0</v>
      </c>
      <c r="E84">
        <f t="shared" si="11"/>
        <v>0</v>
      </c>
    </row>
    <row r="85" spans="1:5" x14ac:dyDescent="0.25">
      <c r="A85">
        <f t="shared" si="8"/>
        <v>1800000</v>
      </c>
      <c r="B85">
        <f t="shared" si="12"/>
        <v>0</v>
      </c>
      <c r="C85">
        <f t="shared" si="13"/>
        <v>0</v>
      </c>
      <c r="D85">
        <f t="shared" si="14"/>
        <v>0</v>
      </c>
      <c r="E85">
        <f t="shared" si="11"/>
        <v>0</v>
      </c>
    </row>
    <row r="86" spans="1:5" x14ac:dyDescent="0.25">
      <c r="A86">
        <f t="shared" si="8"/>
        <v>2200000</v>
      </c>
      <c r="B86">
        <f t="shared" si="12"/>
        <v>0</v>
      </c>
      <c r="C86">
        <f t="shared" si="13"/>
        <v>0</v>
      </c>
      <c r="D86">
        <f t="shared" si="14"/>
        <v>0</v>
      </c>
      <c r="E86">
        <f t="shared" si="11"/>
        <v>0</v>
      </c>
    </row>
    <row r="87" spans="1:5" x14ac:dyDescent="0.25">
      <c r="A87">
        <f t="shared" si="8"/>
        <v>2700000</v>
      </c>
      <c r="B87">
        <f t="shared" si="12"/>
        <v>0</v>
      </c>
      <c r="C87">
        <f t="shared" si="13"/>
        <v>0</v>
      </c>
      <c r="D87">
        <f t="shared" si="14"/>
        <v>0</v>
      </c>
      <c r="E87">
        <f t="shared" si="11"/>
        <v>0</v>
      </c>
    </row>
    <row r="88" spans="1:5" x14ac:dyDescent="0.25">
      <c r="A88">
        <f t="shared" si="8"/>
        <v>3300000</v>
      </c>
      <c r="B88">
        <f t="shared" si="12"/>
        <v>0</v>
      </c>
      <c r="C88">
        <f t="shared" si="13"/>
        <v>0</v>
      </c>
      <c r="D88">
        <f t="shared" si="14"/>
        <v>0</v>
      </c>
      <c r="E88">
        <f t="shared" si="11"/>
        <v>0</v>
      </c>
    </row>
    <row r="89" spans="1:5" x14ac:dyDescent="0.25">
      <c r="A89">
        <f t="shared" si="8"/>
        <v>3900000</v>
      </c>
      <c r="B89">
        <f t="shared" si="12"/>
        <v>0</v>
      </c>
      <c r="C89">
        <f t="shared" si="13"/>
        <v>0</v>
      </c>
      <c r="D89">
        <f t="shared" si="14"/>
        <v>0</v>
      </c>
      <c r="E89">
        <f t="shared" si="11"/>
        <v>0</v>
      </c>
    </row>
    <row r="90" spans="1:5" x14ac:dyDescent="0.25">
      <c r="A90">
        <f t="shared" si="8"/>
        <v>4700000</v>
      </c>
      <c r="B90">
        <f t="shared" si="12"/>
        <v>0</v>
      </c>
      <c r="C90">
        <f t="shared" si="13"/>
        <v>0</v>
      </c>
      <c r="D90">
        <f t="shared" si="14"/>
        <v>0</v>
      </c>
      <c r="E90">
        <f t="shared" si="11"/>
        <v>0</v>
      </c>
    </row>
    <row r="91" spans="1:5" x14ac:dyDescent="0.25">
      <c r="A91">
        <f t="shared" si="8"/>
        <v>5600000</v>
      </c>
      <c r="B91">
        <f t="shared" si="12"/>
        <v>0</v>
      </c>
      <c r="C91">
        <f t="shared" si="13"/>
        <v>0</v>
      </c>
      <c r="D91">
        <f t="shared" si="14"/>
        <v>0</v>
      </c>
      <c r="E91">
        <f t="shared" si="11"/>
        <v>0</v>
      </c>
    </row>
    <row r="92" spans="1:5" x14ac:dyDescent="0.25">
      <c r="A92">
        <f t="shared" si="8"/>
        <v>6800000</v>
      </c>
      <c r="B92">
        <f t="shared" si="12"/>
        <v>0</v>
      </c>
      <c r="C92">
        <f t="shared" si="13"/>
        <v>0</v>
      </c>
      <c r="D92">
        <f t="shared" si="14"/>
        <v>0</v>
      </c>
      <c r="E92">
        <f t="shared" si="11"/>
        <v>0</v>
      </c>
    </row>
    <row r="93" spans="1:5" x14ac:dyDescent="0.25">
      <c r="A93">
        <f t="shared" si="8"/>
        <v>8200000</v>
      </c>
      <c r="B93">
        <f t="shared" si="12"/>
        <v>0</v>
      </c>
      <c r="C93">
        <f t="shared" si="13"/>
        <v>0</v>
      </c>
      <c r="D93">
        <f t="shared" si="14"/>
        <v>0</v>
      </c>
      <c r="E93">
        <f t="shared" si="11"/>
        <v>0</v>
      </c>
    </row>
    <row r="94" spans="1:5" x14ac:dyDescent="0.25">
      <c r="A94">
        <f t="shared" si="8"/>
        <v>10000000</v>
      </c>
      <c r="B94">
        <f t="shared" si="12"/>
        <v>0</v>
      </c>
      <c r="C94">
        <f t="shared" si="13"/>
        <v>0</v>
      </c>
      <c r="D94">
        <f t="shared" si="14"/>
        <v>0</v>
      </c>
      <c r="E94">
        <f t="shared" si="11"/>
        <v>0</v>
      </c>
    </row>
    <row r="95" spans="1:5" x14ac:dyDescent="0.25">
      <c r="A95">
        <f t="shared" si="8"/>
        <v>12000000</v>
      </c>
      <c r="B95">
        <f t="shared" si="12"/>
        <v>0</v>
      </c>
      <c r="C95">
        <f t="shared" si="13"/>
        <v>0</v>
      </c>
      <c r="D95">
        <f t="shared" si="14"/>
        <v>0</v>
      </c>
      <c r="E95">
        <f t="shared" si="11"/>
        <v>0</v>
      </c>
    </row>
    <row r="96" spans="1:5" x14ac:dyDescent="0.25">
      <c r="A96">
        <f t="shared" si="8"/>
        <v>15000000</v>
      </c>
      <c r="B96">
        <f t="shared" si="12"/>
        <v>0</v>
      </c>
      <c r="C96">
        <f t="shared" si="13"/>
        <v>0</v>
      </c>
      <c r="D96">
        <f t="shared" si="14"/>
        <v>0</v>
      </c>
      <c r="E96">
        <f t="shared" si="11"/>
        <v>0</v>
      </c>
    </row>
    <row r="97" spans="1:5" x14ac:dyDescent="0.25">
      <c r="A97">
        <f t="shared" si="8"/>
        <v>18000000</v>
      </c>
      <c r="B97">
        <f t="shared" si="12"/>
        <v>0</v>
      </c>
      <c r="C97">
        <f t="shared" si="13"/>
        <v>0</v>
      </c>
      <c r="D97">
        <f t="shared" si="14"/>
        <v>0</v>
      </c>
      <c r="E97">
        <f t="shared" si="11"/>
        <v>0</v>
      </c>
    </row>
    <row r="98" spans="1:5" x14ac:dyDescent="0.25">
      <c r="A98">
        <f t="shared" si="8"/>
        <v>22000000</v>
      </c>
      <c r="B98">
        <f t="shared" si="12"/>
        <v>0</v>
      </c>
      <c r="C98">
        <f t="shared" si="13"/>
        <v>0</v>
      </c>
      <c r="D98">
        <f t="shared" si="14"/>
        <v>0</v>
      </c>
      <c r="E98">
        <f t="shared" si="11"/>
        <v>0</v>
      </c>
    </row>
    <row r="99" spans="1:5" x14ac:dyDescent="0.25">
      <c r="A99">
        <f t="shared" ref="A99:A159" si="15">A87*10</f>
        <v>27000000</v>
      </c>
      <c r="B99">
        <f t="shared" si="12"/>
        <v>0</v>
      </c>
      <c r="C99">
        <f t="shared" si="13"/>
        <v>0</v>
      </c>
      <c r="D99">
        <f t="shared" si="14"/>
        <v>0</v>
      </c>
      <c r="E99">
        <f t="shared" si="11"/>
        <v>0</v>
      </c>
    </row>
    <row r="100" spans="1:5" x14ac:dyDescent="0.25">
      <c r="A100">
        <f t="shared" si="15"/>
        <v>33000000</v>
      </c>
      <c r="B100">
        <f t="shared" si="12"/>
        <v>0</v>
      </c>
      <c r="C100">
        <f t="shared" si="13"/>
        <v>0</v>
      </c>
      <c r="D100">
        <f t="shared" si="14"/>
        <v>0</v>
      </c>
      <c r="E100">
        <f t="shared" si="11"/>
        <v>0</v>
      </c>
    </row>
    <row r="101" spans="1:5" x14ac:dyDescent="0.25">
      <c r="A101">
        <f t="shared" si="15"/>
        <v>39000000</v>
      </c>
      <c r="B101">
        <f t="shared" si="12"/>
        <v>0</v>
      </c>
      <c r="C101">
        <f t="shared" si="13"/>
        <v>0</v>
      </c>
      <c r="D101">
        <f t="shared" si="14"/>
        <v>0</v>
      </c>
      <c r="E101">
        <f t="shared" si="11"/>
        <v>0</v>
      </c>
    </row>
    <row r="102" spans="1:5" x14ac:dyDescent="0.25">
      <c r="A102">
        <f t="shared" si="15"/>
        <v>47000000</v>
      </c>
      <c r="B102">
        <f t="shared" si="12"/>
        <v>0</v>
      </c>
      <c r="C102">
        <f t="shared" si="13"/>
        <v>0</v>
      </c>
      <c r="D102">
        <f t="shared" si="14"/>
        <v>0</v>
      </c>
      <c r="E102">
        <f t="shared" ref="E102:E133" si="16">IF(IF((E$3*10^12-$A103)*(E$3*10^12-$A102)*-1&lt;0,0,1)*IF(ABS(E$3*10^12-$A103)&gt;(E$3*10^12-$A102),$A102,$A103)=E103,0,IF((E$3*10^12-$A103)*(E$3*10^12-$A102)*-1&lt;0,0,1)*IF(ABS(E$3*10^12-$A103)&gt;(E$3*10^12-$A102),$A102,$A103))</f>
        <v>0</v>
      </c>
    </row>
    <row r="103" spans="1:5" x14ac:dyDescent="0.25">
      <c r="A103">
        <f t="shared" si="15"/>
        <v>56000000</v>
      </c>
      <c r="B103">
        <f t="shared" si="12"/>
        <v>0</v>
      </c>
      <c r="C103">
        <f t="shared" si="13"/>
        <v>0</v>
      </c>
      <c r="D103">
        <f t="shared" ref="D103:D134" si="17">IF(IF((D$3*10^12-$A104)*(D$3*10^12-$A103)*-1&lt;0,0,1)*IF(ABS(D$3*10^12-$A104)&gt;(D$3*10^12-$A103),$A103,$A104)=D104,0,IF((D$3*10^12-$A104)*(D$3*10^12-$A103)*-1&lt;0,0,1)*IF(ABS(D$3*10^12-$A104)&gt;(D$3*10^12-$A103),$A103,$A104))</f>
        <v>0</v>
      </c>
      <c r="E103">
        <f t="shared" si="16"/>
        <v>0</v>
      </c>
    </row>
    <row r="104" spans="1:5" x14ac:dyDescent="0.25">
      <c r="A104">
        <f t="shared" si="15"/>
        <v>68000000</v>
      </c>
      <c r="B104">
        <f t="shared" si="12"/>
        <v>0</v>
      </c>
      <c r="C104">
        <f t="shared" si="13"/>
        <v>0</v>
      </c>
      <c r="D104">
        <f t="shared" si="17"/>
        <v>0</v>
      </c>
      <c r="E104">
        <f t="shared" si="16"/>
        <v>0</v>
      </c>
    </row>
    <row r="105" spans="1:5" x14ac:dyDescent="0.25">
      <c r="A105">
        <f t="shared" si="15"/>
        <v>82000000</v>
      </c>
      <c r="B105">
        <f t="shared" si="12"/>
        <v>0</v>
      </c>
      <c r="C105">
        <f t="shared" si="13"/>
        <v>0</v>
      </c>
      <c r="D105">
        <f t="shared" si="17"/>
        <v>0</v>
      </c>
      <c r="E105">
        <f t="shared" si="16"/>
        <v>0</v>
      </c>
    </row>
    <row r="106" spans="1:5" x14ac:dyDescent="0.25">
      <c r="A106">
        <f t="shared" si="15"/>
        <v>100000000</v>
      </c>
      <c r="B106">
        <f t="shared" si="12"/>
        <v>0</v>
      </c>
      <c r="C106">
        <f t="shared" si="13"/>
        <v>0</v>
      </c>
      <c r="D106">
        <f t="shared" si="17"/>
        <v>0</v>
      </c>
      <c r="E106">
        <f t="shared" si="16"/>
        <v>0</v>
      </c>
    </row>
    <row r="107" spans="1:5" x14ac:dyDescent="0.25">
      <c r="A107">
        <f t="shared" si="15"/>
        <v>120000000</v>
      </c>
      <c r="B107">
        <f t="shared" si="12"/>
        <v>0</v>
      </c>
      <c r="C107">
        <f t="shared" si="13"/>
        <v>0</v>
      </c>
      <c r="D107">
        <f t="shared" si="17"/>
        <v>0</v>
      </c>
      <c r="E107">
        <f t="shared" si="16"/>
        <v>0</v>
      </c>
    </row>
    <row r="108" spans="1:5" x14ac:dyDescent="0.25">
      <c r="A108">
        <f t="shared" si="15"/>
        <v>150000000</v>
      </c>
      <c r="B108">
        <f t="shared" si="12"/>
        <v>0</v>
      </c>
      <c r="C108">
        <f t="shared" si="13"/>
        <v>0</v>
      </c>
      <c r="D108">
        <f t="shared" si="17"/>
        <v>0</v>
      </c>
      <c r="E108">
        <f t="shared" si="16"/>
        <v>0</v>
      </c>
    </row>
    <row r="109" spans="1:5" x14ac:dyDescent="0.25">
      <c r="A109">
        <f t="shared" si="15"/>
        <v>180000000</v>
      </c>
      <c r="B109">
        <f t="shared" si="12"/>
        <v>0</v>
      </c>
      <c r="C109">
        <f t="shared" si="13"/>
        <v>0</v>
      </c>
      <c r="D109">
        <f t="shared" si="17"/>
        <v>0</v>
      </c>
      <c r="E109">
        <f t="shared" si="16"/>
        <v>0</v>
      </c>
    </row>
    <row r="110" spans="1:5" x14ac:dyDescent="0.25">
      <c r="A110">
        <f t="shared" si="15"/>
        <v>220000000</v>
      </c>
      <c r="B110">
        <f t="shared" si="12"/>
        <v>0</v>
      </c>
      <c r="C110">
        <f t="shared" si="13"/>
        <v>0</v>
      </c>
      <c r="D110">
        <f t="shared" si="17"/>
        <v>0</v>
      </c>
      <c r="E110">
        <f t="shared" si="16"/>
        <v>0</v>
      </c>
    </row>
    <row r="111" spans="1:5" x14ac:dyDescent="0.25">
      <c r="A111">
        <f t="shared" si="15"/>
        <v>270000000</v>
      </c>
      <c r="B111">
        <f t="shared" si="12"/>
        <v>0</v>
      </c>
      <c r="C111">
        <f t="shared" si="13"/>
        <v>0</v>
      </c>
      <c r="D111">
        <f t="shared" si="17"/>
        <v>0</v>
      </c>
      <c r="E111">
        <f t="shared" si="16"/>
        <v>0</v>
      </c>
    </row>
    <row r="112" spans="1:5" x14ac:dyDescent="0.25">
      <c r="A112">
        <f t="shared" si="15"/>
        <v>330000000</v>
      </c>
      <c r="B112">
        <f t="shared" si="12"/>
        <v>0</v>
      </c>
      <c r="C112">
        <f t="shared" si="13"/>
        <v>0</v>
      </c>
      <c r="D112">
        <f t="shared" si="17"/>
        <v>0</v>
      </c>
      <c r="E112">
        <f t="shared" si="16"/>
        <v>0</v>
      </c>
    </row>
    <row r="113" spans="1:5" x14ac:dyDescent="0.25">
      <c r="A113">
        <f t="shared" si="15"/>
        <v>390000000</v>
      </c>
      <c r="B113">
        <f t="shared" si="12"/>
        <v>0</v>
      </c>
      <c r="C113">
        <f t="shared" si="13"/>
        <v>0</v>
      </c>
      <c r="D113">
        <f t="shared" si="17"/>
        <v>0</v>
      </c>
      <c r="E113">
        <f t="shared" si="16"/>
        <v>0</v>
      </c>
    </row>
    <row r="114" spans="1:5" x14ac:dyDescent="0.25">
      <c r="A114">
        <f t="shared" si="15"/>
        <v>470000000</v>
      </c>
      <c r="B114">
        <f t="shared" si="12"/>
        <v>0</v>
      </c>
      <c r="C114">
        <f t="shared" si="13"/>
        <v>0</v>
      </c>
      <c r="D114">
        <f t="shared" si="17"/>
        <v>0</v>
      </c>
      <c r="E114">
        <f t="shared" si="16"/>
        <v>0</v>
      </c>
    </row>
    <row r="115" spans="1:5" x14ac:dyDescent="0.25">
      <c r="A115">
        <f t="shared" si="15"/>
        <v>560000000</v>
      </c>
      <c r="B115">
        <f t="shared" si="12"/>
        <v>0</v>
      </c>
      <c r="C115">
        <f t="shared" si="13"/>
        <v>0</v>
      </c>
      <c r="D115">
        <f t="shared" si="17"/>
        <v>0</v>
      </c>
      <c r="E115">
        <f t="shared" si="16"/>
        <v>0</v>
      </c>
    </row>
    <row r="116" spans="1:5" x14ac:dyDescent="0.25">
      <c r="A116">
        <f t="shared" si="15"/>
        <v>680000000</v>
      </c>
      <c r="B116">
        <f t="shared" si="12"/>
        <v>0</v>
      </c>
      <c r="C116">
        <f t="shared" si="13"/>
        <v>0</v>
      </c>
      <c r="D116">
        <f t="shared" si="17"/>
        <v>0</v>
      </c>
      <c r="E116">
        <f t="shared" si="16"/>
        <v>0</v>
      </c>
    </row>
    <row r="117" spans="1:5" x14ac:dyDescent="0.25">
      <c r="A117">
        <f t="shared" si="15"/>
        <v>820000000</v>
      </c>
      <c r="B117">
        <f t="shared" si="12"/>
        <v>0</v>
      </c>
      <c r="C117">
        <f t="shared" si="13"/>
        <v>0</v>
      </c>
      <c r="D117">
        <f t="shared" si="17"/>
        <v>0</v>
      </c>
      <c r="E117">
        <f t="shared" si="16"/>
        <v>0</v>
      </c>
    </row>
    <row r="118" spans="1:5" x14ac:dyDescent="0.25">
      <c r="A118">
        <f t="shared" si="15"/>
        <v>1000000000</v>
      </c>
      <c r="B118">
        <f t="shared" si="12"/>
        <v>0</v>
      </c>
      <c r="C118">
        <f t="shared" si="13"/>
        <v>0</v>
      </c>
      <c r="D118">
        <f t="shared" si="17"/>
        <v>0</v>
      </c>
      <c r="E118">
        <f t="shared" si="16"/>
        <v>0</v>
      </c>
    </row>
    <row r="119" spans="1:5" x14ac:dyDescent="0.25">
      <c r="A119">
        <f t="shared" si="15"/>
        <v>1200000000</v>
      </c>
      <c r="B119">
        <f t="shared" si="12"/>
        <v>0</v>
      </c>
      <c r="C119">
        <f t="shared" si="13"/>
        <v>0</v>
      </c>
      <c r="D119">
        <f t="shared" si="17"/>
        <v>0</v>
      </c>
      <c r="E119">
        <f t="shared" si="16"/>
        <v>0</v>
      </c>
    </row>
    <row r="120" spans="1:5" x14ac:dyDescent="0.25">
      <c r="A120">
        <f t="shared" si="15"/>
        <v>1500000000</v>
      </c>
      <c r="B120">
        <f t="shared" si="12"/>
        <v>0</v>
      </c>
      <c r="C120">
        <f t="shared" si="13"/>
        <v>0</v>
      </c>
      <c r="D120">
        <f t="shared" si="17"/>
        <v>0</v>
      </c>
      <c r="E120">
        <f t="shared" si="16"/>
        <v>0</v>
      </c>
    </row>
    <row r="121" spans="1:5" x14ac:dyDescent="0.25">
      <c r="A121">
        <f t="shared" si="15"/>
        <v>1800000000</v>
      </c>
      <c r="B121">
        <f t="shared" si="12"/>
        <v>0</v>
      </c>
      <c r="C121">
        <f t="shared" si="13"/>
        <v>0</v>
      </c>
      <c r="D121">
        <f t="shared" si="17"/>
        <v>0</v>
      </c>
      <c r="E121">
        <f t="shared" si="16"/>
        <v>0</v>
      </c>
    </row>
    <row r="122" spans="1:5" x14ac:dyDescent="0.25">
      <c r="A122">
        <f t="shared" si="15"/>
        <v>2200000000</v>
      </c>
      <c r="B122">
        <f t="shared" si="12"/>
        <v>0</v>
      </c>
      <c r="C122">
        <f t="shared" si="13"/>
        <v>0</v>
      </c>
      <c r="D122">
        <f t="shared" si="17"/>
        <v>0</v>
      </c>
      <c r="E122">
        <f t="shared" si="16"/>
        <v>0</v>
      </c>
    </row>
    <row r="123" spans="1:5" x14ac:dyDescent="0.25">
      <c r="A123">
        <f t="shared" si="15"/>
        <v>2700000000</v>
      </c>
      <c r="B123">
        <f t="shared" si="12"/>
        <v>0</v>
      </c>
      <c r="C123">
        <f t="shared" si="13"/>
        <v>0</v>
      </c>
      <c r="D123">
        <f t="shared" si="17"/>
        <v>0</v>
      </c>
      <c r="E123">
        <f t="shared" si="16"/>
        <v>0</v>
      </c>
    </row>
    <row r="124" spans="1:5" x14ac:dyDescent="0.25">
      <c r="A124">
        <f t="shared" si="15"/>
        <v>3300000000</v>
      </c>
      <c r="B124">
        <f t="shared" si="12"/>
        <v>0</v>
      </c>
      <c r="C124">
        <f t="shared" si="13"/>
        <v>0</v>
      </c>
      <c r="D124">
        <f t="shared" si="17"/>
        <v>0</v>
      </c>
      <c r="E124">
        <f t="shared" si="16"/>
        <v>0</v>
      </c>
    </row>
    <row r="125" spans="1:5" x14ac:dyDescent="0.25">
      <c r="A125">
        <f t="shared" si="15"/>
        <v>3900000000</v>
      </c>
      <c r="B125">
        <f t="shared" si="12"/>
        <v>0</v>
      </c>
      <c r="C125">
        <f t="shared" si="13"/>
        <v>0</v>
      </c>
      <c r="D125">
        <f t="shared" si="17"/>
        <v>0</v>
      </c>
      <c r="E125">
        <f t="shared" si="16"/>
        <v>0</v>
      </c>
    </row>
    <row r="126" spans="1:5" x14ac:dyDescent="0.25">
      <c r="A126">
        <f t="shared" si="15"/>
        <v>4700000000</v>
      </c>
      <c r="B126">
        <f t="shared" si="12"/>
        <v>0</v>
      </c>
      <c r="C126">
        <f t="shared" si="13"/>
        <v>0</v>
      </c>
      <c r="D126">
        <f t="shared" si="17"/>
        <v>0</v>
      </c>
      <c r="E126">
        <f t="shared" si="16"/>
        <v>0</v>
      </c>
    </row>
    <row r="127" spans="1:5" x14ac:dyDescent="0.25">
      <c r="A127">
        <f t="shared" si="15"/>
        <v>5600000000</v>
      </c>
      <c r="B127">
        <f t="shared" si="12"/>
        <v>0</v>
      </c>
      <c r="C127">
        <f t="shared" si="13"/>
        <v>0</v>
      </c>
      <c r="D127">
        <f t="shared" si="17"/>
        <v>0</v>
      </c>
      <c r="E127">
        <f t="shared" si="16"/>
        <v>0</v>
      </c>
    </row>
    <row r="128" spans="1:5" x14ac:dyDescent="0.25">
      <c r="A128">
        <f t="shared" si="15"/>
        <v>6800000000</v>
      </c>
      <c r="B128">
        <f t="shared" si="12"/>
        <v>0</v>
      </c>
      <c r="C128">
        <f t="shared" si="13"/>
        <v>0</v>
      </c>
      <c r="D128">
        <f t="shared" si="17"/>
        <v>0</v>
      </c>
      <c r="E128">
        <f t="shared" si="16"/>
        <v>0</v>
      </c>
    </row>
    <row r="129" spans="1:5" x14ac:dyDescent="0.25">
      <c r="A129">
        <f t="shared" si="15"/>
        <v>8200000000</v>
      </c>
      <c r="B129">
        <f t="shared" si="12"/>
        <v>0</v>
      </c>
      <c r="C129">
        <f t="shared" si="13"/>
        <v>0</v>
      </c>
      <c r="D129">
        <f t="shared" si="17"/>
        <v>0</v>
      </c>
      <c r="E129">
        <f t="shared" si="16"/>
        <v>0</v>
      </c>
    </row>
    <row r="130" spans="1:5" x14ac:dyDescent="0.25">
      <c r="A130">
        <f t="shared" si="15"/>
        <v>10000000000</v>
      </c>
      <c r="B130">
        <f t="shared" si="12"/>
        <v>0</v>
      </c>
      <c r="C130">
        <f t="shared" si="13"/>
        <v>0</v>
      </c>
      <c r="D130">
        <f t="shared" si="17"/>
        <v>0</v>
      </c>
      <c r="E130">
        <f t="shared" si="16"/>
        <v>0</v>
      </c>
    </row>
    <row r="131" spans="1:5" x14ac:dyDescent="0.25">
      <c r="A131">
        <f t="shared" si="15"/>
        <v>12000000000</v>
      </c>
      <c r="B131">
        <f t="shared" si="12"/>
        <v>0</v>
      </c>
      <c r="C131">
        <f t="shared" si="13"/>
        <v>0</v>
      </c>
      <c r="D131">
        <f t="shared" si="17"/>
        <v>0</v>
      </c>
      <c r="E131">
        <f t="shared" si="16"/>
        <v>0</v>
      </c>
    </row>
    <row r="132" spans="1:5" x14ac:dyDescent="0.25">
      <c r="A132">
        <f t="shared" si="15"/>
        <v>15000000000</v>
      </c>
      <c r="B132">
        <f t="shared" si="12"/>
        <v>0</v>
      </c>
      <c r="C132">
        <f t="shared" si="13"/>
        <v>0</v>
      </c>
      <c r="D132">
        <f t="shared" si="17"/>
        <v>0</v>
      </c>
      <c r="E132">
        <f t="shared" si="16"/>
        <v>0</v>
      </c>
    </row>
    <row r="133" spans="1:5" x14ac:dyDescent="0.25">
      <c r="A133">
        <f t="shared" si="15"/>
        <v>18000000000</v>
      </c>
      <c r="B133">
        <f t="shared" si="12"/>
        <v>0</v>
      </c>
      <c r="C133">
        <f t="shared" si="13"/>
        <v>0</v>
      </c>
      <c r="D133">
        <f t="shared" si="17"/>
        <v>0</v>
      </c>
      <c r="E133">
        <f t="shared" si="16"/>
        <v>0</v>
      </c>
    </row>
    <row r="134" spans="1:5" x14ac:dyDescent="0.25">
      <c r="A134">
        <f t="shared" si="15"/>
        <v>22000000000</v>
      </c>
      <c r="B134">
        <f t="shared" si="12"/>
        <v>0</v>
      </c>
      <c r="C134">
        <f t="shared" ref="C134:D159" si="18">IF(IF((C$3*10^12-$A135)*(C$3*10^12-$A134)*-1&lt;0,0,1)*IF(ABS(C$3*10^12-$A135)&gt;(C$3*10^12-$A134),$A134,$A135)=C135,0,IF((C$3*10^12-$A135)*(C$3*10^12-$A134)*-1&lt;0,0,1)*IF(ABS(C$3*10^12-$A135)&gt;(C$3*10^12-$A134),$A134,$A135))</f>
        <v>0</v>
      </c>
      <c r="D134">
        <f t="shared" si="17"/>
        <v>0</v>
      </c>
      <c r="E134">
        <f t="shared" ref="E134:E159" si="19">IF(IF((E$3*10^12-$A135)*(E$3*10^12-$A134)*-1&lt;0,0,1)*IF(ABS(E$3*10^12-$A135)&gt;(E$3*10^12-$A134),$A134,$A135)=E135,0,IF((E$3*10^12-$A135)*(E$3*10^12-$A134)*-1&lt;0,0,1)*IF(ABS(E$3*10^12-$A135)&gt;(E$3*10^12-$A134),$A134,$A135))</f>
        <v>0</v>
      </c>
    </row>
    <row r="135" spans="1:5" x14ac:dyDescent="0.25">
      <c r="A135">
        <f t="shared" si="15"/>
        <v>27000000000</v>
      </c>
      <c r="B135">
        <f t="shared" ref="B135:B159" si="20">IF(IF((B$3*10^12-$A136)*(B$3*10^12-$A135)*-1&lt;0,0,1)*IF(ABS(B$3*10^12-$A136)&gt;(B$3*10^12-$A135),$A135,$A136)=B136,0,IF((B$3*10^12-$A136)*(B$3*10^12-$A135)*-1&lt;0,0,1)*IF(ABS(B$3*10^12-$A136)&gt;(B$3*10^12-$A135),$A135,$A136))</f>
        <v>0</v>
      </c>
      <c r="C135">
        <f t="shared" si="18"/>
        <v>0</v>
      </c>
      <c r="D135">
        <f t="shared" si="18"/>
        <v>0</v>
      </c>
      <c r="E135">
        <f t="shared" si="19"/>
        <v>0</v>
      </c>
    </row>
    <row r="136" spans="1:5" x14ac:dyDescent="0.25">
      <c r="A136">
        <f t="shared" si="15"/>
        <v>33000000000</v>
      </c>
      <c r="B136">
        <f t="shared" si="20"/>
        <v>0</v>
      </c>
      <c r="C136">
        <f t="shared" si="18"/>
        <v>0</v>
      </c>
      <c r="D136">
        <f t="shared" si="18"/>
        <v>0</v>
      </c>
      <c r="E136">
        <f t="shared" si="19"/>
        <v>0</v>
      </c>
    </row>
    <row r="137" spans="1:5" x14ac:dyDescent="0.25">
      <c r="A137">
        <f t="shared" si="15"/>
        <v>39000000000</v>
      </c>
      <c r="B137">
        <f t="shared" si="20"/>
        <v>0</v>
      </c>
      <c r="C137">
        <f t="shared" si="18"/>
        <v>0</v>
      </c>
      <c r="D137">
        <f t="shared" si="18"/>
        <v>0</v>
      </c>
      <c r="E137">
        <f t="shared" si="19"/>
        <v>0</v>
      </c>
    </row>
    <row r="138" spans="1:5" x14ac:dyDescent="0.25">
      <c r="A138">
        <f t="shared" si="15"/>
        <v>47000000000</v>
      </c>
      <c r="B138">
        <f t="shared" si="20"/>
        <v>0</v>
      </c>
      <c r="C138">
        <f t="shared" si="18"/>
        <v>0</v>
      </c>
      <c r="D138">
        <f t="shared" si="18"/>
        <v>0</v>
      </c>
      <c r="E138">
        <f t="shared" si="19"/>
        <v>0</v>
      </c>
    </row>
    <row r="139" spans="1:5" x14ac:dyDescent="0.25">
      <c r="A139">
        <f t="shared" si="15"/>
        <v>56000000000</v>
      </c>
      <c r="B139">
        <f t="shared" si="20"/>
        <v>0</v>
      </c>
      <c r="C139">
        <f t="shared" si="18"/>
        <v>0</v>
      </c>
      <c r="D139">
        <f t="shared" si="18"/>
        <v>0</v>
      </c>
      <c r="E139">
        <f t="shared" si="19"/>
        <v>0</v>
      </c>
    </row>
    <row r="140" spans="1:5" x14ac:dyDescent="0.25">
      <c r="A140">
        <f t="shared" si="15"/>
        <v>68000000000</v>
      </c>
      <c r="B140">
        <f t="shared" si="20"/>
        <v>0</v>
      </c>
      <c r="C140">
        <f t="shared" si="18"/>
        <v>0</v>
      </c>
      <c r="D140">
        <f t="shared" si="18"/>
        <v>0</v>
      </c>
      <c r="E140">
        <f t="shared" si="19"/>
        <v>0</v>
      </c>
    </row>
    <row r="141" spans="1:5" x14ac:dyDescent="0.25">
      <c r="A141">
        <f t="shared" si="15"/>
        <v>82000000000</v>
      </c>
      <c r="B141">
        <f t="shared" si="20"/>
        <v>0</v>
      </c>
      <c r="C141">
        <f t="shared" si="18"/>
        <v>0</v>
      </c>
      <c r="D141">
        <f t="shared" si="18"/>
        <v>0</v>
      </c>
      <c r="E141">
        <f t="shared" si="19"/>
        <v>0</v>
      </c>
    </row>
    <row r="142" spans="1:5" x14ac:dyDescent="0.25">
      <c r="A142">
        <f t="shared" si="15"/>
        <v>100000000000</v>
      </c>
      <c r="B142">
        <f t="shared" si="20"/>
        <v>0</v>
      </c>
      <c r="C142">
        <f t="shared" si="18"/>
        <v>0</v>
      </c>
      <c r="D142">
        <f t="shared" si="18"/>
        <v>0</v>
      </c>
      <c r="E142">
        <f t="shared" si="19"/>
        <v>0</v>
      </c>
    </row>
    <row r="143" spans="1:5" x14ac:dyDescent="0.25">
      <c r="A143">
        <f t="shared" si="15"/>
        <v>120000000000</v>
      </c>
      <c r="B143">
        <f t="shared" si="20"/>
        <v>0</v>
      </c>
      <c r="C143">
        <f t="shared" si="18"/>
        <v>0</v>
      </c>
      <c r="D143">
        <f t="shared" si="18"/>
        <v>0</v>
      </c>
      <c r="E143">
        <f t="shared" si="19"/>
        <v>0</v>
      </c>
    </row>
    <row r="144" spans="1:5" x14ac:dyDescent="0.25">
      <c r="A144">
        <f t="shared" si="15"/>
        <v>150000000000</v>
      </c>
      <c r="B144">
        <f t="shared" si="20"/>
        <v>0</v>
      </c>
      <c r="C144">
        <f t="shared" si="18"/>
        <v>0</v>
      </c>
      <c r="D144">
        <f t="shared" si="18"/>
        <v>0</v>
      </c>
      <c r="E144">
        <f t="shared" si="19"/>
        <v>0</v>
      </c>
    </row>
    <row r="145" spans="1:5" x14ac:dyDescent="0.25">
      <c r="A145">
        <f t="shared" si="15"/>
        <v>180000000000</v>
      </c>
      <c r="B145">
        <f t="shared" si="20"/>
        <v>0</v>
      </c>
      <c r="C145">
        <f t="shared" si="18"/>
        <v>0</v>
      </c>
      <c r="D145">
        <f t="shared" si="18"/>
        <v>0</v>
      </c>
      <c r="E145">
        <f t="shared" si="19"/>
        <v>0</v>
      </c>
    </row>
    <row r="146" spans="1:5" x14ac:dyDescent="0.25">
      <c r="A146">
        <f t="shared" si="15"/>
        <v>220000000000</v>
      </c>
      <c r="B146">
        <f t="shared" si="20"/>
        <v>0</v>
      </c>
      <c r="C146">
        <f t="shared" si="18"/>
        <v>0</v>
      </c>
      <c r="D146">
        <f t="shared" si="18"/>
        <v>0</v>
      </c>
      <c r="E146">
        <f t="shared" si="19"/>
        <v>0</v>
      </c>
    </row>
    <row r="147" spans="1:5" x14ac:dyDescent="0.25">
      <c r="A147">
        <f t="shared" si="15"/>
        <v>270000000000</v>
      </c>
      <c r="B147">
        <f t="shared" si="20"/>
        <v>0</v>
      </c>
      <c r="C147">
        <f t="shared" si="18"/>
        <v>0</v>
      </c>
      <c r="D147">
        <f t="shared" si="18"/>
        <v>0</v>
      </c>
      <c r="E147">
        <f t="shared" si="19"/>
        <v>0</v>
      </c>
    </row>
    <row r="148" spans="1:5" x14ac:dyDescent="0.25">
      <c r="A148">
        <f t="shared" si="15"/>
        <v>330000000000</v>
      </c>
      <c r="B148">
        <f t="shared" si="20"/>
        <v>0</v>
      </c>
      <c r="C148">
        <f t="shared" si="18"/>
        <v>0</v>
      </c>
      <c r="D148">
        <f t="shared" si="18"/>
        <v>0</v>
      </c>
      <c r="E148">
        <f t="shared" si="19"/>
        <v>0</v>
      </c>
    </row>
    <row r="149" spans="1:5" x14ac:dyDescent="0.25">
      <c r="A149">
        <f t="shared" si="15"/>
        <v>390000000000</v>
      </c>
      <c r="B149">
        <f t="shared" si="20"/>
        <v>0</v>
      </c>
      <c r="C149">
        <f t="shared" si="18"/>
        <v>0</v>
      </c>
      <c r="D149">
        <f t="shared" si="18"/>
        <v>0</v>
      </c>
      <c r="E149">
        <f t="shared" si="19"/>
        <v>0</v>
      </c>
    </row>
    <row r="150" spans="1:5" x14ac:dyDescent="0.25">
      <c r="A150">
        <f t="shared" si="15"/>
        <v>470000000000</v>
      </c>
      <c r="B150">
        <f t="shared" si="20"/>
        <v>0</v>
      </c>
      <c r="C150">
        <f t="shared" si="18"/>
        <v>0</v>
      </c>
      <c r="D150">
        <f t="shared" si="18"/>
        <v>0</v>
      </c>
      <c r="E150">
        <f t="shared" si="19"/>
        <v>0</v>
      </c>
    </row>
    <row r="151" spans="1:5" x14ac:dyDescent="0.25">
      <c r="A151">
        <f t="shared" si="15"/>
        <v>560000000000</v>
      </c>
      <c r="B151">
        <f t="shared" si="20"/>
        <v>0</v>
      </c>
      <c r="C151">
        <f t="shared" si="18"/>
        <v>0</v>
      </c>
      <c r="D151">
        <f t="shared" si="18"/>
        <v>0</v>
      </c>
      <c r="E151">
        <f t="shared" si="19"/>
        <v>0</v>
      </c>
    </row>
    <row r="152" spans="1:5" x14ac:dyDescent="0.25">
      <c r="A152">
        <f t="shared" si="15"/>
        <v>680000000000</v>
      </c>
      <c r="B152">
        <f t="shared" si="20"/>
        <v>0</v>
      </c>
      <c r="C152">
        <f t="shared" si="18"/>
        <v>0</v>
      </c>
      <c r="D152">
        <f t="shared" si="18"/>
        <v>0</v>
      </c>
      <c r="E152">
        <f t="shared" si="19"/>
        <v>0</v>
      </c>
    </row>
    <row r="153" spans="1:5" x14ac:dyDescent="0.25">
      <c r="A153">
        <f t="shared" si="15"/>
        <v>820000000000</v>
      </c>
      <c r="B153">
        <f t="shared" si="20"/>
        <v>0</v>
      </c>
      <c r="C153">
        <f t="shared" si="18"/>
        <v>0</v>
      </c>
      <c r="D153">
        <f t="shared" si="18"/>
        <v>0</v>
      </c>
      <c r="E153">
        <f t="shared" si="19"/>
        <v>0</v>
      </c>
    </row>
    <row r="154" spans="1:5" x14ac:dyDescent="0.25">
      <c r="A154">
        <f t="shared" si="15"/>
        <v>1000000000000</v>
      </c>
      <c r="B154">
        <f t="shared" si="20"/>
        <v>0</v>
      </c>
      <c r="C154">
        <f t="shared" si="18"/>
        <v>0</v>
      </c>
      <c r="D154">
        <f t="shared" si="18"/>
        <v>0</v>
      </c>
      <c r="E154">
        <f t="shared" si="19"/>
        <v>0</v>
      </c>
    </row>
    <row r="155" spans="1:5" x14ac:dyDescent="0.25">
      <c r="A155">
        <f t="shared" si="15"/>
        <v>1200000000000</v>
      </c>
      <c r="B155">
        <f t="shared" si="20"/>
        <v>0</v>
      </c>
      <c r="C155">
        <f t="shared" si="18"/>
        <v>0</v>
      </c>
      <c r="D155">
        <f t="shared" si="18"/>
        <v>0</v>
      </c>
      <c r="E155">
        <f t="shared" si="19"/>
        <v>0</v>
      </c>
    </row>
    <row r="156" spans="1:5" x14ac:dyDescent="0.25">
      <c r="A156">
        <f t="shared" si="15"/>
        <v>1500000000000</v>
      </c>
      <c r="B156">
        <f t="shared" si="20"/>
        <v>0</v>
      </c>
      <c r="C156">
        <f t="shared" si="18"/>
        <v>0</v>
      </c>
      <c r="D156">
        <f t="shared" si="18"/>
        <v>0</v>
      </c>
      <c r="E156">
        <f t="shared" si="19"/>
        <v>0</v>
      </c>
    </row>
    <row r="157" spans="1:5" x14ac:dyDescent="0.25">
      <c r="A157">
        <f t="shared" si="15"/>
        <v>1800000000000</v>
      </c>
      <c r="B157">
        <f t="shared" si="20"/>
        <v>0</v>
      </c>
      <c r="C157">
        <f t="shared" si="18"/>
        <v>0</v>
      </c>
      <c r="D157">
        <f t="shared" si="18"/>
        <v>0</v>
      </c>
      <c r="E157">
        <f t="shared" si="19"/>
        <v>0</v>
      </c>
    </row>
    <row r="158" spans="1:5" x14ac:dyDescent="0.25">
      <c r="A158">
        <f t="shared" si="15"/>
        <v>2200000000000</v>
      </c>
      <c r="B158">
        <f t="shared" si="20"/>
        <v>0</v>
      </c>
      <c r="C158">
        <f t="shared" si="18"/>
        <v>0</v>
      </c>
      <c r="D158">
        <f t="shared" si="18"/>
        <v>0</v>
      </c>
      <c r="E158">
        <f t="shared" si="19"/>
        <v>0</v>
      </c>
    </row>
    <row r="159" spans="1:5" x14ac:dyDescent="0.25">
      <c r="A159" s="15">
        <f t="shared" si="15"/>
        <v>2700000000000</v>
      </c>
      <c r="B159">
        <f t="shared" si="20"/>
        <v>2700000000000</v>
      </c>
      <c r="C159">
        <f t="shared" si="18"/>
        <v>0</v>
      </c>
      <c r="D159">
        <f t="shared" si="18"/>
        <v>0</v>
      </c>
      <c r="E159">
        <f t="shared" si="19"/>
        <v>2700000000000</v>
      </c>
    </row>
  </sheetData>
  <phoneticPr fontId="6"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0000"/>
  </sheetPr>
  <dimension ref="A1:Q56"/>
  <sheetViews>
    <sheetView topLeftCell="A19" zoomScaleNormal="100" workbookViewId="0">
      <selection activeCell="C41" sqref="C41"/>
    </sheetView>
  </sheetViews>
  <sheetFormatPr defaultRowHeight="13.2" x14ac:dyDescent="0.25"/>
  <cols>
    <col min="1" max="1" width="9.5546875" style="114" customWidth="1"/>
    <col min="2" max="2" width="11.44140625" style="114" customWidth="1"/>
    <col min="3" max="3" width="13.44140625" style="114" customWidth="1"/>
    <col min="4" max="4" width="20.109375" style="114" customWidth="1"/>
    <col min="5" max="5" width="17.33203125" style="114" customWidth="1"/>
    <col min="6" max="6" width="13.5546875" style="114" customWidth="1"/>
    <col min="7" max="7" width="16.109375" style="114" customWidth="1"/>
    <col min="8" max="8" width="18.109375" style="114" customWidth="1"/>
    <col min="9" max="9" width="10.88671875" style="114" customWidth="1"/>
    <col min="10" max="10" width="15.88671875" style="114" customWidth="1"/>
    <col min="11" max="11" width="11.88671875" style="471" customWidth="1"/>
    <col min="12" max="12" width="7.88671875" style="470" customWidth="1"/>
    <col min="13" max="13" width="11.6640625" style="114" customWidth="1"/>
    <col min="14" max="16" width="9.109375" style="114"/>
    <col min="17" max="17" width="9.109375" style="505"/>
    <col min="18" max="254" width="9.109375" style="114"/>
    <col min="255" max="255" width="8.6640625" style="114" bestFit="1" customWidth="1"/>
    <col min="256" max="256" width="13.33203125" style="114" customWidth="1"/>
    <col min="257" max="257" width="16.109375" style="114" bestFit="1" customWidth="1"/>
    <col min="258" max="258" width="23.5546875" style="114" customWidth="1"/>
    <col min="259" max="259" width="17.33203125" style="114" customWidth="1"/>
    <col min="260" max="260" width="20.5546875" style="114" bestFit="1" customWidth="1"/>
    <col min="261" max="261" width="17.109375" style="114" customWidth="1"/>
    <col min="262" max="262" width="21.88671875" style="114" bestFit="1" customWidth="1"/>
    <col min="263" max="263" width="17.109375" style="114" bestFit="1" customWidth="1"/>
    <col min="264" max="264" width="18.109375" style="114" bestFit="1" customWidth="1"/>
    <col min="265" max="265" width="26.44140625" style="114" customWidth="1"/>
    <col min="266" max="510" width="9.109375" style="114"/>
    <col min="511" max="511" width="8.6640625" style="114" bestFit="1" customWidth="1"/>
    <col min="512" max="512" width="13.33203125" style="114" customWidth="1"/>
    <col min="513" max="513" width="16.109375" style="114" bestFit="1" customWidth="1"/>
    <col min="514" max="514" width="23.5546875" style="114" customWidth="1"/>
    <col min="515" max="515" width="17.33203125" style="114" customWidth="1"/>
    <col min="516" max="516" width="20.5546875" style="114" bestFit="1" customWidth="1"/>
    <col min="517" max="517" width="17.109375" style="114" customWidth="1"/>
    <col min="518" max="518" width="21.88671875" style="114" bestFit="1" customWidth="1"/>
    <col min="519" max="519" width="17.109375" style="114" bestFit="1" customWidth="1"/>
    <col min="520" max="520" width="18.109375" style="114" bestFit="1" customWidth="1"/>
    <col min="521" max="521" width="26.44140625" style="114" customWidth="1"/>
    <col min="522" max="766" width="9.109375" style="114"/>
    <col min="767" max="767" width="8.6640625" style="114" bestFit="1" customWidth="1"/>
    <col min="768" max="768" width="13.33203125" style="114" customWidth="1"/>
    <col min="769" max="769" width="16.109375" style="114" bestFit="1" customWidth="1"/>
    <col min="770" max="770" width="23.5546875" style="114" customWidth="1"/>
    <col min="771" max="771" width="17.33203125" style="114" customWidth="1"/>
    <col min="772" max="772" width="20.5546875" style="114" bestFit="1" customWidth="1"/>
    <col min="773" max="773" width="17.109375" style="114" customWidth="1"/>
    <col min="774" max="774" width="21.88671875" style="114" bestFit="1" customWidth="1"/>
    <col min="775" max="775" width="17.109375" style="114" bestFit="1" customWidth="1"/>
    <col min="776" max="776" width="18.109375" style="114" bestFit="1" customWidth="1"/>
    <col min="777" max="777" width="26.44140625" style="114" customWidth="1"/>
    <col min="778" max="1022" width="9.109375" style="114"/>
    <col min="1023" max="1023" width="8.6640625" style="114" bestFit="1" customWidth="1"/>
    <col min="1024" max="1024" width="13.33203125" style="114" customWidth="1"/>
    <col min="1025" max="1025" width="16.109375" style="114" bestFit="1" customWidth="1"/>
    <col min="1026" max="1026" width="23.5546875" style="114" customWidth="1"/>
    <col min="1027" max="1027" width="17.33203125" style="114" customWidth="1"/>
    <col min="1028" max="1028" width="20.5546875" style="114" bestFit="1" customWidth="1"/>
    <col min="1029" max="1029" width="17.109375" style="114" customWidth="1"/>
    <col min="1030" max="1030" width="21.88671875" style="114" bestFit="1" customWidth="1"/>
    <col min="1031" max="1031" width="17.109375" style="114" bestFit="1" customWidth="1"/>
    <col min="1032" max="1032" width="18.109375" style="114" bestFit="1" customWidth="1"/>
    <col min="1033" max="1033" width="26.44140625" style="114" customWidth="1"/>
    <col min="1034" max="1278" width="9.109375" style="114"/>
    <col min="1279" max="1279" width="8.6640625" style="114" bestFit="1" customWidth="1"/>
    <col min="1280" max="1280" width="13.33203125" style="114" customWidth="1"/>
    <col min="1281" max="1281" width="16.109375" style="114" bestFit="1" customWidth="1"/>
    <col min="1282" max="1282" width="23.5546875" style="114" customWidth="1"/>
    <col min="1283" max="1283" width="17.33203125" style="114" customWidth="1"/>
    <col min="1284" max="1284" width="20.5546875" style="114" bestFit="1" customWidth="1"/>
    <col min="1285" max="1285" width="17.109375" style="114" customWidth="1"/>
    <col min="1286" max="1286" width="21.88671875" style="114" bestFit="1" customWidth="1"/>
    <col min="1287" max="1287" width="17.109375" style="114" bestFit="1" customWidth="1"/>
    <col min="1288" max="1288" width="18.109375" style="114" bestFit="1" customWidth="1"/>
    <col min="1289" max="1289" width="26.44140625" style="114" customWidth="1"/>
    <col min="1290" max="1534" width="9.109375" style="114"/>
    <col min="1535" max="1535" width="8.6640625" style="114" bestFit="1" customWidth="1"/>
    <col min="1536" max="1536" width="13.33203125" style="114" customWidth="1"/>
    <col min="1537" max="1537" width="16.109375" style="114" bestFit="1" customWidth="1"/>
    <col min="1538" max="1538" width="23.5546875" style="114" customWidth="1"/>
    <col min="1539" max="1539" width="17.33203125" style="114" customWidth="1"/>
    <col min="1540" max="1540" width="20.5546875" style="114" bestFit="1" customWidth="1"/>
    <col min="1541" max="1541" width="17.109375" style="114" customWidth="1"/>
    <col min="1542" max="1542" width="21.88671875" style="114" bestFit="1" customWidth="1"/>
    <col min="1543" max="1543" width="17.109375" style="114" bestFit="1" customWidth="1"/>
    <col min="1544" max="1544" width="18.109375" style="114" bestFit="1" customWidth="1"/>
    <col min="1545" max="1545" width="26.44140625" style="114" customWidth="1"/>
    <col min="1546" max="1790" width="9.109375" style="114"/>
    <col min="1791" max="1791" width="8.6640625" style="114" bestFit="1" customWidth="1"/>
    <col min="1792" max="1792" width="13.33203125" style="114" customWidth="1"/>
    <col min="1793" max="1793" width="16.109375" style="114" bestFit="1" customWidth="1"/>
    <col min="1794" max="1794" width="23.5546875" style="114" customWidth="1"/>
    <col min="1795" max="1795" width="17.33203125" style="114" customWidth="1"/>
    <col min="1796" max="1796" width="20.5546875" style="114" bestFit="1" customWidth="1"/>
    <col min="1797" max="1797" width="17.109375" style="114" customWidth="1"/>
    <col min="1798" max="1798" width="21.88671875" style="114" bestFit="1" customWidth="1"/>
    <col min="1799" max="1799" width="17.109375" style="114" bestFit="1" customWidth="1"/>
    <col min="1800" max="1800" width="18.109375" style="114" bestFit="1" customWidth="1"/>
    <col min="1801" max="1801" width="26.44140625" style="114" customWidth="1"/>
    <col min="1802" max="2046" width="9.109375" style="114"/>
    <col min="2047" max="2047" width="8.6640625" style="114" bestFit="1" customWidth="1"/>
    <col min="2048" max="2048" width="13.33203125" style="114" customWidth="1"/>
    <col min="2049" max="2049" width="16.109375" style="114" bestFit="1" customWidth="1"/>
    <col min="2050" max="2050" width="23.5546875" style="114" customWidth="1"/>
    <col min="2051" max="2051" width="17.33203125" style="114" customWidth="1"/>
    <col min="2052" max="2052" width="20.5546875" style="114" bestFit="1" customWidth="1"/>
    <col min="2053" max="2053" width="17.109375" style="114" customWidth="1"/>
    <col min="2054" max="2054" width="21.88671875" style="114" bestFit="1" customWidth="1"/>
    <col min="2055" max="2055" width="17.109375" style="114" bestFit="1" customWidth="1"/>
    <col min="2056" max="2056" width="18.109375" style="114" bestFit="1" customWidth="1"/>
    <col min="2057" max="2057" width="26.44140625" style="114" customWidth="1"/>
    <col min="2058" max="2302" width="9.109375" style="114"/>
    <col min="2303" max="2303" width="8.6640625" style="114" bestFit="1" customWidth="1"/>
    <col min="2304" max="2304" width="13.33203125" style="114" customWidth="1"/>
    <col min="2305" max="2305" width="16.109375" style="114" bestFit="1" customWidth="1"/>
    <col min="2306" max="2306" width="23.5546875" style="114" customWidth="1"/>
    <col min="2307" max="2307" width="17.33203125" style="114" customWidth="1"/>
    <col min="2308" max="2308" width="20.5546875" style="114" bestFit="1" customWidth="1"/>
    <col min="2309" max="2309" width="17.109375" style="114" customWidth="1"/>
    <col min="2310" max="2310" width="21.88671875" style="114" bestFit="1" customWidth="1"/>
    <col min="2311" max="2311" width="17.109375" style="114" bestFit="1" customWidth="1"/>
    <col min="2312" max="2312" width="18.109375" style="114" bestFit="1" customWidth="1"/>
    <col min="2313" max="2313" width="26.44140625" style="114" customWidth="1"/>
    <col min="2314" max="2558" width="9.109375" style="114"/>
    <col min="2559" max="2559" width="8.6640625" style="114" bestFit="1" customWidth="1"/>
    <col min="2560" max="2560" width="13.33203125" style="114" customWidth="1"/>
    <col min="2561" max="2561" width="16.109375" style="114" bestFit="1" customWidth="1"/>
    <col min="2562" max="2562" width="23.5546875" style="114" customWidth="1"/>
    <col min="2563" max="2563" width="17.33203125" style="114" customWidth="1"/>
    <col min="2564" max="2564" width="20.5546875" style="114" bestFit="1" customWidth="1"/>
    <col min="2565" max="2565" width="17.109375" style="114" customWidth="1"/>
    <col min="2566" max="2566" width="21.88671875" style="114" bestFit="1" customWidth="1"/>
    <col min="2567" max="2567" width="17.109375" style="114" bestFit="1" customWidth="1"/>
    <col min="2568" max="2568" width="18.109375" style="114" bestFit="1" customWidth="1"/>
    <col min="2569" max="2569" width="26.44140625" style="114" customWidth="1"/>
    <col min="2570" max="2814" width="9.109375" style="114"/>
    <col min="2815" max="2815" width="8.6640625" style="114" bestFit="1" customWidth="1"/>
    <col min="2816" max="2816" width="13.33203125" style="114" customWidth="1"/>
    <col min="2817" max="2817" width="16.109375" style="114" bestFit="1" customWidth="1"/>
    <col min="2818" max="2818" width="23.5546875" style="114" customWidth="1"/>
    <col min="2819" max="2819" width="17.33203125" style="114" customWidth="1"/>
    <col min="2820" max="2820" width="20.5546875" style="114" bestFit="1" customWidth="1"/>
    <col min="2821" max="2821" width="17.109375" style="114" customWidth="1"/>
    <col min="2822" max="2822" width="21.88671875" style="114" bestFit="1" customWidth="1"/>
    <col min="2823" max="2823" width="17.109375" style="114" bestFit="1" customWidth="1"/>
    <col min="2824" max="2824" width="18.109375" style="114" bestFit="1" customWidth="1"/>
    <col min="2825" max="2825" width="26.44140625" style="114" customWidth="1"/>
    <col min="2826" max="3070" width="9.109375" style="114"/>
    <col min="3071" max="3071" width="8.6640625" style="114" bestFit="1" customWidth="1"/>
    <col min="3072" max="3072" width="13.33203125" style="114" customWidth="1"/>
    <col min="3073" max="3073" width="16.109375" style="114" bestFit="1" customWidth="1"/>
    <col min="3074" max="3074" width="23.5546875" style="114" customWidth="1"/>
    <col min="3075" max="3075" width="17.33203125" style="114" customWidth="1"/>
    <col min="3076" max="3076" width="20.5546875" style="114" bestFit="1" customWidth="1"/>
    <col min="3077" max="3077" width="17.109375" style="114" customWidth="1"/>
    <col min="3078" max="3078" width="21.88671875" style="114" bestFit="1" customWidth="1"/>
    <col min="3079" max="3079" width="17.109375" style="114" bestFit="1" customWidth="1"/>
    <col min="3080" max="3080" width="18.109375" style="114" bestFit="1" customWidth="1"/>
    <col min="3081" max="3081" width="26.44140625" style="114" customWidth="1"/>
    <col min="3082" max="3326" width="9.109375" style="114"/>
    <col min="3327" max="3327" width="8.6640625" style="114" bestFit="1" customWidth="1"/>
    <col min="3328" max="3328" width="13.33203125" style="114" customWidth="1"/>
    <col min="3329" max="3329" width="16.109375" style="114" bestFit="1" customWidth="1"/>
    <col min="3330" max="3330" width="23.5546875" style="114" customWidth="1"/>
    <col min="3331" max="3331" width="17.33203125" style="114" customWidth="1"/>
    <col min="3332" max="3332" width="20.5546875" style="114" bestFit="1" customWidth="1"/>
    <col min="3333" max="3333" width="17.109375" style="114" customWidth="1"/>
    <col min="3334" max="3334" width="21.88671875" style="114" bestFit="1" customWidth="1"/>
    <col min="3335" max="3335" width="17.109375" style="114" bestFit="1" customWidth="1"/>
    <col min="3336" max="3336" width="18.109375" style="114" bestFit="1" customWidth="1"/>
    <col min="3337" max="3337" width="26.44140625" style="114" customWidth="1"/>
    <col min="3338" max="3582" width="9.109375" style="114"/>
    <col min="3583" max="3583" width="8.6640625" style="114" bestFit="1" customWidth="1"/>
    <col min="3584" max="3584" width="13.33203125" style="114" customWidth="1"/>
    <col min="3585" max="3585" width="16.109375" style="114" bestFit="1" customWidth="1"/>
    <col min="3586" max="3586" width="23.5546875" style="114" customWidth="1"/>
    <col min="3587" max="3587" width="17.33203125" style="114" customWidth="1"/>
    <col min="3588" max="3588" width="20.5546875" style="114" bestFit="1" customWidth="1"/>
    <col min="3589" max="3589" width="17.109375" style="114" customWidth="1"/>
    <col min="3590" max="3590" width="21.88671875" style="114" bestFit="1" customWidth="1"/>
    <col min="3591" max="3591" width="17.109375" style="114" bestFit="1" customWidth="1"/>
    <col min="3592" max="3592" width="18.109375" style="114" bestFit="1" customWidth="1"/>
    <col min="3593" max="3593" width="26.44140625" style="114" customWidth="1"/>
    <col min="3594" max="3838" width="9.109375" style="114"/>
    <col min="3839" max="3839" width="8.6640625" style="114" bestFit="1" customWidth="1"/>
    <col min="3840" max="3840" width="13.33203125" style="114" customWidth="1"/>
    <col min="3841" max="3841" width="16.109375" style="114" bestFit="1" customWidth="1"/>
    <col min="3842" max="3842" width="23.5546875" style="114" customWidth="1"/>
    <col min="3843" max="3843" width="17.33203125" style="114" customWidth="1"/>
    <col min="3844" max="3844" width="20.5546875" style="114" bestFit="1" customWidth="1"/>
    <col min="3845" max="3845" width="17.109375" style="114" customWidth="1"/>
    <col min="3846" max="3846" width="21.88671875" style="114" bestFit="1" customWidth="1"/>
    <col min="3847" max="3847" width="17.109375" style="114" bestFit="1" customWidth="1"/>
    <col min="3848" max="3848" width="18.109375" style="114" bestFit="1" customWidth="1"/>
    <col min="3849" max="3849" width="26.44140625" style="114" customWidth="1"/>
    <col min="3850" max="4094" width="9.109375" style="114"/>
    <col min="4095" max="4095" width="8.6640625" style="114" bestFit="1" customWidth="1"/>
    <col min="4096" max="4096" width="13.33203125" style="114" customWidth="1"/>
    <col min="4097" max="4097" width="16.109375" style="114" bestFit="1" customWidth="1"/>
    <col min="4098" max="4098" width="23.5546875" style="114" customWidth="1"/>
    <col min="4099" max="4099" width="17.33203125" style="114" customWidth="1"/>
    <col min="4100" max="4100" width="20.5546875" style="114" bestFit="1" customWidth="1"/>
    <col min="4101" max="4101" width="17.109375" style="114" customWidth="1"/>
    <col min="4102" max="4102" width="21.88671875" style="114" bestFit="1" customWidth="1"/>
    <col min="4103" max="4103" width="17.109375" style="114" bestFit="1" customWidth="1"/>
    <col min="4104" max="4104" width="18.109375" style="114" bestFit="1" customWidth="1"/>
    <col min="4105" max="4105" width="26.44140625" style="114" customWidth="1"/>
    <col min="4106" max="4350" width="9.109375" style="114"/>
    <col min="4351" max="4351" width="8.6640625" style="114" bestFit="1" customWidth="1"/>
    <col min="4352" max="4352" width="13.33203125" style="114" customWidth="1"/>
    <col min="4353" max="4353" width="16.109375" style="114" bestFit="1" customWidth="1"/>
    <col min="4354" max="4354" width="23.5546875" style="114" customWidth="1"/>
    <col min="4355" max="4355" width="17.33203125" style="114" customWidth="1"/>
    <col min="4356" max="4356" width="20.5546875" style="114" bestFit="1" customWidth="1"/>
    <col min="4357" max="4357" width="17.109375" style="114" customWidth="1"/>
    <col min="4358" max="4358" width="21.88671875" style="114" bestFit="1" customWidth="1"/>
    <col min="4359" max="4359" width="17.109375" style="114" bestFit="1" customWidth="1"/>
    <col min="4360" max="4360" width="18.109375" style="114" bestFit="1" customWidth="1"/>
    <col min="4361" max="4361" width="26.44140625" style="114" customWidth="1"/>
    <col min="4362" max="4606" width="9.109375" style="114"/>
    <col min="4607" max="4607" width="8.6640625" style="114" bestFit="1" customWidth="1"/>
    <col min="4608" max="4608" width="13.33203125" style="114" customWidth="1"/>
    <col min="4609" max="4609" width="16.109375" style="114" bestFit="1" customWidth="1"/>
    <col min="4610" max="4610" width="23.5546875" style="114" customWidth="1"/>
    <col min="4611" max="4611" width="17.33203125" style="114" customWidth="1"/>
    <col min="4612" max="4612" width="20.5546875" style="114" bestFit="1" customWidth="1"/>
    <col min="4613" max="4613" width="17.109375" style="114" customWidth="1"/>
    <col min="4614" max="4614" width="21.88671875" style="114" bestFit="1" customWidth="1"/>
    <col min="4615" max="4615" width="17.109375" style="114" bestFit="1" customWidth="1"/>
    <col min="4616" max="4616" width="18.109375" style="114" bestFit="1" customWidth="1"/>
    <col min="4617" max="4617" width="26.44140625" style="114" customWidth="1"/>
    <col min="4618" max="4862" width="9.109375" style="114"/>
    <col min="4863" max="4863" width="8.6640625" style="114" bestFit="1" customWidth="1"/>
    <col min="4864" max="4864" width="13.33203125" style="114" customWidth="1"/>
    <col min="4865" max="4865" width="16.109375" style="114" bestFit="1" customWidth="1"/>
    <col min="4866" max="4866" width="23.5546875" style="114" customWidth="1"/>
    <col min="4867" max="4867" width="17.33203125" style="114" customWidth="1"/>
    <col min="4868" max="4868" width="20.5546875" style="114" bestFit="1" customWidth="1"/>
    <col min="4869" max="4869" width="17.109375" style="114" customWidth="1"/>
    <col min="4870" max="4870" width="21.88671875" style="114" bestFit="1" customWidth="1"/>
    <col min="4871" max="4871" width="17.109375" style="114" bestFit="1" customWidth="1"/>
    <col min="4872" max="4872" width="18.109375" style="114" bestFit="1" customWidth="1"/>
    <col min="4873" max="4873" width="26.44140625" style="114" customWidth="1"/>
    <col min="4874" max="5118" width="9.109375" style="114"/>
    <col min="5119" max="5119" width="8.6640625" style="114" bestFit="1" customWidth="1"/>
    <col min="5120" max="5120" width="13.33203125" style="114" customWidth="1"/>
    <col min="5121" max="5121" width="16.109375" style="114" bestFit="1" customWidth="1"/>
    <col min="5122" max="5122" width="23.5546875" style="114" customWidth="1"/>
    <col min="5123" max="5123" width="17.33203125" style="114" customWidth="1"/>
    <col min="5124" max="5124" width="20.5546875" style="114" bestFit="1" customWidth="1"/>
    <col min="5125" max="5125" width="17.109375" style="114" customWidth="1"/>
    <col min="5126" max="5126" width="21.88671875" style="114" bestFit="1" customWidth="1"/>
    <col min="5127" max="5127" width="17.109375" style="114" bestFit="1" customWidth="1"/>
    <col min="5128" max="5128" width="18.109375" style="114" bestFit="1" customWidth="1"/>
    <col min="5129" max="5129" width="26.44140625" style="114" customWidth="1"/>
    <col min="5130" max="5374" width="9.109375" style="114"/>
    <col min="5375" max="5375" width="8.6640625" style="114" bestFit="1" customWidth="1"/>
    <col min="5376" max="5376" width="13.33203125" style="114" customWidth="1"/>
    <col min="5377" max="5377" width="16.109375" style="114" bestFit="1" customWidth="1"/>
    <col min="5378" max="5378" width="23.5546875" style="114" customWidth="1"/>
    <col min="5379" max="5379" width="17.33203125" style="114" customWidth="1"/>
    <col min="5380" max="5380" width="20.5546875" style="114" bestFit="1" customWidth="1"/>
    <col min="5381" max="5381" width="17.109375" style="114" customWidth="1"/>
    <col min="5382" max="5382" width="21.88671875" style="114" bestFit="1" customWidth="1"/>
    <col min="5383" max="5383" width="17.109375" style="114" bestFit="1" customWidth="1"/>
    <col min="5384" max="5384" width="18.109375" style="114" bestFit="1" customWidth="1"/>
    <col min="5385" max="5385" width="26.44140625" style="114" customWidth="1"/>
    <col min="5386" max="5630" width="9.109375" style="114"/>
    <col min="5631" max="5631" width="8.6640625" style="114" bestFit="1" customWidth="1"/>
    <col min="5632" max="5632" width="13.33203125" style="114" customWidth="1"/>
    <col min="5633" max="5633" width="16.109375" style="114" bestFit="1" customWidth="1"/>
    <col min="5634" max="5634" width="23.5546875" style="114" customWidth="1"/>
    <col min="5635" max="5635" width="17.33203125" style="114" customWidth="1"/>
    <col min="5636" max="5636" width="20.5546875" style="114" bestFit="1" customWidth="1"/>
    <col min="5637" max="5637" width="17.109375" style="114" customWidth="1"/>
    <col min="5638" max="5638" width="21.88671875" style="114" bestFit="1" customWidth="1"/>
    <col min="5639" max="5639" width="17.109375" style="114" bestFit="1" customWidth="1"/>
    <col min="5640" max="5640" width="18.109375" style="114" bestFit="1" customWidth="1"/>
    <col min="5641" max="5641" width="26.44140625" style="114" customWidth="1"/>
    <col min="5642" max="5886" width="9.109375" style="114"/>
    <col min="5887" max="5887" width="8.6640625" style="114" bestFit="1" customWidth="1"/>
    <col min="5888" max="5888" width="13.33203125" style="114" customWidth="1"/>
    <col min="5889" max="5889" width="16.109375" style="114" bestFit="1" customWidth="1"/>
    <col min="5890" max="5890" width="23.5546875" style="114" customWidth="1"/>
    <col min="5891" max="5891" width="17.33203125" style="114" customWidth="1"/>
    <col min="5892" max="5892" width="20.5546875" style="114" bestFit="1" customWidth="1"/>
    <col min="5893" max="5893" width="17.109375" style="114" customWidth="1"/>
    <col min="5894" max="5894" width="21.88671875" style="114" bestFit="1" customWidth="1"/>
    <col min="5895" max="5895" width="17.109375" style="114" bestFit="1" customWidth="1"/>
    <col min="5896" max="5896" width="18.109375" style="114" bestFit="1" customWidth="1"/>
    <col min="5897" max="5897" width="26.44140625" style="114" customWidth="1"/>
    <col min="5898" max="6142" width="9.109375" style="114"/>
    <col min="6143" max="6143" width="8.6640625" style="114" bestFit="1" customWidth="1"/>
    <col min="6144" max="6144" width="13.33203125" style="114" customWidth="1"/>
    <col min="6145" max="6145" width="16.109375" style="114" bestFit="1" customWidth="1"/>
    <col min="6146" max="6146" width="23.5546875" style="114" customWidth="1"/>
    <col min="6147" max="6147" width="17.33203125" style="114" customWidth="1"/>
    <col min="6148" max="6148" width="20.5546875" style="114" bestFit="1" customWidth="1"/>
    <col min="6149" max="6149" width="17.109375" style="114" customWidth="1"/>
    <col min="6150" max="6150" width="21.88671875" style="114" bestFit="1" customWidth="1"/>
    <col min="6151" max="6151" width="17.109375" style="114" bestFit="1" customWidth="1"/>
    <col min="6152" max="6152" width="18.109375" style="114" bestFit="1" customWidth="1"/>
    <col min="6153" max="6153" width="26.44140625" style="114" customWidth="1"/>
    <col min="6154" max="6398" width="9.109375" style="114"/>
    <col min="6399" max="6399" width="8.6640625" style="114" bestFit="1" customWidth="1"/>
    <col min="6400" max="6400" width="13.33203125" style="114" customWidth="1"/>
    <col min="6401" max="6401" width="16.109375" style="114" bestFit="1" customWidth="1"/>
    <col min="6402" max="6402" width="23.5546875" style="114" customWidth="1"/>
    <col min="6403" max="6403" width="17.33203125" style="114" customWidth="1"/>
    <col min="6404" max="6404" width="20.5546875" style="114" bestFit="1" customWidth="1"/>
    <col min="6405" max="6405" width="17.109375" style="114" customWidth="1"/>
    <col min="6406" max="6406" width="21.88671875" style="114" bestFit="1" customWidth="1"/>
    <col min="6407" max="6407" width="17.109375" style="114" bestFit="1" customWidth="1"/>
    <col min="6408" max="6408" width="18.109375" style="114" bestFit="1" customWidth="1"/>
    <col min="6409" max="6409" width="26.44140625" style="114" customWidth="1"/>
    <col min="6410" max="6654" width="9.109375" style="114"/>
    <col min="6655" max="6655" width="8.6640625" style="114" bestFit="1" customWidth="1"/>
    <col min="6656" max="6656" width="13.33203125" style="114" customWidth="1"/>
    <col min="6657" max="6657" width="16.109375" style="114" bestFit="1" customWidth="1"/>
    <col min="6658" max="6658" width="23.5546875" style="114" customWidth="1"/>
    <col min="6659" max="6659" width="17.33203125" style="114" customWidth="1"/>
    <col min="6660" max="6660" width="20.5546875" style="114" bestFit="1" customWidth="1"/>
    <col min="6661" max="6661" width="17.109375" style="114" customWidth="1"/>
    <col min="6662" max="6662" width="21.88671875" style="114" bestFit="1" customWidth="1"/>
    <col min="6663" max="6663" width="17.109375" style="114" bestFit="1" customWidth="1"/>
    <col min="6664" max="6664" width="18.109375" style="114" bestFit="1" customWidth="1"/>
    <col min="6665" max="6665" width="26.44140625" style="114" customWidth="1"/>
    <col min="6666" max="6910" width="9.109375" style="114"/>
    <col min="6911" max="6911" width="8.6640625" style="114" bestFit="1" customWidth="1"/>
    <col min="6912" max="6912" width="13.33203125" style="114" customWidth="1"/>
    <col min="6913" max="6913" width="16.109375" style="114" bestFit="1" customWidth="1"/>
    <col min="6914" max="6914" width="23.5546875" style="114" customWidth="1"/>
    <col min="6915" max="6915" width="17.33203125" style="114" customWidth="1"/>
    <col min="6916" max="6916" width="20.5546875" style="114" bestFit="1" customWidth="1"/>
    <col min="6917" max="6917" width="17.109375" style="114" customWidth="1"/>
    <col min="6918" max="6918" width="21.88671875" style="114" bestFit="1" customWidth="1"/>
    <col min="6919" max="6919" width="17.109375" style="114" bestFit="1" customWidth="1"/>
    <col min="6920" max="6920" width="18.109375" style="114" bestFit="1" customWidth="1"/>
    <col min="6921" max="6921" width="26.44140625" style="114" customWidth="1"/>
    <col min="6922" max="7166" width="9.109375" style="114"/>
    <col min="7167" max="7167" width="8.6640625" style="114" bestFit="1" customWidth="1"/>
    <col min="7168" max="7168" width="13.33203125" style="114" customWidth="1"/>
    <col min="7169" max="7169" width="16.109375" style="114" bestFit="1" customWidth="1"/>
    <col min="7170" max="7170" width="23.5546875" style="114" customWidth="1"/>
    <col min="7171" max="7171" width="17.33203125" style="114" customWidth="1"/>
    <col min="7172" max="7172" width="20.5546875" style="114" bestFit="1" customWidth="1"/>
    <col min="7173" max="7173" width="17.109375" style="114" customWidth="1"/>
    <col min="7174" max="7174" width="21.88671875" style="114" bestFit="1" customWidth="1"/>
    <col min="7175" max="7175" width="17.109375" style="114" bestFit="1" customWidth="1"/>
    <col min="7176" max="7176" width="18.109375" style="114" bestFit="1" customWidth="1"/>
    <col min="7177" max="7177" width="26.44140625" style="114" customWidth="1"/>
    <col min="7178" max="7422" width="9.109375" style="114"/>
    <col min="7423" max="7423" width="8.6640625" style="114" bestFit="1" customWidth="1"/>
    <col min="7424" max="7424" width="13.33203125" style="114" customWidth="1"/>
    <col min="7425" max="7425" width="16.109375" style="114" bestFit="1" customWidth="1"/>
    <col min="7426" max="7426" width="23.5546875" style="114" customWidth="1"/>
    <col min="7427" max="7427" width="17.33203125" style="114" customWidth="1"/>
    <col min="7428" max="7428" width="20.5546875" style="114" bestFit="1" customWidth="1"/>
    <col min="7429" max="7429" width="17.109375" style="114" customWidth="1"/>
    <col min="7430" max="7430" width="21.88671875" style="114" bestFit="1" customWidth="1"/>
    <col min="7431" max="7431" width="17.109375" style="114" bestFit="1" customWidth="1"/>
    <col min="7432" max="7432" width="18.109375" style="114" bestFit="1" customWidth="1"/>
    <col min="7433" max="7433" width="26.44140625" style="114" customWidth="1"/>
    <col min="7434" max="7678" width="9.109375" style="114"/>
    <col min="7679" max="7679" width="8.6640625" style="114" bestFit="1" customWidth="1"/>
    <col min="7680" max="7680" width="13.33203125" style="114" customWidth="1"/>
    <col min="7681" max="7681" width="16.109375" style="114" bestFit="1" customWidth="1"/>
    <col min="7682" max="7682" width="23.5546875" style="114" customWidth="1"/>
    <col min="7683" max="7683" width="17.33203125" style="114" customWidth="1"/>
    <col min="7684" max="7684" width="20.5546875" style="114" bestFit="1" customWidth="1"/>
    <col min="7685" max="7685" width="17.109375" style="114" customWidth="1"/>
    <col min="7686" max="7686" width="21.88671875" style="114" bestFit="1" customWidth="1"/>
    <col min="7687" max="7687" width="17.109375" style="114" bestFit="1" customWidth="1"/>
    <col min="7688" max="7688" width="18.109375" style="114" bestFit="1" customWidth="1"/>
    <col min="7689" max="7689" width="26.44140625" style="114" customWidth="1"/>
    <col min="7690" max="7934" width="9.109375" style="114"/>
    <col min="7935" max="7935" width="8.6640625" style="114" bestFit="1" customWidth="1"/>
    <col min="7936" max="7936" width="13.33203125" style="114" customWidth="1"/>
    <col min="7937" max="7937" width="16.109375" style="114" bestFit="1" customWidth="1"/>
    <col min="7938" max="7938" width="23.5546875" style="114" customWidth="1"/>
    <col min="7939" max="7939" width="17.33203125" style="114" customWidth="1"/>
    <col min="7940" max="7940" width="20.5546875" style="114" bestFit="1" customWidth="1"/>
    <col min="7941" max="7941" width="17.109375" style="114" customWidth="1"/>
    <col min="7942" max="7942" width="21.88671875" style="114" bestFit="1" customWidth="1"/>
    <col min="7943" max="7943" width="17.109375" style="114" bestFit="1" customWidth="1"/>
    <col min="7944" max="7944" width="18.109375" style="114" bestFit="1" customWidth="1"/>
    <col min="7945" max="7945" width="26.44140625" style="114" customWidth="1"/>
    <col min="7946" max="8190" width="9.109375" style="114"/>
    <col min="8191" max="8191" width="8.6640625" style="114" bestFit="1" customWidth="1"/>
    <col min="8192" max="8192" width="13.33203125" style="114" customWidth="1"/>
    <col min="8193" max="8193" width="16.109375" style="114" bestFit="1" customWidth="1"/>
    <col min="8194" max="8194" width="23.5546875" style="114" customWidth="1"/>
    <col min="8195" max="8195" width="17.33203125" style="114" customWidth="1"/>
    <col min="8196" max="8196" width="20.5546875" style="114" bestFit="1" customWidth="1"/>
    <col min="8197" max="8197" width="17.109375" style="114" customWidth="1"/>
    <col min="8198" max="8198" width="21.88671875" style="114" bestFit="1" customWidth="1"/>
    <col min="8199" max="8199" width="17.109375" style="114" bestFit="1" customWidth="1"/>
    <col min="8200" max="8200" width="18.109375" style="114" bestFit="1" customWidth="1"/>
    <col min="8201" max="8201" width="26.44140625" style="114" customWidth="1"/>
    <col min="8202" max="8446" width="9.109375" style="114"/>
    <col min="8447" max="8447" width="8.6640625" style="114" bestFit="1" customWidth="1"/>
    <col min="8448" max="8448" width="13.33203125" style="114" customWidth="1"/>
    <col min="8449" max="8449" width="16.109375" style="114" bestFit="1" customWidth="1"/>
    <col min="8450" max="8450" width="23.5546875" style="114" customWidth="1"/>
    <col min="8451" max="8451" width="17.33203125" style="114" customWidth="1"/>
    <col min="8452" max="8452" width="20.5546875" style="114" bestFit="1" customWidth="1"/>
    <col min="8453" max="8453" width="17.109375" style="114" customWidth="1"/>
    <col min="8454" max="8454" width="21.88671875" style="114" bestFit="1" customWidth="1"/>
    <col min="8455" max="8455" width="17.109375" style="114" bestFit="1" customWidth="1"/>
    <col min="8456" max="8456" width="18.109375" style="114" bestFit="1" customWidth="1"/>
    <col min="8457" max="8457" width="26.44140625" style="114" customWidth="1"/>
    <col min="8458" max="8702" width="9.109375" style="114"/>
    <col min="8703" max="8703" width="8.6640625" style="114" bestFit="1" customWidth="1"/>
    <col min="8704" max="8704" width="13.33203125" style="114" customWidth="1"/>
    <col min="8705" max="8705" width="16.109375" style="114" bestFit="1" customWidth="1"/>
    <col min="8706" max="8706" width="23.5546875" style="114" customWidth="1"/>
    <col min="8707" max="8707" width="17.33203125" style="114" customWidth="1"/>
    <col min="8708" max="8708" width="20.5546875" style="114" bestFit="1" customWidth="1"/>
    <col min="8709" max="8709" width="17.109375" style="114" customWidth="1"/>
    <col min="8710" max="8710" width="21.88671875" style="114" bestFit="1" customWidth="1"/>
    <col min="8711" max="8711" width="17.109375" style="114" bestFit="1" customWidth="1"/>
    <col min="8712" max="8712" width="18.109375" style="114" bestFit="1" customWidth="1"/>
    <col min="8713" max="8713" width="26.44140625" style="114" customWidth="1"/>
    <col min="8714" max="8958" width="9.109375" style="114"/>
    <col min="8959" max="8959" width="8.6640625" style="114" bestFit="1" customWidth="1"/>
    <col min="8960" max="8960" width="13.33203125" style="114" customWidth="1"/>
    <col min="8961" max="8961" width="16.109375" style="114" bestFit="1" customWidth="1"/>
    <col min="8962" max="8962" width="23.5546875" style="114" customWidth="1"/>
    <col min="8963" max="8963" width="17.33203125" style="114" customWidth="1"/>
    <col min="8964" max="8964" width="20.5546875" style="114" bestFit="1" customWidth="1"/>
    <col min="8965" max="8965" width="17.109375" style="114" customWidth="1"/>
    <col min="8966" max="8966" width="21.88671875" style="114" bestFit="1" customWidth="1"/>
    <col min="8967" max="8967" width="17.109375" style="114" bestFit="1" customWidth="1"/>
    <col min="8968" max="8968" width="18.109375" style="114" bestFit="1" customWidth="1"/>
    <col min="8969" max="8969" width="26.44140625" style="114" customWidth="1"/>
    <col min="8970" max="9214" width="9.109375" style="114"/>
    <col min="9215" max="9215" width="8.6640625" style="114" bestFit="1" customWidth="1"/>
    <col min="9216" max="9216" width="13.33203125" style="114" customWidth="1"/>
    <col min="9217" max="9217" width="16.109375" style="114" bestFit="1" customWidth="1"/>
    <col min="9218" max="9218" width="23.5546875" style="114" customWidth="1"/>
    <col min="9219" max="9219" width="17.33203125" style="114" customWidth="1"/>
    <col min="9220" max="9220" width="20.5546875" style="114" bestFit="1" customWidth="1"/>
    <col min="9221" max="9221" width="17.109375" style="114" customWidth="1"/>
    <col min="9222" max="9222" width="21.88671875" style="114" bestFit="1" customWidth="1"/>
    <col min="9223" max="9223" width="17.109375" style="114" bestFit="1" customWidth="1"/>
    <col min="9224" max="9224" width="18.109375" style="114" bestFit="1" customWidth="1"/>
    <col min="9225" max="9225" width="26.44140625" style="114" customWidth="1"/>
    <col min="9226" max="9470" width="9.109375" style="114"/>
    <col min="9471" max="9471" width="8.6640625" style="114" bestFit="1" customWidth="1"/>
    <col min="9472" max="9472" width="13.33203125" style="114" customWidth="1"/>
    <col min="9473" max="9473" width="16.109375" style="114" bestFit="1" customWidth="1"/>
    <col min="9474" max="9474" width="23.5546875" style="114" customWidth="1"/>
    <col min="9475" max="9475" width="17.33203125" style="114" customWidth="1"/>
    <col min="9476" max="9476" width="20.5546875" style="114" bestFit="1" customWidth="1"/>
    <col min="9477" max="9477" width="17.109375" style="114" customWidth="1"/>
    <col min="9478" max="9478" width="21.88671875" style="114" bestFit="1" customWidth="1"/>
    <col min="9479" max="9479" width="17.109375" style="114" bestFit="1" customWidth="1"/>
    <col min="9480" max="9480" width="18.109375" style="114" bestFit="1" customWidth="1"/>
    <col min="9481" max="9481" width="26.44140625" style="114" customWidth="1"/>
    <col min="9482" max="9726" width="9.109375" style="114"/>
    <col min="9727" max="9727" width="8.6640625" style="114" bestFit="1" customWidth="1"/>
    <col min="9728" max="9728" width="13.33203125" style="114" customWidth="1"/>
    <col min="9729" max="9729" width="16.109375" style="114" bestFit="1" customWidth="1"/>
    <col min="9730" max="9730" width="23.5546875" style="114" customWidth="1"/>
    <col min="9731" max="9731" width="17.33203125" style="114" customWidth="1"/>
    <col min="9732" max="9732" width="20.5546875" style="114" bestFit="1" customWidth="1"/>
    <col min="9733" max="9733" width="17.109375" style="114" customWidth="1"/>
    <col min="9734" max="9734" width="21.88671875" style="114" bestFit="1" customWidth="1"/>
    <col min="9735" max="9735" width="17.109375" style="114" bestFit="1" customWidth="1"/>
    <col min="9736" max="9736" width="18.109375" style="114" bestFit="1" customWidth="1"/>
    <col min="9737" max="9737" width="26.44140625" style="114" customWidth="1"/>
    <col min="9738" max="9982" width="9.109375" style="114"/>
    <col min="9983" max="9983" width="8.6640625" style="114" bestFit="1" customWidth="1"/>
    <col min="9984" max="9984" width="13.33203125" style="114" customWidth="1"/>
    <col min="9985" max="9985" width="16.109375" style="114" bestFit="1" customWidth="1"/>
    <col min="9986" max="9986" width="23.5546875" style="114" customWidth="1"/>
    <col min="9987" max="9987" width="17.33203125" style="114" customWidth="1"/>
    <col min="9988" max="9988" width="20.5546875" style="114" bestFit="1" customWidth="1"/>
    <col min="9989" max="9989" width="17.109375" style="114" customWidth="1"/>
    <col min="9990" max="9990" width="21.88671875" style="114" bestFit="1" customWidth="1"/>
    <col min="9991" max="9991" width="17.109375" style="114" bestFit="1" customWidth="1"/>
    <col min="9992" max="9992" width="18.109375" style="114" bestFit="1" customWidth="1"/>
    <col min="9993" max="9993" width="26.44140625" style="114" customWidth="1"/>
    <col min="9994" max="10238" width="9.109375" style="114"/>
    <col min="10239" max="10239" width="8.6640625" style="114" bestFit="1" customWidth="1"/>
    <col min="10240" max="10240" width="13.33203125" style="114" customWidth="1"/>
    <col min="10241" max="10241" width="16.109375" style="114" bestFit="1" customWidth="1"/>
    <col min="10242" max="10242" width="23.5546875" style="114" customWidth="1"/>
    <col min="10243" max="10243" width="17.33203125" style="114" customWidth="1"/>
    <col min="10244" max="10244" width="20.5546875" style="114" bestFit="1" customWidth="1"/>
    <col min="10245" max="10245" width="17.109375" style="114" customWidth="1"/>
    <col min="10246" max="10246" width="21.88671875" style="114" bestFit="1" customWidth="1"/>
    <col min="10247" max="10247" width="17.109375" style="114" bestFit="1" customWidth="1"/>
    <col min="10248" max="10248" width="18.109375" style="114" bestFit="1" customWidth="1"/>
    <col min="10249" max="10249" width="26.44140625" style="114" customWidth="1"/>
    <col min="10250" max="10494" width="9.109375" style="114"/>
    <col min="10495" max="10495" width="8.6640625" style="114" bestFit="1" customWidth="1"/>
    <col min="10496" max="10496" width="13.33203125" style="114" customWidth="1"/>
    <col min="10497" max="10497" width="16.109375" style="114" bestFit="1" customWidth="1"/>
    <col min="10498" max="10498" width="23.5546875" style="114" customWidth="1"/>
    <col min="10499" max="10499" width="17.33203125" style="114" customWidth="1"/>
    <col min="10500" max="10500" width="20.5546875" style="114" bestFit="1" customWidth="1"/>
    <col min="10501" max="10501" width="17.109375" style="114" customWidth="1"/>
    <col min="10502" max="10502" width="21.88671875" style="114" bestFit="1" customWidth="1"/>
    <col min="10503" max="10503" width="17.109375" style="114" bestFit="1" customWidth="1"/>
    <col min="10504" max="10504" width="18.109375" style="114" bestFit="1" customWidth="1"/>
    <col min="10505" max="10505" width="26.44140625" style="114" customWidth="1"/>
    <col min="10506" max="10750" width="9.109375" style="114"/>
    <col min="10751" max="10751" width="8.6640625" style="114" bestFit="1" customWidth="1"/>
    <col min="10752" max="10752" width="13.33203125" style="114" customWidth="1"/>
    <col min="10753" max="10753" width="16.109375" style="114" bestFit="1" customWidth="1"/>
    <col min="10754" max="10754" width="23.5546875" style="114" customWidth="1"/>
    <col min="10755" max="10755" width="17.33203125" style="114" customWidth="1"/>
    <col min="10756" max="10756" width="20.5546875" style="114" bestFit="1" customWidth="1"/>
    <col min="10757" max="10757" width="17.109375" style="114" customWidth="1"/>
    <col min="10758" max="10758" width="21.88671875" style="114" bestFit="1" customWidth="1"/>
    <col min="10759" max="10759" width="17.109375" style="114" bestFit="1" customWidth="1"/>
    <col min="10760" max="10760" width="18.109375" style="114" bestFit="1" customWidth="1"/>
    <col min="10761" max="10761" width="26.44140625" style="114" customWidth="1"/>
    <col min="10762" max="11006" width="9.109375" style="114"/>
    <col min="11007" max="11007" width="8.6640625" style="114" bestFit="1" customWidth="1"/>
    <col min="11008" max="11008" width="13.33203125" style="114" customWidth="1"/>
    <col min="11009" max="11009" width="16.109375" style="114" bestFit="1" customWidth="1"/>
    <col min="11010" max="11010" width="23.5546875" style="114" customWidth="1"/>
    <col min="11011" max="11011" width="17.33203125" style="114" customWidth="1"/>
    <col min="11012" max="11012" width="20.5546875" style="114" bestFit="1" customWidth="1"/>
    <col min="11013" max="11013" width="17.109375" style="114" customWidth="1"/>
    <col min="11014" max="11014" width="21.88671875" style="114" bestFit="1" customWidth="1"/>
    <col min="11015" max="11015" width="17.109375" style="114" bestFit="1" customWidth="1"/>
    <col min="11016" max="11016" width="18.109375" style="114" bestFit="1" customWidth="1"/>
    <col min="11017" max="11017" width="26.44140625" style="114" customWidth="1"/>
    <col min="11018" max="11262" width="9.109375" style="114"/>
    <col min="11263" max="11263" width="8.6640625" style="114" bestFit="1" customWidth="1"/>
    <col min="11264" max="11264" width="13.33203125" style="114" customWidth="1"/>
    <col min="11265" max="11265" width="16.109375" style="114" bestFit="1" customWidth="1"/>
    <col min="11266" max="11266" width="23.5546875" style="114" customWidth="1"/>
    <col min="11267" max="11267" width="17.33203125" style="114" customWidth="1"/>
    <col min="11268" max="11268" width="20.5546875" style="114" bestFit="1" customWidth="1"/>
    <col min="11269" max="11269" width="17.109375" style="114" customWidth="1"/>
    <col min="11270" max="11270" width="21.88671875" style="114" bestFit="1" customWidth="1"/>
    <col min="11271" max="11271" width="17.109375" style="114" bestFit="1" customWidth="1"/>
    <col min="11272" max="11272" width="18.109375" style="114" bestFit="1" customWidth="1"/>
    <col min="11273" max="11273" width="26.44140625" style="114" customWidth="1"/>
    <col min="11274" max="11518" width="9.109375" style="114"/>
    <col min="11519" max="11519" width="8.6640625" style="114" bestFit="1" customWidth="1"/>
    <col min="11520" max="11520" width="13.33203125" style="114" customWidth="1"/>
    <col min="11521" max="11521" width="16.109375" style="114" bestFit="1" customWidth="1"/>
    <col min="11522" max="11522" width="23.5546875" style="114" customWidth="1"/>
    <col min="11523" max="11523" width="17.33203125" style="114" customWidth="1"/>
    <col min="11524" max="11524" width="20.5546875" style="114" bestFit="1" customWidth="1"/>
    <col min="11525" max="11525" width="17.109375" style="114" customWidth="1"/>
    <col min="11526" max="11526" width="21.88671875" style="114" bestFit="1" customWidth="1"/>
    <col min="11527" max="11527" width="17.109375" style="114" bestFit="1" customWidth="1"/>
    <col min="11528" max="11528" width="18.109375" style="114" bestFit="1" customWidth="1"/>
    <col min="11529" max="11529" width="26.44140625" style="114" customWidth="1"/>
    <col min="11530" max="11774" width="9.109375" style="114"/>
    <col min="11775" max="11775" width="8.6640625" style="114" bestFit="1" customWidth="1"/>
    <col min="11776" max="11776" width="13.33203125" style="114" customWidth="1"/>
    <col min="11777" max="11777" width="16.109375" style="114" bestFit="1" customWidth="1"/>
    <col min="11778" max="11778" width="23.5546875" style="114" customWidth="1"/>
    <col min="11779" max="11779" width="17.33203125" style="114" customWidth="1"/>
    <col min="11780" max="11780" width="20.5546875" style="114" bestFit="1" customWidth="1"/>
    <col min="11781" max="11781" width="17.109375" style="114" customWidth="1"/>
    <col min="11782" max="11782" width="21.88671875" style="114" bestFit="1" customWidth="1"/>
    <col min="11783" max="11783" width="17.109375" style="114" bestFit="1" customWidth="1"/>
    <col min="11784" max="11784" width="18.109375" style="114" bestFit="1" customWidth="1"/>
    <col min="11785" max="11785" width="26.44140625" style="114" customWidth="1"/>
    <col min="11786" max="12030" width="9.109375" style="114"/>
    <col min="12031" max="12031" width="8.6640625" style="114" bestFit="1" customWidth="1"/>
    <col min="12032" max="12032" width="13.33203125" style="114" customWidth="1"/>
    <col min="12033" max="12033" width="16.109375" style="114" bestFit="1" customWidth="1"/>
    <col min="12034" max="12034" width="23.5546875" style="114" customWidth="1"/>
    <col min="12035" max="12035" width="17.33203125" style="114" customWidth="1"/>
    <col min="12036" max="12036" width="20.5546875" style="114" bestFit="1" customWidth="1"/>
    <col min="12037" max="12037" width="17.109375" style="114" customWidth="1"/>
    <col min="12038" max="12038" width="21.88671875" style="114" bestFit="1" customWidth="1"/>
    <col min="12039" max="12039" width="17.109375" style="114" bestFit="1" customWidth="1"/>
    <col min="12040" max="12040" width="18.109375" style="114" bestFit="1" customWidth="1"/>
    <col min="12041" max="12041" width="26.44140625" style="114" customWidth="1"/>
    <col min="12042" max="12286" width="9.109375" style="114"/>
    <col min="12287" max="12287" width="8.6640625" style="114" bestFit="1" customWidth="1"/>
    <col min="12288" max="12288" width="13.33203125" style="114" customWidth="1"/>
    <col min="12289" max="12289" width="16.109375" style="114" bestFit="1" customWidth="1"/>
    <col min="12290" max="12290" width="23.5546875" style="114" customWidth="1"/>
    <col min="12291" max="12291" width="17.33203125" style="114" customWidth="1"/>
    <col min="12292" max="12292" width="20.5546875" style="114" bestFit="1" customWidth="1"/>
    <col min="12293" max="12293" width="17.109375" style="114" customWidth="1"/>
    <col min="12294" max="12294" width="21.88671875" style="114" bestFit="1" customWidth="1"/>
    <col min="12295" max="12295" width="17.109375" style="114" bestFit="1" customWidth="1"/>
    <col min="12296" max="12296" width="18.109375" style="114" bestFit="1" customWidth="1"/>
    <col min="12297" max="12297" width="26.44140625" style="114" customWidth="1"/>
    <col min="12298" max="12542" width="9.109375" style="114"/>
    <col min="12543" max="12543" width="8.6640625" style="114" bestFit="1" customWidth="1"/>
    <col min="12544" max="12544" width="13.33203125" style="114" customWidth="1"/>
    <col min="12545" max="12545" width="16.109375" style="114" bestFit="1" customWidth="1"/>
    <col min="12546" max="12546" width="23.5546875" style="114" customWidth="1"/>
    <col min="12547" max="12547" width="17.33203125" style="114" customWidth="1"/>
    <col min="12548" max="12548" width="20.5546875" style="114" bestFit="1" customWidth="1"/>
    <col min="12549" max="12549" width="17.109375" style="114" customWidth="1"/>
    <col min="12550" max="12550" width="21.88671875" style="114" bestFit="1" customWidth="1"/>
    <col min="12551" max="12551" width="17.109375" style="114" bestFit="1" customWidth="1"/>
    <col min="12552" max="12552" width="18.109375" style="114" bestFit="1" customWidth="1"/>
    <col min="12553" max="12553" width="26.44140625" style="114" customWidth="1"/>
    <col min="12554" max="12798" width="9.109375" style="114"/>
    <col min="12799" max="12799" width="8.6640625" style="114" bestFit="1" customWidth="1"/>
    <col min="12800" max="12800" width="13.33203125" style="114" customWidth="1"/>
    <col min="12801" max="12801" width="16.109375" style="114" bestFit="1" customWidth="1"/>
    <col min="12802" max="12802" width="23.5546875" style="114" customWidth="1"/>
    <col min="12803" max="12803" width="17.33203125" style="114" customWidth="1"/>
    <col min="12804" max="12804" width="20.5546875" style="114" bestFit="1" customWidth="1"/>
    <col min="12805" max="12805" width="17.109375" style="114" customWidth="1"/>
    <col min="12806" max="12806" width="21.88671875" style="114" bestFit="1" customWidth="1"/>
    <col min="12807" max="12807" width="17.109375" style="114" bestFit="1" customWidth="1"/>
    <col min="12808" max="12808" width="18.109375" style="114" bestFit="1" customWidth="1"/>
    <col min="12809" max="12809" width="26.44140625" style="114" customWidth="1"/>
    <col min="12810" max="13054" width="9.109375" style="114"/>
    <col min="13055" max="13055" width="8.6640625" style="114" bestFit="1" customWidth="1"/>
    <col min="13056" max="13056" width="13.33203125" style="114" customWidth="1"/>
    <col min="13057" max="13057" width="16.109375" style="114" bestFit="1" customWidth="1"/>
    <col min="13058" max="13058" width="23.5546875" style="114" customWidth="1"/>
    <col min="13059" max="13059" width="17.33203125" style="114" customWidth="1"/>
    <col min="13060" max="13060" width="20.5546875" style="114" bestFit="1" customWidth="1"/>
    <col min="13061" max="13061" width="17.109375" style="114" customWidth="1"/>
    <col min="13062" max="13062" width="21.88671875" style="114" bestFit="1" customWidth="1"/>
    <col min="13063" max="13063" width="17.109375" style="114" bestFit="1" customWidth="1"/>
    <col min="13064" max="13064" width="18.109375" style="114" bestFit="1" customWidth="1"/>
    <col min="13065" max="13065" width="26.44140625" style="114" customWidth="1"/>
    <col min="13066" max="13310" width="9.109375" style="114"/>
    <col min="13311" max="13311" width="8.6640625" style="114" bestFit="1" customWidth="1"/>
    <col min="13312" max="13312" width="13.33203125" style="114" customWidth="1"/>
    <col min="13313" max="13313" width="16.109375" style="114" bestFit="1" customWidth="1"/>
    <col min="13314" max="13314" width="23.5546875" style="114" customWidth="1"/>
    <col min="13315" max="13315" width="17.33203125" style="114" customWidth="1"/>
    <col min="13316" max="13316" width="20.5546875" style="114" bestFit="1" customWidth="1"/>
    <col min="13317" max="13317" width="17.109375" style="114" customWidth="1"/>
    <col min="13318" max="13318" width="21.88671875" style="114" bestFit="1" customWidth="1"/>
    <col min="13319" max="13319" width="17.109375" style="114" bestFit="1" customWidth="1"/>
    <col min="13320" max="13320" width="18.109375" style="114" bestFit="1" customWidth="1"/>
    <col min="13321" max="13321" width="26.44140625" style="114" customWidth="1"/>
    <col min="13322" max="13566" width="9.109375" style="114"/>
    <col min="13567" max="13567" width="8.6640625" style="114" bestFit="1" customWidth="1"/>
    <col min="13568" max="13568" width="13.33203125" style="114" customWidth="1"/>
    <col min="13569" max="13569" width="16.109375" style="114" bestFit="1" customWidth="1"/>
    <col min="13570" max="13570" width="23.5546875" style="114" customWidth="1"/>
    <col min="13571" max="13571" width="17.33203125" style="114" customWidth="1"/>
    <col min="13572" max="13572" width="20.5546875" style="114" bestFit="1" customWidth="1"/>
    <col min="13573" max="13573" width="17.109375" style="114" customWidth="1"/>
    <col min="13574" max="13574" width="21.88671875" style="114" bestFit="1" customWidth="1"/>
    <col min="13575" max="13575" width="17.109375" style="114" bestFit="1" customWidth="1"/>
    <col min="13576" max="13576" width="18.109375" style="114" bestFit="1" customWidth="1"/>
    <col min="13577" max="13577" width="26.44140625" style="114" customWidth="1"/>
    <col min="13578" max="13822" width="9.109375" style="114"/>
    <col min="13823" max="13823" width="8.6640625" style="114" bestFit="1" customWidth="1"/>
    <col min="13824" max="13824" width="13.33203125" style="114" customWidth="1"/>
    <col min="13825" max="13825" width="16.109375" style="114" bestFit="1" customWidth="1"/>
    <col min="13826" max="13826" width="23.5546875" style="114" customWidth="1"/>
    <col min="13827" max="13827" width="17.33203125" style="114" customWidth="1"/>
    <col min="13828" max="13828" width="20.5546875" style="114" bestFit="1" customWidth="1"/>
    <col min="13829" max="13829" width="17.109375" style="114" customWidth="1"/>
    <col min="13830" max="13830" width="21.88671875" style="114" bestFit="1" customWidth="1"/>
    <col min="13831" max="13831" width="17.109375" style="114" bestFit="1" customWidth="1"/>
    <col min="13832" max="13832" width="18.109375" style="114" bestFit="1" customWidth="1"/>
    <col min="13833" max="13833" width="26.44140625" style="114" customWidth="1"/>
    <col min="13834" max="14078" width="9.109375" style="114"/>
    <col min="14079" max="14079" width="8.6640625" style="114" bestFit="1" customWidth="1"/>
    <col min="14080" max="14080" width="13.33203125" style="114" customWidth="1"/>
    <col min="14081" max="14081" width="16.109375" style="114" bestFit="1" customWidth="1"/>
    <col min="14082" max="14082" width="23.5546875" style="114" customWidth="1"/>
    <col min="14083" max="14083" width="17.33203125" style="114" customWidth="1"/>
    <col min="14084" max="14084" width="20.5546875" style="114" bestFit="1" customWidth="1"/>
    <col min="14085" max="14085" width="17.109375" style="114" customWidth="1"/>
    <col min="14086" max="14086" width="21.88671875" style="114" bestFit="1" customWidth="1"/>
    <col min="14087" max="14087" width="17.109375" style="114" bestFit="1" customWidth="1"/>
    <col min="14088" max="14088" width="18.109375" style="114" bestFit="1" customWidth="1"/>
    <col min="14089" max="14089" width="26.44140625" style="114" customWidth="1"/>
    <col min="14090" max="14334" width="9.109375" style="114"/>
    <col min="14335" max="14335" width="8.6640625" style="114" bestFit="1" customWidth="1"/>
    <col min="14336" max="14336" width="13.33203125" style="114" customWidth="1"/>
    <col min="14337" max="14337" width="16.109375" style="114" bestFit="1" customWidth="1"/>
    <col min="14338" max="14338" width="23.5546875" style="114" customWidth="1"/>
    <col min="14339" max="14339" width="17.33203125" style="114" customWidth="1"/>
    <col min="14340" max="14340" width="20.5546875" style="114" bestFit="1" customWidth="1"/>
    <col min="14341" max="14341" width="17.109375" style="114" customWidth="1"/>
    <col min="14342" max="14342" width="21.88671875" style="114" bestFit="1" customWidth="1"/>
    <col min="14343" max="14343" width="17.109375" style="114" bestFit="1" customWidth="1"/>
    <col min="14344" max="14344" width="18.109375" style="114" bestFit="1" customWidth="1"/>
    <col min="14345" max="14345" width="26.44140625" style="114" customWidth="1"/>
    <col min="14346" max="14590" width="9.109375" style="114"/>
    <col min="14591" max="14591" width="8.6640625" style="114" bestFit="1" customWidth="1"/>
    <col min="14592" max="14592" width="13.33203125" style="114" customWidth="1"/>
    <col min="14593" max="14593" width="16.109375" style="114" bestFit="1" customWidth="1"/>
    <col min="14594" max="14594" width="23.5546875" style="114" customWidth="1"/>
    <col min="14595" max="14595" width="17.33203125" style="114" customWidth="1"/>
    <col min="14596" max="14596" width="20.5546875" style="114" bestFit="1" customWidth="1"/>
    <col min="14597" max="14597" width="17.109375" style="114" customWidth="1"/>
    <col min="14598" max="14598" width="21.88671875" style="114" bestFit="1" customWidth="1"/>
    <col min="14599" max="14599" width="17.109375" style="114" bestFit="1" customWidth="1"/>
    <col min="14600" max="14600" width="18.109375" style="114" bestFit="1" customWidth="1"/>
    <col min="14601" max="14601" width="26.44140625" style="114" customWidth="1"/>
    <col min="14602" max="14846" width="9.109375" style="114"/>
    <col min="14847" max="14847" width="8.6640625" style="114" bestFit="1" customWidth="1"/>
    <col min="14848" max="14848" width="13.33203125" style="114" customWidth="1"/>
    <col min="14849" max="14849" width="16.109375" style="114" bestFit="1" customWidth="1"/>
    <col min="14850" max="14850" width="23.5546875" style="114" customWidth="1"/>
    <col min="14851" max="14851" width="17.33203125" style="114" customWidth="1"/>
    <col min="14852" max="14852" width="20.5546875" style="114" bestFit="1" customWidth="1"/>
    <col min="14853" max="14853" width="17.109375" style="114" customWidth="1"/>
    <col min="14854" max="14854" width="21.88671875" style="114" bestFit="1" customWidth="1"/>
    <col min="14855" max="14855" width="17.109375" style="114" bestFit="1" customWidth="1"/>
    <col min="14856" max="14856" width="18.109375" style="114" bestFit="1" customWidth="1"/>
    <col min="14857" max="14857" width="26.44140625" style="114" customWidth="1"/>
    <col min="14858" max="15102" width="9.109375" style="114"/>
    <col min="15103" max="15103" width="8.6640625" style="114" bestFit="1" customWidth="1"/>
    <col min="15104" max="15104" width="13.33203125" style="114" customWidth="1"/>
    <col min="15105" max="15105" width="16.109375" style="114" bestFit="1" customWidth="1"/>
    <col min="15106" max="15106" width="23.5546875" style="114" customWidth="1"/>
    <col min="15107" max="15107" width="17.33203125" style="114" customWidth="1"/>
    <col min="15108" max="15108" width="20.5546875" style="114" bestFit="1" customWidth="1"/>
    <col min="15109" max="15109" width="17.109375" style="114" customWidth="1"/>
    <col min="15110" max="15110" width="21.88671875" style="114" bestFit="1" customWidth="1"/>
    <col min="15111" max="15111" width="17.109375" style="114" bestFit="1" customWidth="1"/>
    <col min="15112" max="15112" width="18.109375" style="114" bestFit="1" customWidth="1"/>
    <col min="15113" max="15113" width="26.44140625" style="114" customWidth="1"/>
    <col min="15114" max="15358" width="9.109375" style="114"/>
    <col min="15359" max="15359" width="8.6640625" style="114" bestFit="1" customWidth="1"/>
    <col min="15360" max="15360" width="13.33203125" style="114" customWidth="1"/>
    <col min="15361" max="15361" width="16.109375" style="114" bestFit="1" customWidth="1"/>
    <col min="15362" max="15362" width="23.5546875" style="114" customWidth="1"/>
    <col min="15363" max="15363" width="17.33203125" style="114" customWidth="1"/>
    <col min="15364" max="15364" width="20.5546875" style="114" bestFit="1" customWidth="1"/>
    <col min="15365" max="15365" width="17.109375" style="114" customWidth="1"/>
    <col min="15366" max="15366" width="21.88671875" style="114" bestFit="1" customWidth="1"/>
    <col min="15367" max="15367" width="17.109375" style="114" bestFit="1" customWidth="1"/>
    <col min="15368" max="15368" width="18.109375" style="114" bestFit="1" customWidth="1"/>
    <col min="15369" max="15369" width="26.44140625" style="114" customWidth="1"/>
    <col min="15370" max="15614" width="9.109375" style="114"/>
    <col min="15615" max="15615" width="8.6640625" style="114" bestFit="1" customWidth="1"/>
    <col min="15616" max="15616" width="13.33203125" style="114" customWidth="1"/>
    <col min="15617" max="15617" width="16.109375" style="114" bestFit="1" customWidth="1"/>
    <col min="15618" max="15618" width="23.5546875" style="114" customWidth="1"/>
    <col min="15619" max="15619" width="17.33203125" style="114" customWidth="1"/>
    <col min="15620" max="15620" width="20.5546875" style="114" bestFit="1" customWidth="1"/>
    <col min="15621" max="15621" width="17.109375" style="114" customWidth="1"/>
    <col min="15622" max="15622" width="21.88671875" style="114" bestFit="1" customWidth="1"/>
    <col min="15623" max="15623" width="17.109375" style="114" bestFit="1" customWidth="1"/>
    <col min="15624" max="15624" width="18.109375" style="114" bestFit="1" customWidth="1"/>
    <col min="15625" max="15625" width="26.44140625" style="114" customWidth="1"/>
    <col min="15626" max="15870" width="9.109375" style="114"/>
    <col min="15871" max="15871" width="8.6640625" style="114" bestFit="1" customWidth="1"/>
    <col min="15872" max="15872" width="13.33203125" style="114" customWidth="1"/>
    <col min="15873" max="15873" width="16.109375" style="114" bestFit="1" customWidth="1"/>
    <col min="15874" max="15874" width="23.5546875" style="114" customWidth="1"/>
    <col min="15875" max="15875" width="17.33203125" style="114" customWidth="1"/>
    <col min="15876" max="15876" width="20.5546875" style="114" bestFit="1" customWidth="1"/>
    <col min="15877" max="15877" width="17.109375" style="114" customWidth="1"/>
    <col min="15878" max="15878" width="21.88671875" style="114" bestFit="1" customWidth="1"/>
    <col min="15879" max="15879" width="17.109375" style="114" bestFit="1" customWidth="1"/>
    <col min="15880" max="15880" width="18.109375" style="114" bestFit="1" customWidth="1"/>
    <col min="15881" max="15881" width="26.44140625" style="114" customWidth="1"/>
    <col min="15882" max="16126" width="9.109375" style="114"/>
    <col min="16127" max="16127" width="8.6640625" style="114" bestFit="1" customWidth="1"/>
    <col min="16128" max="16128" width="13.33203125" style="114" customWidth="1"/>
    <col min="16129" max="16129" width="16.109375" style="114" bestFit="1" customWidth="1"/>
    <col min="16130" max="16130" width="23.5546875" style="114" customWidth="1"/>
    <col min="16131" max="16131" width="17.33203125" style="114" customWidth="1"/>
    <col min="16132" max="16132" width="20.5546875" style="114" bestFit="1" customWidth="1"/>
    <col min="16133" max="16133" width="17.109375" style="114" customWidth="1"/>
    <col min="16134" max="16134" width="21.88671875" style="114" bestFit="1" customWidth="1"/>
    <col min="16135" max="16135" width="17.109375" style="114" bestFit="1" customWidth="1"/>
    <col min="16136" max="16136" width="18.109375" style="114" bestFit="1" customWidth="1"/>
    <col min="16137" max="16137" width="26.44140625" style="114" customWidth="1"/>
    <col min="16138" max="16384" width="9.109375" style="114"/>
  </cols>
  <sheetData>
    <row r="1" spans="11:17" s="132" customFormat="1" x14ac:dyDescent="0.25">
      <c r="K1" s="479"/>
      <c r="L1" s="478"/>
      <c r="Q1" s="660"/>
    </row>
    <row r="2" spans="11:17" s="132" customFormat="1" x14ac:dyDescent="0.25">
      <c r="K2" s="479"/>
      <c r="L2" s="478"/>
      <c r="Q2" s="660"/>
    </row>
    <row r="3" spans="11:17" s="132" customFormat="1" x14ac:dyDescent="0.25">
      <c r="K3" s="479"/>
      <c r="L3" s="478"/>
      <c r="Q3" s="660"/>
    </row>
    <row r="4" spans="11:17" s="132" customFormat="1" x14ac:dyDescent="0.25">
      <c r="K4" s="479"/>
      <c r="L4" s="478"/>
      <c r="Q4" s="660"/>
    </row>
    <row r="5" spans="11:17" s="132" customFormat="1" x14ac:dyDescent="0.25">
      <c r="K5" s="479"/>
      <c r="L5" s="478"/>
      <c r="Q5" s="660"/>
    </row>
    <row r="6" spans="11:17" s="132" customFormat="1" x14ac:dyDescent="0.25">
      <c r="K6" s="479"/>
      <c r="L6" s="478"/>
      <c r="Q6" s="660"/>
    </row>
    <row r="7" spans="11:17" s="132" customFormat="1" x14ac:dyDescent="0.25">
      <c r="K7" s="479"/>
      <c r="L7" s="478"/>
      <c r="Q7" s="660"/>
    </row>
    <row r="8" spans="11:17" s="132" customFormat="1" x14ac:dyDescent="0.25">
      <c r="K8" s="479"/>
      <c r="L8" s="478"/>
      <c r="Q8" s="660"/>
    </row>
    <row r="9" spans="11:17" s="132" customFormat="1" x14ac:dyDescent="0.25">
      <c r="K9" s="479"/>
      <c r="L9" s="478"/>
      <c r="Q9" s="660"/>
    </row>
    <row r="10" spans="11:17" s="132" customFormat="1" x14ac:dyDescent="0.25">
      <c r="K10" s="479"/>
      <c r="L10" s="478"/>
      <c r="Q10" s="660"/>
    </row>
    <row r="11" spans="11:17" s="132" customFormat="1" x14ac:dyDescent="0.25">
      <c r="K11" s="479"/>
      <c r="L11" s="478"/>
      <c r="Q11" s="660"/>
    </row>
    <row r="12" spans="11:17" s="132" customFormat="1" x14ac:dyDescent="0.25">
      <c r="K12" s="479"/>
      <c r="L12" s="478"/>
      <c r="Q12" s="660"/>
    </row>
    <row r="13" spans="11:17" s="132" customFormat="1" x14ac:dyDescent="0.25">
      <c r="K13" s="479"/>
      <c r="L13" s="478"/>
      <c r="Q13" s="660"/>
    </row>
    <row r="14" spans="11:17" s="132" customFormat="1" x14ac:dyDescent="0.25">
      <c r="K14" s="479"/>
      <c r="L14" s="478"/>
      <c r="Q14" s="660"/>
    </row>
    <row r="15" spans="11:17" s="132" customFormat="1" x14ac:dyDescent="0.25">
      <c r="K15" s="479"/>
      <c r="L15" s="478"/>
      <c r="Q15" s="660"/>
    </row>
    <row r="16" spans="11:17" s="132" customFormat="1" x14ac:dyDescent="0.25">
      <c r="K16" s="479"/>
      <c r="L16" s="478"/>
      <c r="Q16" s="660"/>
    </row>
    <row r="17" spans="1:17" s="132" customFormat="1" x14ac:dyDescent="0.25">
      <c r="K17" s="479"/>
      <c r="L17" s="478"/>
      <c r="Q17" s="660"/>
    </row>
    <row r="18" spans="1:17" s="132" customFormat="1" x14ac:dyDescent="0.25">
      <c r="K18" s="479"/>
      <c r="L18" s="478"/>
      <c r="Q18" s="660"/>
    </row>
    <row r="19" spans="1:17" s="132" customFormat="1" x14ac:dyDescent="0.25">
      <c r="K19" s="479"/>
      <c r="L19" s="478"/>
      <c r="Q19" s="660"/>
    </row>
    <row r="20" spans="1:17" s="132" customFormat="1" x14ac:dyDescent="0.25">
      <c r="K20" s="479"/>
      <c r="L20" s="478"/>
      <c r="Q20" s="660"/>
    </row>
    <row r="21" spans="1:17" s="132" customFormat="1" x14ac:dyDescent="0.25">
      <c r="K21" s="479"/>
      <c r="L21" s="478"/>
      <c r="Q21" s="660"/>
    </row>
    <row r="22" spans="1:17" s="132" customFormat="1" x14ac:dyDescent="0.25">
      <c r="K22" s="479"/>
      <c r="L22" s="478"/>
      <c r="Q22" s="660"/>
    </row>
    <row r="23" spans="1:17" s="132" customFormat="1" x14ac:dyDescent="0.25">
      <c r="K23" s="479"/>
      <c r="L23" s="478"/>
      <c r="Q23" s="660"/>
    </row>
    <row r="24" spans="1:17" s="132" customFormat="1" x14ac:dyDescent="0.25">
      <c r="K24" s="479"/>
      <c r="L24" s="478"/>
      <c r="Q24" s="660"/>
    </row>
    <row r="25" spans="1:17" s="132" customFormat="1" x14ac:dyDescent="0.25">
      <c r="K25" s="479"/>
      <c r="L25" s="478"/>
      <c r="Q25" s="660"/>
    </row>
    <row r="26" spans="1:17" s="132" customFormat="1" x14ac:dyDescent="0.25">
      <c r="K26" s="479"/>
      <c r="L26" s="478"/>
      <c r="Q26" s="660"/>
    </row>
    <row r="27" spans="1:17" s="132" customFormat="1" x14ac:dyDescent="0.25">
      <c r="K27" s="479"/>
      <c r="L27" s="478"/>
      <c r="Q27" s="660"/>
    </row>
    <row r="28" spans="1:17" s="132" customFormat="1" ht="24.75" customHeight="1" x14ac:dyDescent="0.3">
      <c r="A28" s="504" t="str">
        <f>CHOOSE(MODE, 'Variable Mgmt'!K11,'Variable Mgmt'!K12)</f>
        <v>DUAL Output PSR Flyback Converter, VIN = 15 V, VOUT1 = 15 V, IOUT1 = 1 A, VOUT2 = 7 V, IOUT2 = 0.25 A</v>
      </c>
      <c r="K28" s="478"/>
      <c r="L28" s="478"/>
      <c r="Q28" s="660"/>
    </row>
    <row r="29" spans="1:17" ht="24.75" customHeight="1" thickBot="1" x14ac:dyDescent="0.3">
      <c r="A29" s="115" t="s">
        <v>537</v>
      </c>
    </row>
    <row r="30" spans="1:17" ht="18" customHeight="1" x14ac:dyDescent="0.25">
      <c r="A30" s="206" t="s">
        <v>123</v>
      </c>
      <c r="B30" s="207" t="s">
        <v>122</v>
      </c>
      <c r="C30" s="207" t="s">
        <v>6</v>
      </c>
      <c r="D30" s="679" t="s">
        <v>41</v>
      </c>
      <c r="E30" s="680"/>
      <c r="F30" s="681"/>
      <c r="G30" s="207" t="s">
        <v>116</v>
      </c>
      <c r="H30" s="207" t="s">
        <v>67</v>
      </c>
      <c r="I30" s="497" t="s">
        <v>117</v>
      </c>
      <c r="J30" s="498" t="s">
        <v>350</v>
      </c>
      <c r="K30" s="499" t="s">
        <v>359</v>
      </c>
      <c r="L30" s="472"/>
      <c r="N30" s="117"/>
      <c r="Q30" s="661"/>
    </row>
    <row r="31" spans="1:17" s="117" customFormat="1" ht="17.100000000000001" customHeight="1" x14ac:dyDescent="0.25">
      <c r="A31" s="116">
        <f>ROUNDUP('Design PSR Flyback Converter'!E17/10,0)</f>
        <v>1</v>
      </c>
      <c r="B31" s="128" t="s">
        <v>120</v>
      </c>
      <c r="C31" s="131">
        <f>Cin</f>
        <v>10</v>
      </c>
      <c r="D31" s="677" t="str">
        <f>IF(VIN_max&gt;35, "Capacitor, Ceramic, "&amp;'Variable Mgmt'!B211&amp;", 100V, X7R, 10%", "Capacitor, Ceramic, "&amp;'Variable Mgmt'!B211&amp;", 50V, X7R, 10%")</f>
        <v>Capacitor, Ceramic, 10µF, 50V, X7R, 10%</v>
      </c>
      <c r="E31" s="678"/>
      <c r="F31" s="678"/>
      <c r="G31" s="129"/>
      <c r="H31" s="130" t="s">
        <v>118</v>
      </c>
      <c r="I31" s="484" t="s">
        <v>118</v>
      </c>
      <c r="J31" s="493" t="str">
        <f>CHOOSE(Q31,'Variable Mgmt'!T56,'Variable Mgmt'!T57,'Variable Mgmt'!T58,'Variable Mgmt'!T59,'Variable Mgmt'!T60)</f>
        <v>3.2 x 1.6</v>
      </c>
      <c r="K31" s="491">
        <f>CHOOSE(Q31,'Variable Mgmt'!U56,'Variable Mgmt'!U57,'Variable Mgmt'!U58,'Variable Mgmt'!U59,'Variable Mgmt'!U60)</f>
        <v>5.0999999999999996</v>
      </c>
      <c r="L31" s="496"/>
      <c r="Q31" s="502">
        <v>4</v>
      </c>
    </row>
    <row r="32" spans="1:17" s="117" customFormat="1" ht="17.100000000000001" customHeight="1" x14ac:dyDescent="0.25">
      <c r="A32" s="116">
        <v>1</v>
      </c>
      <c r="B32" s="128" t="s">
        <v>121</v>
      </c>
      <c r="C32" s="131">
        <f>Cout</f>
        <v>44</v>
      </c>
      <c r="D32" s="693" t="str">
        <f>CHOOSE(Cout_Voltage_Rating, "Capacitor, Ceramic, "&amp;'Variable Mgmt'!B206&amp;", 6.3V, X7R, 10%", "Capacitor, Ceramic, "&amp;'Variable Mgmt'!B206&amp;", 10V, X7R, 10%", "Capacitor, Ceramic, "&amp;'Variable Mgmt'!B206&amp;", 16V, X7R, 10%", "Capacitor, Ceramic, "&amp;'Variable Mgmt'!B206&amp;", 25V, X7R, 10%",  "Capacitor, Ceramic, "&amp;'Variable Mgmt'!B206&amp;", 50V, X7R, 10%")</f>
        <v>Capacitor, Ceramic, 44µF, 25V, X7R, 10%</v>
      </c>
      <c r="E32" s="694"/>
      <c r="F32" s="694"/>
      <c r="G32" s="129"/>
      <c r="H32" s="130" t="s">
        <v>118</v>
      </c>
      <c r="I32" s="484" t="s">
        <v>118</v>
      </c>
      <c r="J32" s="493" t="str">
        <f>CHOOSE(Q32,'Variable Mgmt'!T56,'Variable Mgmt'!T57,'Variable Mgmt'!T58,'Variable Mgmt'!T59,'Variable Mgmt'!T60)</f>
        <v>3.2 x 2.5</v>
      </c>
      <c r="K32" s="491">
        <f>CHOOSE(Q32,'Variable Mgmt'!U56,'Variable Mgmt'!U57,'Variable Mgmt'!U58,'Variable Mgmt'!U59,'Variable Mgmt'!U60)</f>
        <v>8</v>
      </c>
      <c r="L32" s="496"/>
      <c r="Q32" s="503">
        <v>5</v>
      </c>
    </row>
    <row r="33" spans="1:17" s="117" customFormat="1" ht="17.100000000000001" customHeight="1" x14ac:dyDescent="0.25">
      <c r="A33" s="116" t="str">
        <f>CHOOSE(MODE, "-", "1")</f>
        <v>1</v>
      </c>
      <c r="B33" s="128" t="s">
        <v>641</v>
      </c>
      <c r="C33" s="131">
        <f>CHOOSE(MODE, "-", Cout2)</f>
        <v>44</v>
      </c>
      <c r="D33" s="614" t="str">
        <f>CHOOSE(MODE, "-", CHOOSE(Cout_Voltage_Rating, "Capacitor, Ceramic, "&amp;'Variable Mgmt'!F206&amp;", 6.3V, X7R, 10%", "Capacitor, Ceramic, "&amp;'Variable Mgmt'!F206&amp;", 10V, X7R, 10%", "Capacitor, Ceramic, "&amp;'Variable Mgmt'!F206&amp;", 16V, X7R, 10%", "Capacitor, Ceramic, "&amp;'Variable Mgmt'!F206&amp;", 25V, X7R, 10%",  "Capacitor, Ceramic, "&amp;'Variable Mgmt'!F206&amp;", 50V, X7R, 10%"))</f>
        <v>Capacitor, Ceramic, 44µF, 25V, X7R, 10%</v>
      </c>
      <c r="E33" s="615"/>
      <c r="F33" s="615"/>
      <c r="G33" s="129"/>
      <c r="H33" s="130" t="str">
        <f>CHOOSE(MODE, "-", "Std")</f>
        <v>Std</v>
      </c>
      <c r="I33" s="484" t="str">
        <f>CHOOSE(MODE, "-", "Std")</f>
        <v>Std</v>
      </c>
      <c r="J33" s="493" t="str">
        <f>CHOOSE(MODE, "-", CHOOSE(Q33,'Variable Mgmt'!T56,'Variable Mgmt'!T57,'Variable Mgmt'!T58,'Variable Mgmt'!T59,'Variable Mgmt'!T60))</f>
        <v>3.2 x 2.5</v>
      </c>
      <c r="K33" s="491">
        <f>CHOOSE(MODE, "-", CHOOSE(Q33,'Variable Mgmt'!U56,'Variable Mgmt'!U57,'Variable Mgmt'!U58,'Variable Mgmt'!U59,'Variable Mgmt'!U60))</f>
        <v>8</v>
      </c>
      <c r="L33" s="496"/>
      <c r="Q33" s="503">
        <v>5</v>
      </c>
    </row>
    <row r="34" spans="1:17" s="117" customFormat="1" ht="17.100000000000001" customHeight="1" x14ac:dyDescent="0.25">
      <c r="A34" s="118" t="str">
        <f>CHOOSE(MODE_SS, "1", "-", "1")</f>
        <v>1</v>
      </c>
      <c r="B34" s="119" t="str">
        <f>CHOOSE(MODE_SS, "Css", "-")</f>
        <v>Css</v>
      </c>
      <c r="C34" s="640" t="str">
        <f>CHOOSE(MODE_SS, 'Standard Value Calculator'!B4*1000000000&amp;"nF", "-", "100k")</f>
        <v>47nF</v>
      </c>
      <c r="D34" s="695" t="str">
        <f>CHOOSE(MODE_SS, "Capacitor, Ceramic, "&amp;'Standard Value Calculator'!B4*1000000000&amp;"nF"&amp;", 16V, X7R, 10%", "-")</f>
        <v>Capacitor, Ceramic, 47nF, 16V, X7R, 10%</v>
      </c>
      <c r="E34" s="696"/>
      <c r="F34" s="696"/>
      <c r="G34" s="121" t="s">
        <v>119</v>
      </c>
      <c r="H34" s="122" t="str">
        <f>CHOOSE(MODE_SS, "Std", "-")</f>
        <v>Std</v>
      </c>
      <c r="I34" s="485" t="str">
        <f>CHOOSE(MODE_SS, "Std", "-")</f>
        <v>Std</v>
      </c>
      <c r="J34" s="493" t="str">
        <f>CHOOSE(MODE_SS,CHOOSE(Q34,'Variable Mgmt'!T56,'Variable Mgmt'!T57,'Variable Mgmt'!T58),"-",CHOOSE(Q34,'Variable Mgmt'!T56,'Variable Mgmt'!T57,'Variable Mgmt'!T58))</f>
        <v>1.0 x 0.5</v>
      </c>
      <c r="K34" s="491">
        <f>CHOOSE(MODE_SS, CHOOSE(Q34,'Variable Mgmt'!U56,'Variable Mgmt'!U57,'Variable Mgmt'!U58), "-", CHOOSE(Q34,'Variable Mgmt'!U56,'Variable Mgmt'!U57,'Variable Mgmt'!U58))</f>
        <v>0.5</v>
      </c>
      <c r="L34" s="496"/>
      <c r="Q34" s="503">
        <v>1</v>
      </c>
    </row>
    <row r="35" spans="1:17" s="117" customFormat="1" ht="17.100000000000001" customHeight="1" x14ac:dyDescent="0.25">
      <c r="A35" s="123">
        <v>1</v>
      </c>
      <c r="B35" s="124" t="s">
        <v>643</v>
      </c>
      <c r="C35" s="125" t="s">
        <v>194</v>
      </c>
      <c r="D35" s="686" t="str">
        <f>"Rectifying Diode, Schottky"</f>
        <v>Rectifying Diode, Schottky</v>
      </c>
      <c r="E35" s="687"/>
      <c r="F35" s="687"/>
      <c r="G35" s="126" t="e">
        <f>CHOOSE(SHORT_ILIM, "-", "0603")</f>
        <v>#NAME?</v>
      </c>
      <c r="H35" s="127" t="s">
        <v>118</v>
      </c>
      <c r="I35" s="486" t="s">
        <v>118</v>
      </c>
      <c r="J35" s="633" t="str">
        <f>CHOOSE(Q35,'Variable Mgmt'!Y67,'Variable Mgmt'!Y68,'Variable Mgmt'!Y69,'Variable Mgmt'!Y70,'Variable Mgmt'!Y71)</f>
        <v>5.0 x 2.7</v>
      </c>
      <c r="K35" s="634">
        <f>CHOOSE(Q35,'Variable Mgmt'!Z67,'Variable Mgmt'!Z68,'Variable Mgmt'!Z69,'Variable Mgmt'!Z70,'Variable Mgmt'!Z71)</f>
        <v>13.5</v>
      </c>
      <c r="L35" s="496"/>
      <c r="Q35" s="503">
        <v>2</v>
      </c>
    </row>
    <row r="36" spans="1:17" s="117" customFormat="1" ht="17.100000000000001" customHeight="1" x14ac:dyDescent="0.25">
      <c r="A36" s="123" t="str">
        <f>CHOOSE(MODE, "-", "1")</f>
        <v>1</v>
      </c>
      <c r="B36" s="124" t="s">
        <v>642</v>
      </c>
      <c r="C36" s="125" t="str">
        <f>CHOOSE(MODE, "-", "Diode")</f>
        <v>Diode</v>
      </c>
      <c r="D36" s="684" t="str">
        <f>CHOOSE(MODE, "-", "Rectifying Diode, Schottky")</f>
        <v>Rectifying Diode, Schottky</v>
      </c>
      <c r="E36" s="685"/>
      <c r="F36" s="685"/>
      <c r="G36" s="126" t="s">
        <v>119</v>
      </c>
      <c r="H36" s="127" t="str">
        <f>CHOOSE(MODE, "-", "Std")</f>
        <v>Std</v>
      </c>
      <c r="I36" s="486" t="str">
        <f>CHOOSE(MODE, "-", "Std")</f>
        <v>Std</v>
      </c>
      <c r="J36" s="633" t="str">
        <f>CHOOSE(MODE, "-", CHOOSE(Q35,'Variable Mgmt'!Y67,'Variable Mgmt'!Y68,'Variable Mgmt'!Y69,'Variable Mgmt'!Y70,'Variable Mgmt'!Y71))</f>
        <v>5.0 x 2.7</v>
      </c>
      <c r="K36" s="634">
        <f>CHOOSE(MODE, "-", CHOOSE(Q36,'Variable Mgmt'!Z65,'Variable Mgmt'!Z66,'Variable Mgmt'!Z67,'Variable Mgmt'!Z68))</f>
        <v>3.2</v>
      </c>
      <c r="L36" s="496"/>
      <c r="Q36" s="503">
        <v>2</v>
      </c>
    </row>
    <row r="37" spans="1:17" s="117" customFormat="1" ht="17.100000000000001" customHeight="1" x14ac:dyDescent="0.25">
      <c r="A37" s="123">
        <v>1</v>
      </c>
      <c r="B37" s="124" t="s">
        <v>644</v>
      </c>
      <c r="C37" s="125" t="str">
        <f>"Diode"</f>
        <v>Diode</v>
      </c>
      <c r="D37" s="638" t="str">
        <f>"Clamp Circuit Diode, Fast Recovery"</f>
        <v>Clamp Circuit Diode, Fast Recovery</v>
      </c>
      <c r="E37" s="639"/>
      <c r="F37" s="639"/>
      <c r="G37" s="126"/>
      <c r="H37" s="127" t="s">
        <v>118</v>
      </c>
      <c r="I37" s="486" t="s">
        <v>118</v>
      </c>
      <c r="J37" s="633" t="str">
        <f>CHOOSE(Q37,'Variable Mgmt'!Y65,'Variable Mgmt'!Y66,'Variable Mgmt'!Y67,'Variable Mgmt'!Y68)</f>
        <v>3.6 x 1.8</v>
      </c>
      <c r="K37" s="634">
        <f>CHOOSE(Q37,'Variable Mgmt'!Z65,'Variable Mgmt'!Z66,'Variable Mgmt'!Z67,'Variable Mgmt'!Z68)</f>
        <v>6.5</v>
      </c>
      <c r="L37" s="496"/>
      <c r="Q37" s="503">
        <v>3</v>
      </c>
    </row>
    <row r="38" spans="1:17" s="117" customFormat="1" ht="17.100000000000001" customHeight="1" x14ac:dyDescent="0.25">
      <c r="A38" s="123">
        <v>1</v>
      </c>
      <c r="B38" s="124" t="s">
        <v>639</v>
      </c>
      <c r="C38" s="125" t="s">
        <v>640</v>
      </c>
      <c r="D38" s="684" t="str">
        <f>"Clamp Circuit Diode, Zener, 24V"</f>
        <v>Clamp Circuit Diode, Zener, 24V</v>
      </c>
      <c r="E38" s="685"/>
      <c r="F38" s="685"/>
      <c r="G38" s="126" t="s">
        <v>119</v>
      </c>
      <c r="H38" s="127" t="s">
        <v>118</v>
      </c>
      <c r="I38" s="486" t="s">
        <v>118</v>
      </c>
      <c r="J38" s="633" t="str">
        <f>CHOOSE(Q38,'Variable Mgmt'!Y67,'Variable Mgmt'!Y68)</f>
        <v>5.0 x 2.7</v>
      </c>
      <c r="K38" s="634">
        <f>CHOOSE(Q38,'Variable Mgmt'!Z67,'Variable Mgmt'!Z68)</f>
        <v>13.5</v>
      </c>
      <c r="L38" s="496"/>
      <c r="Q38" s="503">
        <v>2</v>
      </c>
    </row>
    <row r="39" spans="1:17" s="117" customFormat="1" ht="17.100000000000001" customHeight="1" x14ac:dyDescent="0.25">
      <c r="A39" s="123">
        <v>1</v>
      </c>
      <c r="B39" s="124" t="s">
        <v>654</v>
      </c>
      <c r="C39" s="125" t="str">
        <f>ROUND(Vout*1.125,0)&amp;"V"</f>
        <v>17V</v>
      </c>
      <c r="D39" s="638" t="str">
        <f>"Output Clamp Diode, Zener, "&amp;ROUND(Vout*1.125,0)&amp;"V"</f>
        <v>Output Clamp Diode, Zener, 17V</v>
      </c>
      <c r="E39" s="639"/>
      <c r="F39" s="639"/>
      <c r="G39" s="126"/>
      <c r="H39" s="127" t="s">
        <v>118</v>
      </c>
      <c r="I39" s="486" t="s">
        <v>118</v>
      </c>
      <c r="J39" s="633" t="str">
        <f>CHOOSE(Q39,'Variable Mgmt'!T56,'Variable Mgmt'!T57,'Variable Mgmt'!T58)</f>
        <v>1.0 x 0.5</v>
      </c>
      <c r="K39" s="634">
        <f>CHOOSE(Q39,'Variable Mgmt'!Z65,'Variable Mgmt'!Z66,'Variable Mgmt'!Z67,'Variable Mgmt'!Z68)</f>
        <v>1.3</v>
      </c>
      <c r="L39" s="496"/>
      <c r="Q39" s="503">
        <v>1</v>
      </c>
    </row>
    <row r="40" spans="1:17" s="117" customFormat="1" ht="17.100000000000001" customHeight="1" x14ac:dyDescent="0.25">
      <c r="A40" s="123" t="str">
        <f>CHOOSE(MODE, "-", "1")</f>
        <v>1</v>
      </c>
      <c r="B40" s="124" t="s">
        <v>704</v>
      </c>
      <c r="C40" s="125" t="str">
        <f>CHOOSE(MODE, "-", ROUND(Vout2*1.125,0)&amp;"V")</f>
        <v>8V</v>
      </c>
      <c r="D40" s="658" t="str">
        <f>CHOOSE(MODE, "-", "Output Clamp Diode, Zener, "&amp;ROUND(Vout2*1.125,0)&amp;"V")</f>
        <v>Output Clamp Diode, Zener, 8V</v>
      </c>
      <c r="E40" s="659"/>
      <c r="F40" s="659"/>
      <c r="G40" s="126"/>
      <c r="H40" s="127" t="str">
        <f>CHOOSE(MODE, "-", "Std")</f>
        <v>Std</v>
      </c>
      <c r="I40" s="486" t="str">
        <f>CHOOSE(MODE, "-", "Std")</f>
        <v>Std</v>
      </c>
      <c r="J40" s="633" t="str">
        <f>CHOOSE(MODE, "-", CHOOSE(Q40,'Variable Mgmt'!T57,'Variable Mgmt'!T58,'Variable Mgmt'!T59))</f>
        <v>1.6 x 0.8</v>
      </c>
      <c r="K40" s="634">
        <f>CHOOSE(MODE, "-", CHOOSE(Q40,'Variable Mgmt'!Z66,'Variable Mgmt'!Z67,'Variable Mgmt'!Z68,'Variable Mgmt'!Z69))</f>
        <v>3.2</v>
      </c>
      <c r="L40" s="496"/>
      <c r="Q40" s="503">
        <v>1</v>
      </c>
    </row>
    <row r="41" spans="1:17" s="117" customFormat="1" ht="17.100000000000001" customHeight="1" x14ac:dyDescent="0.25">
      <c r="A41" s="118">
        <v>1</v>
      </c>
      <c r="B41" s="119" t="s">
        <v>645</v>
      </c>
      <c r="C41" s="120">
        <v>12.1</v>
      </c>
      <c r="D41" s="682">
        <f t="shared" ref="D41" si="0">C41</f>
        <v>12.1</v>
      </c>
      <c r="E41" s="683"/>
      <c r="F41" s="683"/>
      <c r="G41" s="121" t="s">
        <v>119</v>
      </c>
      <c r="H41" s="122" t="s">
        <v>118</v>
      </c>
      <c r="I41" s="485" t="s">
        <v>118</v>
      </c>
      <c r="J41" s="493" t="str">
        <f>CHOOSE(Q41,'Variable Mgmt'!T56,'Variable Mgmt'!T57,'Variable Mgmt'!T58)</f>
        <v>1.0 x 0.5</v>
      </c>
      <c r="K41" s="491">
        <f>CHOOSE(Q41,'Variable Mgmt'!U56,'Variable Mgmt'!U57,'Variable Mgmt'!U58,'Variable Mgmt'!U59,'Variable Mgmt'!U60)</f>
        <v>0.5</v>
      </c>
      <c r="L41" s="496"/>
      <c r="Q41" s="503">
        <v>1</v>
      </c>
    </row>
    <row r="42" spans="1:17" s="117" customFormat="1" ht="17.100000000000001" customHeight="1" x14ac:dyDescent="0.25">
      <c r="A42" s="118">
        <v>1</v>
      </c>
      <c r="B42" s="119" t="s">
        <v>539</v>
      </c>
      <c r="C42" s="120">
        <f>Rfb/1000</f>
        <v>240</v>
      </c>
      <c r="D42" s="682">
        <f>C42</f>
        <v>240</v>
      </c>
      <c r="E42" s="683"/>
      <c r="F42" s="683"/>
      <c r="G42" s="121" t="s">
        <v>119</v>
      </c>
      <c r="H42" s="122" t="s">
        <v>118</v>
      </c>
      <c r="I42" s="485" t="s">
        <v>118</v>
      </c>
      <c r="J42" s="493" t="str">
        <f>CHOOSE(Q42,'Variable Mgmt'!T56,'Variable Mgmt'!T57,'Variable Mgmt'!T58)</f>
        <v>1.0 x 0.5</v>
      </c>
      <c r="K42" s="491">
        <f>CHOOSE(Q42,'Variable Mgmt'!U56,'Variable Mgmt'!U57,'Variable Mgmt'!U58,'Variable Mgmt'!U59,'Variable Mgmt'!U60)</f>
        <v>0.5</v>
      </c>
      <c r="L42" s="496"/>
      <c r="Q42" s="503">
        <v>1</v>
      </c>
    </row>
    <row r="43" spans="1:17" s="117" customFormat="1" ht="17.100000000000001" customHeight="1" x14ac:dyDescent="0.25">
      <c r="A43" s="118" t="str">
        <f>CHOOSE(MODE_UVLO, "1", "-")</f>
        <v>1</v>
      </c>
      <c r="B43" s="119" t="s">
        <v>126</v>
      </c>
      <c r="C43" s="464" t="str">
        <f>CHOOSE(MODE_UVLO, 'Variable Mgmt'!H230, "-")</f>
        <v>340k</v>
      </c>
      <c r="D43" s="691" t="str">
        <f>CHOOSE(MODE_UVLO, "Resistor, Chip, "&amp;'Variable Mgmt'!C230&amp;", 1/16W, 1%", "-")</f>
        <v>Resistor, Chip, 340kΩ, 1/16W, 1%</v>
      </c>
      <c r="E43" s="692"/>
      <c r="F43" s="692"/>
      <c r="G43" s="121" t="s">
        <v>119</v>
      </c>
      <c r="H43" s="122" t="str">
        <f t="shared" ref="H43:I44" si="1">CHOOSE(MODE_UVLO, "Std", "-")</f>
        <v>Std</v>
      </c>
      <c r="I43" s="485" t="str">
        <f t="shared" si="1"/>
        <v>Std</v>
      </c>
      <c r="J43" s="493" t="str">
        <f>CHOOSE(MODE_UVLO, CHOOSE(Q43,'Variable Mgmt'!T56,'Variable Mgmt'!T57,'Variable Mgmt'!T58), "-")</f>
        <v>1.0 x 0.5</v>
      </c>
      <c r="K43" s="491">
        <f>CHOOSE(MODE_UVLO, CHOOSE(Q43,'Variable Mgmt'!U56,'Variable Mgmt'!U57,'Variable Mgmt'!U58,'Variable Mgmt'!U59,'Variable Mgmt'!U60),"-")</f>
        <v>0.5</v>
      </c>
      <c r="L43" s="496"/>
      <c r="Q43" s="503">
        <v>1</v>
      </c>
    </row>
    <row r="44" spans="1:17" s="117" customFormat="1" ht="17.100000000000001" customHeight="1" x14ac:dyDescent="0.25">
      <c r="A44" s="118" t="str">
        <f>CHOOSE(MODE_UVLO, "1", "-")</f>
        <v>1</v>
      </c>
      <c r="B44" s="119" t="s">
        <v>127</v>
      </c>
      <c r="C44" s="464" t="str">
        <f>CHOOSE(MODE_UVLO, 'Variable Mgmt'!H231, "-")</f>
        <v>68.1k</v>
      </c>
      <c r="D44" s="691" t="str">
        <f>CHOOSE(MODE_UVLO, "Resistor, Chip, "&amp;'Variable Mgmt'!C231&amp;", 1/16W, 1%", "-")</f>
        <v>Resistor, Chip, 68.1kΩ, 1/16W, 1%</v>
      </c>
      <c r="E44" s="692"/>
      <c r="F44" s="692"/>
      <c r="G44" s="121" t="s">
        <v>119</v>
      </c>
      <c r="H44" s="122" t="str">
        <f t="shared" si="1"/>
        <v>Std</v>
      </c>
      <c r="I44" s="485" t="str">
        <f t="shared" si="1"/>
        <v>Std</v>
      </c>
      <c r="J44" s="493" t="str">
        <f>CHOOSE(MODE_UVLO, CHOOSE(Q44,'Variable Mgmt'!T56,'Variable Mgmt'!T57,'Variable Mgmt'!T58), "-")</f>
        <v>1.0 x 0.5</v>
      </c>
      <c r="K44" s="491">
        <f>CHOOSE(MODE_UVLO, CHOOSE(Q44,'Variable Mgmt'!U56,'Variable Mgmt'!U57,'Variable Mgmt'!U58,'Variable Mgmt'!U59,'Variable Mgmt'!U60),"-")</f>
        <v>0.5</v>
      </c>
      <c r="L44" s="496"/>
      <c r="Q44" s="503">
        <v>1</v>
      </c>
    </row>
    <row r="45" spans="1:17" s="117" customFormat="1" ht="17.100000000000001" customHeight="1" x14ac:dyDescent="0.25">
      <c r="A45" s="118" t="str">
        <f>CHOOSE(MODE_TC, "1", "-")</f>
        <v>1</v>
      </c>
      <c r="B45" s="119" t="s">
        <v>529</v>
      </c>
      <c r="C45" s="120">
        <f>CHOOSE(MODE_TC, RTC, "-")</f>
        <v>316</v>
      </c>
      <c r="D45" s="682" t="str">
        <f>CHOOSE(MODE_TC, "Resistor, Chip, "&amp;'Variable Mgmt'!B226&amp;", 1/16W, 1%", "-")</f>
        <v>Resistor, Chip, 316kΩ, 1/16W, 1%</v>
      </c>
      <c r="E45" s="683"/>
      <c r="F45" s="683"/>
      <c r="G45" s="121" t="s">
        <v>119</v>
      </c>
      <c r="H45" s="122" t="str">
        <f>CHOOSE(MODE_TC, "Std", "-")</f>
        <v>Std</v>
      </c>
      <c r="I45" s="485" t="str">
        <f>CHOOSE(MODE_TC, "Std", "-")</f>
        <v>Std</v>
      </c>
      <c r="J45" s="493" t="str">
        <f>CHOOSE(MODE_TC, CHOOSE(Q45,'Variable Mgmt'!T56,'Variable Mgmt'!T370,'Variable Mgmt'!T58), "-")</f>
        <v>1.0 x 0.5</v>
      </c>
      <c r="K45" s="491">
        <f>CHOOSE(MODE_TC, CHOOSE(Q45,'Variable Mgmt'!U56,'Variable Mgmt'!U57,'Variable Mgmt'!U58,'Variable Mgmt'!U59,'Variable Mgmt'!U60),"-")</f>
        <v>0.5</v>
      </c>
      <c r="L45" s="496"/>
      <c r="Q45" s="503">
        <v>1</v>
      </c>
    </row>
    <row r="46" spans="1:17" s="636" customFormat="1" ht="16.5" customHeight="1" x14ac:dyDescent="0.25">
      <c r="A46" s="123">
        <v>1</v>
      </c>
      <c r="B46" s="124" t="s">
        <v>538</v>
      </c>
      <c r="C46" s="632">
        <f>'Design PSR Flyback Converter'!L7</f>
        <v>7</v>
      </c>
      <c r="D46" s="688" t="str">
        <f>CHOOSE(VARIANT, "Transformer, "&amp;L*1000000&amp;"µH, "&amp;'Variable Mgmt'!W44&amp;", "&amp;Rdcr_pri*1000&amp;"mΩ Pri DCR, "&amp;"3A Sat", "Transformer, "&amp;L*1000000&amp;"µH, "&amp;'Variable Mgmt'!W44&amp;", "&amp;Rdcr_pri*1000&amp;"mΩ Pri DCR, "&amp;"5A Sat")</f>
        <v>Transformer, 7µH, 1.5 : 1 : 0.5, 0mΩ Pri DCR, 5A Sat</v>
      </c>
      <c r="E46" s="689"/>
      <c r="F46" s="690"/>
      <c r="G46" s="127" t="s">
        <v>125</v>
      </c>
      <c r="H46" s="127" t="s">
        <v>124</v>
      </c>
      <c r="I46" s="486" t="s">
        <v>124</v>
      </c>
      <c r="J46" s="633" t="str">
        <f>CHOOSE(Q46,'Variable Mgmt'!T65,'Variable Mgmt'!T66,'Variable Mgmt'!T67,'Variable Mgmt'!T68,'Variable Mgmt'!T69,'Variable Mgmt'!T70,'Variable Mgmt'!T71)</f>
        <v>11 x 13</v>
      </c>
      <c r="K46" s="641">
        <f>CHOOSE(Q46,'Variable Mgmt'!U65,'Variable Mgmt'!U66,'Variable Mgmt'!U67,'Variable Mgmt'!U68,'Variable Mgmt'!U69,'Variable Mgmt'!U70,'Variable Mgmt'!U71)</f>
        <v>143</v>
      </c>
      <c r="L46" s="635"/>
      <c r="Q46" s="637">
        <v>7</v>
      </c>
    </row>
    <row r="47" spans="1:17" ht="17.100000000000001" customHeight="1" x14ac:dyDescent="0.25">
      <c r="A47" s="468">
        <v>1</v>
      </c>
      <c r="B47" s="474" t="s">
        <v>128</v>
      </c>
      <c r="C47" s="495" t="s">
        <v>690</v>
      </c>
      <c r="D47" s="475" t="str">
        <f>CHOOSE(VARIANT, "IC, LM25183-Q1, PSR Flyback Converter, 4.5V–42V Input", "IC, LM25184-Q1, PSR Flyback Converter, 4.5V–42V Input")</f>
        <v>IC, LM25184-Q1, PSR Flyback Converter, 4.5V–42V Input</v>
      </c>
      <c r="E47" s="476"/>
      <c r="F47" s="477"/>
      <c r="G47" s="473" t="s">
        <v>536</v>
      </c>
      <c r="H47" s="473" t="str">
        <f>CHOOSE(VARIANT, "LM25183-Q1", "LM25184-Q1")</f>
        <v>LM25184-Q1</v>
      </c>
      <c r="I47" s="475" t="s">
        <v>360</v>
      </c>
      <c r="J47" s="494" t="s">
        <v>358</v>
      </c>
      <c r="K47" s="492">
        <v>16</v>
      </c>
      <c r="L47" s="472"/>
      <c r="M47" s="472"/>
      <c r="N47" s="117"/>
    </row>
    <row r="48" spans="1:17" ht="17.100000000000001" customHeight="1" x14ac:dyDescent="0.25">
      <c r="J48" s="117"/>
      <c r="K48" s="482"/>
      <c r="L48" s="472"/>
      <c r="M48" s="472"/>
      <c r="N48" s="117"/>
    </row>
    <row r="49" spans="1:14" ht="17.25" customHeight="1" x14ac:dyDescent="0.3">
      <c r="H49" s="676" t="s">
        <v>362</v>
      </c>
      <c r="I49" s="676"/>
      <c r="J49" s="676"/>
      <c r="K49" s="500">
        <f>SUM(K31:K47)*1.25</f>
        <v>280.375</v>
      </c>
      <c r="L49" s="506" t="s">
        <v>364</v>
      </c>
      <c r="M49" s="501">
        <f>K49/25.4/25.4</f>
        <v>0.43458211916423833</v>
      </c>
      <c r="N49" s="506" t="s">
        <v>361</v>
      </c>
    </row>
    <row r="50" spans="1:14" ht="17.100000000000001" customHeight="1" x14ac:dyDescent="0.25">
      <c r="J50" s="487"/>
      <c r="K50" s="488"/>
      <c r="L50" s="489"/>
      <c r="M50" s="490"/>
      <c r="N50" s="489"/>
    </row>
    <row r="51" spans="1:14" ht="20.25" customHeight="1" x14ac:dyDescent="0.25">
      <c r="A51" s="481" t="s">
        <v>137</v>
      </c>
    </row>
    <row r="52" spans="1:14" x14ac:dyDescent="0.25">
      <c r="A52" s="114" t="s">
        <v>689</v>
      </c>
    </row>
    <row r="53" spans="1:14" x14ac:dyDescent="0.25">
      <c r="A53" s="114" t="s">
        <v>363</v>
      </c>
      <c r="K53" s="480"/>
    </row>
    <row r="54" spans="1:14" x14ac:dyDescent="0.25">
      <c r="A54" s="114" t="s">
        <v>646</v>
      </c>
    </row>
    <row r="55" spans="1:14" x14ac:dyDescent="0.25">
      <c r="A55" s="114" t="s">
        <v>647</v>
      </c>
    </row>
    <row r="56" spans="1:14" x14ac:dyDescent="0.25">
      <c r="A56" s="114" t="s">
        <v>660</v>
      </c>
    </row>
  </sheetData>
  <sheetProtection password="CCC8" sheet="1" objects="1" scenarios="1" selectLockedCells="1" selectUnlockedCells="1"/>
  <mergeCells count="14">
    <mergeCell ref="H49:J49"/>
    <mergeCell ref="D31:F31"/>
    <mergeCell ref="D30:F30"/>
    <mergeCell ref="D41:F41"/>
    <mergeCell ref="D42:F42"/>
    <mergeCell ref="D38:F38"/>
    <mergeCell ref="D36:F36"/>
    <mergeCell ref="D35:F35"/>
    <mergeCell ref="D46:F46"/>
    <mergeCell ref="D43:F43"/>
    <mergeCell ref="D44:F44"/>
    <mergeCell ref="D45:F45"/>
    <mergeCell ref="D32:F32"/>
    <mergeCell ref="D34:F34"/>
  </mergeCells>
  <printOptions horizontalCentered="1"/>
  <pageMargins left="0.23" right="0.23" top="0.7" bottom="0.61" header="0.3" footer="0.5"/>
  <pageSetup scale="84" fitToHeight="2" orientation="landscape" r:id="rId1"/>
  <headerFooter alignWithMargins="0"/>
  <rowBreaks count="1" manualBreakCount="1">
    <brk id="27" max="9" man="1"/>
  </rowBreaks>
  <ignoredErrors>
    <ignoredError sqref="G34 G36 G38 G43:G44 G41" numberStoredAsText="1"/>
    <ignoredError sqref="K36 K38 J40"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674505" r:id="rId4" name="Drop Down 713">
              <controlPr defaultSize="0" autoLine="0" autoPict="0">
                <anchor moveWithCells="1">
                  <from>
                    <xdr:col>6</xdr:col>
                    <xdr:colOff>0</xdr:colOff>
                    <xdr:row>30</xdr:row>
                    <xdr:rowOff>7620</xdr:rowOff>
                  </from>
                  <to>
                    <xdr:col>6</xdr:col>
                    <xdr:colOff>876300</xdr:colOff>
                    <xdr:row>31</xdr:row>
                    <xdr:rowOff>0</xdr:rowOff>
                  </to>
                </anchor>
              </controlPr>
            </control>
          </mc:Choice>
        </mc:AlternateContent>
        <mc:AlternateContent xmlns:mc="http://schemas.openxmlformats.org/markup-compatibility/2006">
          <mc:Choice Requires="x14">
            <control shapeId="674508" r:id="rId5" name="Drop Down 716">
              <controlPr defaultSize="0" autoLine="0" autoPict="0">
                <anchor moveWithCells="1">
                  <from>
                    <xdr:col>6</xdr:col>
                    <xdr:colOff>0</xdr:colOff>
                    <xdr:row>31</xdr:row>
                    <xdr:rowOff>7620</xdr:rowOff>
                  </from>
                  <to>
                    <xdr:col>6</xdr:col>
                    <xdr:colOff>876300</xdr:colOff>
                    <xdr:row>32</xdr:row>
                    <xdr:rowOff>0</xdr:rowOff>
                  </to>
                </anchor>
              </controlPr>
            </control>
          </mc:Choice>
        </mc:AlternateContent>
        <mc:AlternateContent xmlns:mc="http://schemas.openxmlformats.org/markup-compatibility/2006">
          <mc:Choice Requires="x14">
            <control shapeId="674527" r:id="rId6" name="Drop Down 735">
              <controlPr defaultSize="0" autoLine="0" autoPict="0">
                <anchor moveWithCells="1">
                  <from>
                    <xdr:col>6</xdr:col>
                    <xdr:colOff>0</xdr:colOff>
                    <xdr:row>35</xdr:row>
                    <xdr:rowOff>7620</xdr:rowOff>
                  </from>
                  <to>
                    <xdr:col>6</xdr:col>
                    <xdr:colOff>876300</xdr:colOff>
                    <xdr:row>36</xdr:row>
                    <xdr:rowOff>0</xdr:rowOff>
                  </to>
                </anchor>
              </controlPr>
            </control>
          </mc:Choice>
        </mc:AlternateContent>
        <mc:AlternateContent xmlns:mc="http://schemas.openxmlformats.org/markup-compatibility/2006">
          <mc:Choice Requires="x14">
            <control shapeId="674534" r:id="rId7" name="Drop Down 742">
              <controlPr defaultSize="0" autoLine="0" autoPict="0">
                <anchor moveWithCells="1">
                  <from>
                    <xdr:col>6</xdr:col>
                    <xdr:colOff>0</xdr:colOff>
                    <xdr:row>41</xdr:row>
                    <xdr:rowOff>7620</xdr:rowOff>
                  </from>
                  <to>
                    <xdr:col>6</xdr:col>
                    <xdr:colOff>876300</xdr:colOff>
                    <xdr:row>42</xdr:row>
                    <xdr:rowOff>0</xdr:rowOff>
                  </to>
                </anchor>
              </controlPr>
            </control>
          </mc:Choice>
        </mc:AlternateContent>
        <mc:AlternateContent xmlns:mc="http://schemas.openxmlformats.org/markup-compatibility/2006">
          <mc:Choice Requires="x14">
            <control shapeId="674536" r:id="rId8" name="Drop Down 744">
              <controlPr defaultSize="0" autoLine="0" autoPict="0">
                <anchor moveWithCells="1">
                  <from>
                    <xdr:col>6</xdr:col>
                    <xdr:colOff>0</xdr:colOff>
                    <xdr:row>37</xdr:row>
                    <xdr:rowOff>7620</xdr:rowOff>
                  </from>
                  <to>
                    <xdr:col>6</xdr:col>
                    <xdr:colOff>876300</xdr:colOff>
                    <xdr:row>38</xdr:row>
                    <xdr:rowOff>0</xdr:rowOff>
                  </to>
                </anchor>
              </controlPr>
            </control>
          </mc:Choice>
        </mc:AlternateContent>
        <mc:AlternateContent xmlns:mc="http://schemas.openxmlformats.org/markup-compatibility/2006">
          <mc:Choice Requires="x14">
            <control shapeId="674539" r:id="rId9" name="Drop Down 747">
              <controlPr defaultSize="0" autoLine="0" autoPict="0">
                <anchor moveWithCells="1">
                  <from>
                    <xdr:col>6</xdr:col>
                    <xdr:colOff>0</xdr:colOff>
                    <xdr:row>36</xdr:row>
                    <xdr:rowOff>7620</xdr:rowOff>
                  </from>
                  <to>
                    <xdr:col>6</xdr:col>
                    <xdr:colOff>876300</xdr:colOff>
                    <xdr:row>37</xdr:row>
                    <xdr:rowOff>0</xdr:rowOff>
                  </to>
                </anchor>
              </controlPr>
            </control>
          </mc:Choice>
        </mc:AlternateContent>
        <mc:AlternateContent xmlns:mc="http://schemas.openxmlformats.org/markup-compatibility/2006">
          <mc:Choice Requires="x14">
            <control shapeId="674540" r:id="rId10" name="Drop Down 748">
              <controlPr defaultSize="0" autoLine="0" autoPict="0">
                <anchor moveWithCells="1">
                  <from>
                    <xdr:col>6</xdr:col>
                    <xdr:colOff>0</xdr:colOff>
                    <xdr:row>40</xdr:row>
                    <xdr:rowOff>7620</xdr:rowOff>
                  </from>
                  <to>
                    <xdr:col>6</xdr:col>
                    <xdr:colOff>876300</xdr:colOff>
                    <xdr:row>41</xdr:row>
                    <xdr:rowOff>0</xdr:rowOff>
                  </to>
                </anchor>
              </controlPr>
            </control>
          </mc:Choice>
        </mc:AlternateContent>
        <mc:AlternateContent xmlns:mc="http://schemas.openxmlformats.org/markup-compatibility/2006">
          <mc:Choice Requires="x14">
            <control shapeId="674541" r:id="rId11" name="Drop Down 749">
              <controlPr defaultSize="0" autoLine="0" autoPict="0">
                <anchor moveWithCells="1">
                  <from>
                    <xdr:col>6</xdr:col>
                    <xdr:colOff>0</xdr:colOff>
                    <xdr:row>42</xdr:row>
                    <xdr:rowOff>7620</xdr:rowOff>
                  </from>
                  <to>
                    <xdr:col>6</xdr:col>
                    <xdr:colOff>876300</xdr:colOff>
                    <xdr:row>43</xdr:row>
                    <xdr:rowOff>0</xdr:rowOff>
                  </to>
                </anchor>
              </controlPr>
            </control>
          </mc:Choice>
        </mc:AlternateContent>
        <mc:AlternateContent xmlns:mc="http://schemas.openxmlformats.org/markup-compatibility/2006">
          <mc:Choice Requires="x14">
            <control shapeId="674542" r:id="rId12" name="Drop Down 750">
              <controlPr defaultSize="0" autoLine="0" autoPict="0">
                <anchor moveWithCells="1">
                  <from>
                    <xdr:col>6</xdr:col>
                    <xdr:colOff>0</xdr:colOff>
                    <xdr:row>43</xdr:row>
                    <xdr:rowOff>7620</xdr:rowOff>
                  </from>
                  <to>
                    <xdr:col>6</xdr:col>
                    <xdr:colOff>876300</xdr:colOff>
                    <xdr:row>44</xdr:row>
                    <xdr:rowOff>0</xdr:rowOff>
                  </to>
                </anchor>
              </controlPr>
            </control>
          </mc:Choice>
        </mc:AlternateContent>
        <mc:AlternateContent xmlns:mc="http://schemas.openxmlformats.org/markup-compatibility/2006">
          <mc:Choice Requires="x14">
            <control shapeId="674543" r:id="rId13" name="Drop Down 751">
              <controlPr defaultSize="0" autoLine="0" autoPict="0">
                <anchor moveWithCells="1">
                  <from>
                    <xdr:col>6</xdr:col>
                    <xdr:colOff>0</xdr:colOff>
                    <xdr:row>44</xdr:row>
                    <xdr:rowOff>7620</xdr:rowOff>
                  </from>
                  <to>
                    <xdr:col>6</xdr:col>
                    <xdr:colOff>876300</xdr:colOff>
                    <xdr:row>45</xdr:row>
                    <xdr:rowOff>0</xdr:rowOff>
                  </to>
                </anchor>
              </controlPr>
            </control>
          </mc:Choice>
        </mc:AlternateContent>
        <mc:AlternateContent xmlns:mc="http://schemas.openxmlformats.org/markup-compatibility/2006">
          <mc:Choice Requires="x14">
            <control shapeId="674544" r:id="rId14" name="Drop Down 752">
              <controlPr defaultSize="0" autoLine="0" autoPict="0">
                <anchor moveWithCells="1">
                  <from>
                    <xdr:col>6</xdr:col>
                    <xdr:colOff>0</xdr:colOff>
                    <xdr:row>34</xdr:row>
                    <xdr:rowOff>7620</xdr:rowOff>
                  </from>
                  <to>
                    <xdr:col>6</xdr:col>
                    <xdr:colOff>876300</xdr:colOff>
                    <xdr:row>35</xdr:row>
                    <xdr:rowOff>0</xdr:rowOff>
                  </to>
                </anchor>
              </controlPr>
            </control>
          </mc:Choice>
        </mc:AlternateContent>
        <mc:AlternateContent xmlns:mc="http://schemas.openxmlformats.org/markup-compatibility/2006">
          <mc:Choice Requires="x14">
            <control shapeId="674632" r:id="rId15" name="Drop Down 840">
              <controlPr defaultSize="0" autoLine="0" autoPict="0">
                <anchor moveWithCells="1">
                  <from>
                    <xdr:col>6</xdr:col>
                    <xdr:colOff>0</xdr:colOff>
                    <xdr:row>45</xdr:row>
                    <xdr:rowOff>7620</xdr:rowOff>
                  </from>
                  <to>
                    <xdr:col>6</xdr:col>
                    <xdr:colOff>876300</xdr:colOff>
                    <xdr:row>46</xdr:row>
                    <xdr:rowOff>0</xdr:rowOff>
                  </to>
                </anchor>
              </controlPr>
            </control>
          </mc:Choice>
        </mc:AlternateContent>
        <mc:AlternateContent xmlns:mc="http://schemas.openxmlformats.org/markup-compatibility/2006">
          <mc:Choice Requires="x14">
            <control shapeId="674633" r:id="rId16" name="Drop Down 841">
              <controlPr defaultSize="0" autoLine="0" autoPict="0">
                <anchor moveWithCells="1">
                  <from>
                    <xdr:col>6</xdr:col>
                    <xdr:colOff>0</xdr:colOff>
                    <xdr:row>33</xdr:row>
                    <xdr:rowOff>7620</xdr:rowOff>
                  </from>
                  <to>
                    <xdr:col>6</xdr:col>
                    <xdr:colOff>876300</xdr:colOff>
                    <xdr:row>34</xdr:row>
                    <xdr:rowOff>0</xdr:rowOff>
                  </to>
                </anchor>
              </controlPr>
            </control>
          </mc:Choice>
        </mc:AlternateContent>
        <mc:AlternateContent xmlns:mc="http://schemas.openxmlformats.org/markup-compatibility/2006">
          <mc:Choice Requires="x14">
            <control shapeId="706019" r:id="rId17" name="Drop Down 1507">
              <controlPr defaultSize="0" autoLine="0" autoPict="0">
                <anchor moveWithCells="1">
                  <from>
                    <xdr:col>5</xdr:col>
                    <xdr:colOff>899160</xdr:colOff>
                    <xdr:row>32</xdr:row>
                    <xdr:rowOff>7620</xdr:rowOff>
                  </from>
                  <to>
                    <xdr:col>6</xdr:col>
                    <xdr:colOff>868680</xdr:colOff>
                    <xdr:row>33</xdr:row>
                    <xdr:rowOff>0</xdr:rowOff>
                  </to>
                </anchor>
              </controlPr>
            </control>
          </mc:Choice>
        </mc:AlternateContent>
        <mc:AlternateContent xmlns:mc="http://schemas.openxmlformats.org/markup-compatibility/2006">
          <mc:Choice Requires="x14">
            <control shapeId="706028" r:id="rId18" name="Drop Down 1516">
              <controlPr defaultSize="0" autoLine="0" autoPict="0">
                <anchor moveWithCells="1">
                  <from>
                    <xdr:col>6</xdr:col>
                    <xdr:colOff>0</xdr:colOff>
                    <xdr:row>38</xdr:row>
                    <xdr:rowOff>7620</xdr:rowOff>
                  </from>
                  <to>
                    <xdr:col>6</xdr:col>
                    <xdr:colOff>876300</xdr:colOff>
                    <xdr:row>39</xdr:row>
                    <xdr:rowOff>0</xdr:rowOff>
                  </to>
                </anchor>
              </controlPr>
            </control>
          </mc:Choice>
        </mc:AlternateContent>
        <mc:AlternateContent xmlns:mc="http://schemas.openxmlformats.org/markup-compatibility/2006">
          <mc:Choice Requires="x14">
            <control shapeId="706335" r:id="rId19" name="Drop Down 1823">
              <controlPr defaultSize="0" autoLine="0" autoPict="0">
                <anchor moveWithCells="1">
                  <from>
                    <xdr:col>6</xdr:col>
                    <xdr:colOff>0</xdr:colOff>
                    <xdr:row>39</xdr:row>
                    <xdr:rowOff>7620</xdr:rowOff>
                  </from>
                  <to>
                    <xdr:col>6</xdr:col>
                    <xdr:colOff>876300</xdr:colOff>
                    <xdr:row>40</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 id="{4B8E3D35-A815-4471-905F-8419AAA9FC23}">
            <xm:f>'Variable Mgmt'!$B$52=TRUE</xm:f>
            <x14:dxf>
              <font>
                <color theme="0"/>
              </font>
            </x14:dxf>
          </x14:cfRule>
          <xm:sqref>B36</xm:sqref>
        </x14:conditionalFormatting>
        <x14:conditionalFormatting xmlns:xm="http://schemas.microsoft.com/office/excel/2006/main">
          <x14:cfRule type="expression" priority="2" id="{8521D621-BE3D-4AAE-900E-18DA0D0FAC8E}">
            <xm:f>'Variable Mgmt'!$B$52=TRUE</xm:f>
            <x14:dxf>
              <font>
                <color rgb="FFFFFF99"/>
              </font>
            </x14:dxf>
          </x14:cfRule>
          <xm:sqref>B33</xm:sqref>
        </x14:conditionalFormatting>
        <x14:conditionalFormatting xmlns:xm="http://schemas.microsoft.com/office/excel/2006/main">
          <x14:cfRule type="expression" priority="1" id="{3E1DA943-3F9A-45BF-AC2B-838E4C317940}">
            <xm:f>'Variable Mgmt'!$B$52=TRUE</xm:f>
            <x14:dxf>
              <font>
                <color theme="0"/>
              </font>
            </x14:dxf>
          </x14:cfRule>
          <xm:sqref>B40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7030A0"/>
    <pageSetUpPr fitToPage="1"/>
  </sheetPr>
  <dimension ref="A1:R6"/>
  <sheetViews>
    <sheetView zoomScaleNormal="100" workbookViewId="0">
      <selection activeCell="B7" sqref="B7"/>
    </sheetView>
  </sheetViews>
  <sheetFormatPr defaultColWidth="9.109375" defaultRowHeight="13.2" x14ac:dyDescent="0.25"/>
  <cols>
    <col min="1" max="13" width="9.109375" style="84"/>
    <col min="14" max="14" width="11.88671875" style="84" customWidth="1"/>
    <col min="15" max="16" width="9.109375" style="84"/>
    <col min="17" max="17" width="15.6640625" style="84" customWidth="1"/>
    <col min="18" max="16384" width="9.109375" style="84"/>
  </cols>
  <sheetData>
    <row r="1" spans="1:18" s="75" customFormat="1" ht="47.25" customHeight="1" x14ac:dyDescent="0.3">
      <c r="A1" s="697" t="s">
        <v>706</v>
      </c>
      <c r="B1" s="698"/>
      <c r="C1" s="698"/>
      <c r="D1" s="698"/>
      <c r="E1" s="698"/>
      <c r="F1" s="698"/>
      <c r="G1" s="698"/>
      <c r="H1" s="698"/>
      <c r="I1" s="698"/>
      <c r="J1" s="698"/>
      <c r="K1" s="698"/>
      <c r="L1" s="698"/>
      <c r="M1" s="698"/>
      <c r="N1" s="698"/>
      <c r="O1" s="698"/>
      <c r="P1" s="698"/>
      <c r="Q1" s="698"/>
      <c r="R1" s="82"/>
    </row>
    <row r="6" spans="1:18" ht="20.399999999999999" x14ac:dyDescent="0.35">
      <c r="B6" s="85" t="s">
        <v>707</v>
      </c>
      <c r="N6" s="85"/>
    </row>
  </sheetData>
  <sheetProtection password="CCC8" sheet="1" objects="1" scenarios="1"/>
  <mergeCells count="1">
    <mergeCell ref="A1:Q1"/>
  </mergeCells>
  <pageMargins left="0.19" right="0.2" top="0.75" bottom="0.75" header="0.3" footer="0.3"/>
  <pageSetup scale="50"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0000FF"/>
  </sheetPr>
  <dimension ref="A1:Z268"/>
  <sheetViews>
    <sheetView workbookViewId="0">
      <pane ySplit="5" topLeftCell="A66" activePane="bottomLeft" state="frozenSplit"/>
      <selection pane="bottomLeft" activeCell="B91" sqref="B91"/>
    </sheetView>
  </sheetViews>
  <sheetFormatPr defaultRowHeight="13.2" x14ac:dyDescent="0.25"/>
  <cols>
    <col min="1" max="1" width="40.44140625" customWidth="1"/>
    <col min="2" max="2" width="11.88671875" customWidth="1"/>
    <col min="3" max="3" width="9.44140625" style="3" customWidth="1"/>
    <col min="4" max="4" width="10.33203125" customWidth="1"/>
    <col min="5" max="5" width="11.5546875" customWidth="1"/>
    <col min="6" max="6" width="14.88671875" customWidth="1"/>
    <col min="7" max="7" width="12.44140625" bestFit="1" customWidth="1"/>
    <col min="8" max="8" width="20.109375" customWidth="1"/>
    <col min="9" max="9" width="14.44140625" customWidth="1"/>
    <col min="10" max="10" width="12.44140625" bestFit="1" customWidth="1"/>
    <col min="11" max="11" width="12" customWidth="1"/>
    <col min="12" max="12" width="8.88671875" customWidth="1"/>
    <col min="13" max="13" width="7" customWidth="1"/>
    <col min="14" max="14" width="9.33203125" customWidth="1"/>
    <col min="16" max="16" width="7.109375" customWidth="1"/>
    <col min="17" max="17" width="11" customWidth="1"/>
    <col min="18" max="18" width="13.88671875" customWidth="1"/>
    <col min="19" max="19" width="5.44140625" customWidth="1"/>
    <col min="20" max="20" width="16.33203125" customWidth="1"/>
    <col min="22" max="22" width="9.6640625" customWidth="1"/>
    <col min="23" max="23" width="11.33203125" customWidth="1"/>
    <col min="24" max="24" width="5.88671875" customWidth="1"/>
    <col min="26" max="26" width="7.88671875" customWidth="1"/>
  </cols>
  <sheetData>
    <row r="1" spans="1:12" ht="30.75" customHeight="1" x14ac:dyDescent="0.5">
      <c r="A1" s="700" t="s">
        <v>172</v>
      </c>
      <c r="B1" s="700"/>
      <c r="C1" s="700"/>
      <c r="D1" s="700"/>
      <c r="E1" s="700"/>
      <c r="F1" s="700"/>
      <c r="G1" s="700"/>
      <c r="H1" s="700"/>
      <c r="I1" s="700"/>
    </row>
    <row r="2" spans="1:12" ht="12" customHeight="1" x14ac:dyDescent="0.25">
      <c r="A2" s="19"/>
      <c r="B2" s="19" t="s">
        <v>81</v>
      </c>
      <c r="C2" s="20"/>
      <c r="E2" s="19"/>
      <c r="F2" s="19"/>
      <c r="G2" s="19"/>
      <c r="H2" s="19"/>
      <c r="I2" s="19"/>
    </row>
    <row r="3" spans="1:12" ht="11.25" customHeight="1" x14ac:dyDescent="0.25">
      <c r="A3" s="19"/>
      <c r="B3" s="19" t="s">
        <v>100</v>
      </c>
      <c r="C3" s="21"/>
      <c r="E3" s="19"/>
      <c r="F3" s="19"/>
      <c r="G3" s="19"/>
      <c r="H3" s="19"/>
      <c r="I3" s="19"/>
    </row>
    <row r="4" spans="1:12" ht="11.25" customHeight="1" x14ac:dyDescent="0.25">
      <c r="A4" s="19"/>
      <c r="B4" s="19" t="s">
        <v>82</v>
      </c>
      <c r="C4" s="22"/>
      <c r="E4" s="19"/>
      <c r="F4" s="19"/>
      <c r="G4" s="19"/>
      <c r="H4" s="19"/>
      <c r="I4" s="19"/>
    </row>
    <row r="5" spans="1:12" x14ac:dyDescent="0.25">
      <c r="A5" s="3" t="s">
        <v>19</v>
      </c>
      <c r="B5" s="3" t="s">
        <v>6</v>
      </c>
      <c r="C5" s="3" t="s">
        <v>7</v>
      </c>
      <c r="E5" s="699" t="s">
        <v>9</v>
      </c>
      <c r="F5" s="699"/>
      <c r="G5" s="699"/>
      <c r="H5" s="699"/>
      <c r="I5" s="3" t="s">
        <v>174</v>
      </c>
    </row>
    <row r="6" spans="1:12" ht="16.2" thickBot="1" x14ac:dyDescent="0.35">
      <c r="A6" s="50" t="s">
        <v>61</v>
      </c>
      <c r="B6" s="39"/>
      <c r="C6" s="39"/>
      <c r="D6" s="39"/>
      <c r="E6" s="51"/>
      <c r="F6" s="51"/>
      <c r="G6" s="51"/>
      <c r="H6" s="51"/>
      <c r="I6" s="39"/>
    </row>
    <row r="7" spans="1:12" x14ac:dyDescent="0.25">
      <c r="A7" s="109" t="s">
        <v>145</v>
      </c>
      <c r="B7" s="9">
        <f>'Design PSR Flyback Converter'!E6</f>
        <v>12</v>
      </c>
      <c r="C7" s="31" t="s">
        <v>0</v>
      </c>
      <c r="D7" s="79" t="s">
        <v>146</v>
      </c>
      <c r="E7" s="31"/>
      <c r="F7" s="31"/>
      <c r="G7" s="31"/>
      <c r="H7" s="31"/>
      <c r="I7" s="32">
        <v>1</v>
      </c>
    </row>
    <row r="8" spans="1:12" x14ac:dyDescent="0.25">
      <c r="A8" s="110" t="s">
        <v>143</v>
      </c>
      <c r="B8" s="10">
        <f>'Design PSR Flyback Converter'!E7</f>
        <v>15</v>
      </c>
      <c r="C8" s="7" t="s">
        <v>0</v>
      </c>
      <c r="D8" s="7" t="s">
        <v>10</v>
      </c>
      <c r="F8" s="7"/>
      <c r="G8" s="7"/>
      <c r="H8" s="7"/>
      <c r="I8" s="25"/>
    </row>
    <row r="9" spans="1:12" x14ac:dyDescent="0.25">
      <c r="A9" s="110" t="s">
        <v>144</v>
      </c>
      <c r="B9" s="10">
        <f>'Design PSR Flyback Converter'!E8</f>
        <v>17</v>
      </c>
      <c r="C9" s="7" t="s">
        <v>0</v>
      </c>
      <c r="D9" s="77" t="s">
        <v>147</v>
      </c>
      <c r="F9" s="7"/>
      <c r="G9" s="7"/>
      <c r="H9" s="7"/>
      <c r="I9" s="25"/>
    </row>
    <row r="10" spans="1:12" x14ac:dyDescent="0.25">
      <c r="A10" s="110"/>
      <c r="B10" s="209"/>
      <c r="C10" s="60"/>
      <c r="D10" s="77"/>
      <c r="F10" s="7"/>
      <c r="G10" s="7"/>
      <c r="H10" s="7"/>
      <c r="I10" s="25"/>
    </row>
    <row r="11" spans="1:12" x14ac:dyDescent="0.25">
      <c r="A11" s="24" t="s">
        <v>4</v>
      </c>
      <c r="B11" s="10">
        <f>'Design PSR Flyback Converter'!E10</f>
        <v>15</v>
      </c>
      <c r="C11" s="7" t="s">
        <v>0</v>
      </c>
      <c r="D11" s="77" t="s">
        <v>579</v>
      </c>
      <c r="F11" s="7"/>
      <c r="G11" s="7">
        <f>(Vout+Vfwd1)*Nps</f>
        <v>23.85</v>
      </c>
      <c r="H11" s="7"/>
      <c r="I11" s="25">
        <v>1</v>
      </c>
      <c r="K11" t="str">
        <f>'Variable Mgmt'!B51&amp;" Output PSR Flyback Converter, "&amp;"VIN = "&amp;Vin&amp;" V, VOUT = "&amp;Vout&amp;" V, IOUT = "&amp;Iout&amp;" A"</f>
        <v>DUAL Output PSR Flyback Converter, VIN = 15 V, VOUT = 15 V, IOUT = 1 A</v>
      </c>
    </row>
    <row r="12" spans="1:12" x14ac:dyDescent="0.25">
      <c r="A12" s="24" t="s">
        <v>5</v>
      </c>
      <c r="B12" s="588">
        <f>'Design PSR Flyback Converter'!E11</f>
        <v>1</v>
      </c>
      <c r="C12" s="77" t="s">
        <v>1</v>
      </c>
      <c r="D12" s="77" t="s">
        <v>669</v>
      </c>
      <c r="F12" s="7"/>
      <c r="G12" s="7"/>
      <c r="H12" s="7"/>
      <c r="I12" s="25">
        <v>1</v>
      </c>
      <c r="K12" t="str">
        <f>'Variable Mgmt'!B51&amp;" Output PSR Flyback Converter, "&amp;"VIN = "&amp;Vin&amp;" V, VOUT1 = "&amp;Vout&amp;" V, IOUT1 = "&amp;Iout&amp;" A"&amp;", VOUT2 = "&amp;Vout2_actual&amp;" V, IOUT2 = "&amp;Iout2_actual&amp;" A"</f>
        <v>DUAL Output PSR Flyback Converter, VIN = 15 V, VOUT1 = 15 V, IOUT1 = 1 A, VOUT2 = 7 V, IOUT2 = 0.25 A</v>
      </c>
      <c r="L12" s="76"/>
    </row>
    <row r="13" spans="1:12" x14ac:dyDescent="0.25">
      <c r="A13" s="110" t="s">
        <v>169</v>
      </c>
      <c r="B13" s="157">
        <f>Vout/Iout</f>
        <v>15</v>
      </c>
      <c r="C13" s="113" t="s">
        <v>45</v>
      </c>
      <c r="D13" s="111" t="s">
        <v>170</v>
      </c>
      <c r="F13" s="7"/>
      <c r="G13" s="7"/>
      <c r="H13" s="7"/>
      <c r="I13" s="25"/>
    </row>
    <row r="14" spans="1:12" x14ac:dyDescent="0.25">
      <c r="A14" s="110" t="s">
        <v>153</v>
      </c>
      <c r="B14" s="587">
        <f>Vout*Iout</f>
        <v>15</v>
      </c>
      <c r="C14" s="60" t="s">
        <v>45</v>
      </c>
      <c r="D14" s="111" t="s">
        <v>159</v>
      </c>
      <c r="F14" s="7"/>
      <c r="G14" s="7"/>
      <c r="H14" s="7"/>
      <c r="I14" s="25"/>
      <c r="L14" s="76"/>
    </row>
    <row r="15" spans="1:12" x14ac:dyDescent="0.25">
      <c r="B15" s="375"/>
      <c r="C15" s="60"/>
      <c r="D15" s="111"/>
      <c r="F15" s="7"/>
      <c r="G15" s="7"/>
      <c r="H15" s="7"/>
      <c r="I15" s="25"/>
      <c r="L15" s="76"/>
    </row>
    <row r="16" spans="1:12" x14ac:dyDescent="0.25">
      <c r="A16" s="110" t="s">
        <v>624</v>
      </c>
      <c r="B16" s="589">
        <f>ABS('Design PSR Flyback Converter'!E12)</f>
        <v>7</v>
      </c>
      <c r="C16" s="7" t="s">
        <v>0</v>
      </c>
      <c r="D16" s="77" t="s">
        <v>581</v>
      </c>
      <c r="F16" s="7"/>
      <c r="G16" s="7"/>
      <c r="H16" s="7"/>
      <c r="I16" s="25"/>
      <c r="L16" s="76"/>
    </row>
    <row r="17" spans="1:23" x14ac:dyDescent="0.25">
      <c r="A17" s="110" t="s">
        <v>625</v>
      </c>
      <c r="B17" s="630">
        <f>'Design PSR Flyback Converter'!E12</f>
        <v>7</v>
      </c>
      <c r="C17" s="60" t="s">
        <v>0</v>
      </c>
      <c r="D17" s="77"/>
      <c r="F17" s="7"/>
      <c r="G17" s="7"/>
      <c r="H17" s="7"/>
      <c r="I17" s="25"/>
      <c r="L17" s="76"/>
    </row>
    <row r="18" spans="1:23" x14ac:dyDescent="0.25">
      <c r="A18" s="110" t="s">
        <v>511</v>
      </c>
      <c r="B18" s="589">
        <f>ABS('Design PSR Flyback Converter'!E13)</f>
        <v>0.25</v>
      </c>
      <c r="C18" s="77" t="s">
        <v>1</v>
      </c>
      <c r="D18" s="77" t="s">
        <v>580</v>
      </c>
      <c r="F18" s="7"/>
      <c r="G18" s="7"/>
      <c r="H18" s="7"/>
      <c r="I18" s="25"/>
      <c r="L18" s="76"/>
      <c r="R18" s="158" t="s">
        <v>693</v>
      </c>
      <c r="S18" s="164">
        <v>1</v>
      </c>
    </row>
    <row r="19" spans="1:23" x14ac:dyDescent="0.25">
      <c r="A19" s="111" t="s">
        <v>668</v>
      </c>
      <c r="B19">
        <f>Iout2*SIGN(Vout2_actual)</f>
        <v>0.25</v>
      </c>
      <c r="C19" s="76" t="s">
        <v>1</v>
      </c>
      <c r="F19" s="7"/>
      <c r="G19" s="7"/>
      <c r="H19" s="7"/>
      <c r="I19" s="25"/>
      <c r="L19" s="76"/>
      <c r="R19" s="158" t="s">
        <v>692</v>
      </c>
      <c r="S19" s="164">
        <v>2</v>
      </c>
    </row>
    <row r="20" spans="1:23" x14ac:dyDescent="0.25">
      <c r="A20" s="110" t="s">
        <v>512</v>
      </c>
      <c r="B20" s="587">
        <f>ABS(Vout2/Iout2)</f>
        <v>28</v>
      </c>
      <c r="C20" s="113" t="s">
        <v>45</v>
      </c>
      <c r="D20" s="111" t="s">
        <v>514</v>
      </c>
      <c r="F20" s="7"/>
      <c r="G20" s="7"/>
      <c r="H20" s="7"/>
      <c r="I20" s="25"/>
      <c r="K20" s="76" t="s">
        <v>545</v>
      </c>
      <c r="L20" s="76" t="s">
        <v>546</v>
      </c>
      <c r="Q20" s="379" t="s">
        <v>691</v>
      </c>
      <c r="R20" s="161" t="str">
        <f>CHOOSE(VARIANT, "LM25183", "LM25184")</f>
        <v>LM25184</v>
      </c>
      <c r="S20" s="378">
        <v>2</v>
      </c>
    </row>
    <row r="21" spans="1:23" x14ac:dyDescent="0.25">
      <c r="A21" s="110" t="s">
        <v>513</v>
      </c>
      <c r="B21" s="587">
        <f>ABS(Vout2*Iout2)</f>
        <v>1.75</v>
      </c>
      <c r="C21" s="60" t="s">
        <v>45</v>
      </c>
      <c r="D21" s="111" t="s">
        <v>515</v>
      </c>
      <c r="F21" s="7"/>
      <c r="G21" s="7"/>
      <c r="H21" s="7"/>
      <c r="I21" s="25"/>
      <c r="K21">
        <v>5</v>
      </c>
      <c r="L21" s="76">
        <v>-5</v>
      </c>
    </row>
    <row r="22" spans="1:23" x14ac:dyDescent="0.25">
      <c r="A22" s="110" t="s">
        <v>516</v>
      </c>
      <c r="B22" s="587">
        <f>CHOOSE(MODE, Pout, Pout + Pout2)</f>
        <v>16.75</v>
      </c>
      <c r="C22" s="60" t="s">
        <v>45</v>
      </c>
      <c r="D22" s="111" t="s">
        <v>517</v>
      </c>
      <c r="F22" s="7"/>
      <c r="G22" s="7"/>
      <c r="H22" s="7"/>
      <c r="I22" s="25"/>
      <c r="K22">
        <v>0.2</v>
      </c>
      <c r="L22" s="76">
        <v>0.2</v>
      </c>
    </row>
    <row r="23" spans="1:23" x14ac:dyDescent="0.25">
      <c r="A23" s="110"/>
      <c r="B23" s="375"/>
      <c r="C23" s="60"/>
      <c r="D23" s="111"/>
      <c r="F23" s="7"/>
      <c r="G23" s="7"/>
      <c r="H23" s="7"/>
      <c r="I23" s="25"/>
      <c r="L23" s="76"/>
    </row>
    <row r="24" spans="1:23" x14ac:dyDescent="0.25">
      <c r="A24" s="34" t="str">
        <f>CHOOSE(MODE, "Turns Ratio, PRI : SEC", "Turns Ratio, PRI : SEC1")</f>
        <v>Turns Ratio, PRI : SEC1</v>
      </c>
      <c r="B24" s="570" t="str">
        <f>Nps</f>
        <v>1.5</v>
      </c>
      <c r="C24" s="60"/>
      <c r="D24" s="111" t="str">
        <f>CHOOSE(MODE, "TR primary-secondary (single output) = Np/Ns", "TR primary-secondary1 (dual output) = Np/Nsec1")</f>
        <v>TR primary-secondary1 (dual output) = Np/Nsec1</v>
      </c>
      <c r="F24" s="7"/>
      <c r="G24" s="7"/>
      <c r="H24" s="7"/>
      <c r="I24" s="25"/>
      <c r="L24" s="76"/>
    </row>
    <row r="25" spans="1:23" x14ac:dyDescent="0.25">
      <c r="A25" s="34" t="s">
        <v>593</v>
      </c>
      <c r="B25" s="177">
        <f>Npri_sec2</f>
        <v>3.018987341772152</v>
      </c>
      <c r="D25" s="111" t="s">
        <v>594</v>
      </c>
      <c r="F25" s="7"/>
      <c r="G25" s="7"/>
      <c r="H25" s="7"/>
      <c r="I25" s="25"/>
      <c r="L25" s="76"/>
    </row>
    <row r="26" spans="1:23" x14ac:dyDescent="0.25">
      <c r="A26" s="34" t="s">
        <v>606</v>
      </c>
      <c r="B26" s="629">
        <f>Nsec1sec2</f>
        <v>0.49685534591194969</v>
      </c>
      <c r="D26" s="76" t="s">
        <v>595</v>
      </c>
      <c r="F26" s="7"/>
      <c r="G26" s="7"/>
      <c r="H26" s="7"/>
      <c r="I26" s="25"/>
      <c r="L26" s="76"/>
      <c r="R26" s="161" t="s">
        <v>400</v>
      </c>
      <c r="V26" s="161" t="s">
        <v>400</v>
      </c>
    </row>
    <row r="27" spans="1:23" x14ac:dyDescent="0.25">
      <c r="H27" s="7"/>
      <c r="I27" s="25"/>
      <c r="K27" s="161" t="s">
        <v>544</v>
      </c>
      <c r="R27" s="161" t="s">
        <v>588</v>
      </c>
      <c r="V27" s="161" t="s">
        <v>589</v>
      </c>
    </row>
    <row r="28" spans="1:23" x14ac:dyDescent="0.25">
      <c r="A28" s="76" t="s">
        <v>626</v>
      </c>
      <c r="B28" s="5">
        <f>Vout+VIN_max/Nps</f>
        <v>26.333333333333336</v>
      </c>
      <c r="C28" s="76" t="s">
        <v>0</v>
      </c>
      <c r="G28" s="7"/>
      <c r="H28" s="7"/>
      <c r="I28" s="25"/>
      <c r="K28" s="76" t="s">
        <v>541</v>
      </c>
      <c r="L28">
        <v>1</v>
      </c>
      <c r="R28" t="str">
        <f>"5 : 1"</f>
        <v>5 : 1</v>
      </c>
      <c r="S28">
        <v>1</v>
      </c>
      <c r="V28" t="str">
        <f>CHOOSE(MODE, "Functional", "5 : 1")</f>
        <v>5 : 1</v>
      </c>
      <c r="W28">
        <v>1</v>
      </c>
    </row>
    <row r="29" spans="1:23" x14ac:dyDescent="0.25">
      <c r="F29" s="7"/>
      <c r="G29" s="7"/>
      <c r="H29" s="7"/>
      <c r="I29" s="25"/>
      <c r="K29" s="76" t="s">
        <v>542</v>
      </c>
      <c r="L29">
        <v>2</v>
      </c>
      <c r="R29" t="str">
        <f>"4 : 1"</f>
        <v>4 : 1</v>
      </c>
      <c r="S29">
        <v>2</v>
      </c>
      <c r="V29" t="str">
        <f>CHOOSE(MODE, "Basic", "4 : 1")</f>
        <v>4 : 1</v>
      </c>
      <c r="W29">
        <v>2</v>
      </c>
    </row>
    <row r="30" spans="1:23" x14ac:dyDescent="0.25">
      <c r="A30" s="110" t="s">
        <v>447</v>
      </c>
      <c r="B30" s="374">
        <f>1%*Vout*1000</f>
        <v>150</v>
      </c>
      <c r="C30" s="60" t="s">
        <v>149</v>
      </c>
      <c r="D30" s="111" t="s">
        <v>465</v>
      </c>
      <c r="F30" s="7"/>
      <c r="G30" s="7"/>
      <c r="H30" s="7"/>
      <c r="I30" s="25"/>
      <c r="K30" s="76" t="s">
        <v>543</v>
      </c>
      <c r="L30">
        <v>3</v>
      </c>
      <c r="R30" t="str">
        <f>"3 : 1"</f>
        <v>3 : 1</v>
      </c>
      <c r="S30">
        <v>3</v>
      </c>
      <c r="V30" t="str">
        <f>CHOOSE(MODE, "Reinforced", "3 : 1")</f>
        <v>3 : 1</v>
      </c>
      <c r="W30">
        <v>3</v>
      </c>
    </row>
    <row r="31" spans="1:23" x14ac:dyDescent="0.25">
      <c r="A31" s="110" t="s">
        <v>563</v>
      </c>
      <c r="B31" s="374">
        <f>1%*Vout2*1000</f>
        <v>70</v>
      </c>
      <c r="C31" s="60" t="s">
        <v>149</v>
      </c>
      <c r="D31" s="111" t="s">
        <v>562</v>
      </c>
      <c r="F31" s="7"/>
      <c r="G31" s="7"/>
      <c r="H31" s="7"/>
      <c r="I31" s="25"/>
      <c r="Q31" s="531"/>
      <c r="R31" t="str">
        <f>"2 : 1"</f>
        <v>2 : 1</v>
      </c>
      <c r="S31">
        <v>4</v>
      </c>
      <c r="V31" t="str">
        <f>CHOOSE(MODE, "", "2 : 1")</f>
        <v>2 : 1</v>
      </c>
      <c r="W31">
        <v>4</v>
      </c>
    </row>
    <row r="32" spans="1:23" x14ac:dyDescent="0.25">
      <c r="F32" s="7"/>
      <c r="G32" s="7"/>
      <c r="H32" s="7"/>
      <c r="I32" s="25"/>
      <c r="R32" t="str">
        <f>"1.5 : 1"</f>
        <v>1.5 : 1</v>
      </c>
      <c r="S32">
        <v>5</v>
      </c>
      <c r="V32" t="str">
        <f>CHOOSE(MODE, "", "1 : 1")</f>
        <v>1 : 1</v>
      </c>
      <c r="W32">
        <v>5</v>
      </c>
    </row>
    <row r="33" spans="1:23" x14ac:dyDescent="0.25">
      <c r="A33" s="110" t="s">
        <v>47</v>
      </c>
      <c r="B33" s="631">
        <v>0.95</v>
      </c>
      <c r="C33" s="60"/>
      <c r="D33" s="77" t="s">
        <v>176</v>
      </c>
      <c r="F33" s="7"/>
      <c r="G33" s="7"/>
      <c r="H33" s="7"/>
      <c r="I33" s="25"/>
      <c r="R33" t="str">
        <f>"1 : 1"</f>
        <v>1 : 1</v>
      </c>
      <c r="S33">
        <v>6</v>
      </c>
      <c r="V33" t="str">
        <f>CHOOSE(MODE, "", "1 : 2")</f>
        <v>1 : 2</v>
      </c>
      <c r="W33">
        <v>6</v>
      </c>
    </row>
    <row r="34" spans="1:23" x14ac:dyDescent="0.25">
      <c r="A34" s="110" t="s">
        <v>157</v>
      </c>
      <c r="B34" s="424">
        <f>Pout/Efficiency</f>
        <v>15.789473684210527</v>
      </c>
      <c r="C34" s="60" t="s">
        <v>45</v>
      </c>
      <c r="D34" s="111" t="s">
        <v>466</v>
      </c>
      <c r="F34" s="7"/>
      <c r="G34" s="7"/>
      <c r="H34" s="7"/>
      <c r="I34" s="25"/>
      <c r="R34" t="str">
        <f>"1 : 1.5"</f>
        <v>1 : 1.5</v>
      </c>
      <c r="S34">
        <v>7</v>
      </c>
      <c r="V34" t="str">
        <f>CHOOSE(MODE, "", "1 : 3")</f>
        <v>1 : 3</v>
      </c>
      <c r="W34">
        <v>7</v>
      </c>
    </row>
    <row r="35" spans="1:23" x14ac:dyDescent="0.25">
      <c r="A35" s="110" t="s">
        <v>154</v>
      </c>
      <c r="B35" s="166">
        <f>Pin/VIN_min</f>
        <v>1.3157894736842106</v>
      </c>
      <c r="C35" s="60" t="s">
        <v>1</v>
      </c>
      <c r="D35" s="77"/>
      <c r="F35" s="7"/>
      <c r="G35" s="7"/>
      <c r="H35" s="7"/>
      <c r="I35" s="25"/>
      <c r="R35" t="str">
        <f>"1 : 2"</f>
        <v>1 : 2</v>
      </c>
      <c r="S35">
        <v>8</v>
      </c>
      <c r="V35" t="str">
        <f>CHOOSE(MODE, "", "1 : 4")</f>
        <v>1 : 4</v>
      </c>
      <c r="W35">
        <v>8</v>
      </c>
    </row>
    <row r="36" spans="1:23" x14ac:dyDescent="0.25">
      <c r="A36" s="110" t="s">
        <v>155</v>
      </c>
      <c r="B36" s="166">
        <f>Pin/VIN_nom</f>
        <v>1.0526315789473686</v>
      </c>
      <c r="C36" s="60" t="s">
        <v>1</v>
      </c>
      <c r="D36" s="111" t="s">
        <v>160</v>
      </c>
      <c r="F36" s="7"/>
      <c r="G36" s="7"/>
      <c r="H36" s="7"/>
      <c r="I36" s="25">
        <v>1</v>
      </c>
      <c r="K36" s="76"/>
      <c r="R36" t="str">
        <f>"1 : 3"</f>
        <v>1 : 3</v>
      </c>
      <c r="S36">
        <v>9</v>
      </c>
      <c r="V36" t="str">
        <f>CHOOSE(MODE, "", "1 : 5")</f>
        <v>1 : 5</v>
      </c>
      <c r="W36">
        <v>9</v>
      </c>
    </row>
    <row r="37" spans="1:23" x14ac:dyDescent="0.25">
      <c r="A37" s="110" t="s">
        <v>156</v>
      </c>
      <c r="B37" s="166">
        <f>Pin/VIN_max</f>
        <v>0.92879256965944279</v>
      </c>
      <c r="C37" s="60" t="s">
        <v>1</v>
      </c>
      <c r="D37" s="77"/>
      <c r="F37" s="7"/>
      <c r="G37" s="7"/>
      <c r="H37" s="7"/>
      <c r="I37" s="25"/>
      <c r="R37" t="str">
        <f>"1 : 4"</f>
        <v>1 : 4</v>
      </c>
      <c r="S37">
        <v>10</v>
      </c>
    </row>
    <row r="38" spans="1:23" x14ac:dyDescent="0.25">
      <c r="A38" s="110" t="s">
        <v>623</v>
      </c>
      <c r="B38" s="532">
        <f>CHOOSE(MODE, 'Calculations - Single'!N110, 'Calculations - Dual'!O110+'Calculations - Dual'!P110)</f>
        <v>15.547405857740586</v>
      </c>
      <c r="C38" s="111" t="s">
        <v>45</v>
      </c>
      <c r="D38" s="401" t="b">
        <f>B38&lt;Pout_total</f>
        <v>1</v>
      </c>
      <c r="F38" s="7"/>
      <c r="G38" s="7"/>
      <c r="H38" s="7"/>
      <c r="I38" s="25"/>
      <c r="Q38" s="577" t="s">
        <v>399</v>
      </c>
      <c r="R38" s="467" t="str">
        <f>CHOOSE(Turns_Ratio, "5 : 1", "4 : 1", "3 : 1", "2 : 1", "1.5 : 1", "1 : 1", "1 : 1.5", "1 : 2", "1 : 3", "1 : 4")</f>
        <v>1.5 : 1</v>
      </c>
      <c r="S38" s="3">
        <v>5</v>
      </c>
      <c r="U38" s="577" t="s">
        <v>587</v>
      </c>
      <c r="V38" s="453" t="str">
        <f>CHOOSE(Turns_Ratio2, "5 : 1", "4 : 1", "3 : 1", "2 : 1", "1 : 1", "1 : 2", "1 : 3", "1 : 4", "1 : 5")</f>
        <v>1 : 5</v>
      </c>
      <c r="W38" s="3">
        <v>9</v>
      </c>
    </row>
    <row r="39" spans="1:23" x14ac:dyDescent="0.25">
      <c r="A39" s="110" t="s">
        <v>623</v>
      </c>
      <c r="B39" s="532">
        <f>CHOOSE(MODE, 'Calculations - Single'!N111, 'Calculations - Dual'!O111+'Calculations - Dual'!P111)/Vout</f>
        <v>1.0364937238493723</v>
      </c>
      <c r="C39" s="111" t="s">
        <v>1</v>
      </c>
      <c r="F39" s="7"/>
      <c r="G39" s="7"/>
      <c r="H39" s="7"/>
      <c r="I39" s="25"/>
    </row>
    <row r="40" spans="1:23" x14ac:dyDescent="0.25">
      <c r="A40" s="110" t="s">
        <v>439</v>
      </c>
      <c r="B40" s="133">
        <v>350000</v>
      </c>
      <c r="C40" s="111" t="s">
        <v>8</v>
      </c>
      <c r="D40" s="77" t="s">
        <v>582</v>
      </c>
      <c r="F40" s="7"/>
      <c r="G40" s="7"/>
      <c r="H40" s="7"/>
      <c r="I40" s="25"/>
      <c r="Q40" s="76" t="s">
        <v>458</v>
      </c>
      <c r="R40" s="467" t="str">
        <f>CHOOSE(Turns_Ratio, "5", "4 ", "3", "2", "1.5", "1", "0.66", "0.5", "0.33", "0.25")</f>
        <v>1.5</v>
      </c>
    </row>
    <row r="41" spans="1:23" x14ac:dyDescent="0.25">
      <c r="A41" s="26" t="s">
        <v>18</v>
      </c>
      <c r="B41" s="27">
        <v>1.21</v>
      </c>
      <c r="C41" s="7" t="s">
        <v>0</v>
      </c>
      <c r="D41" s="77" t="s">
        <v>583</v>
      </c>
      <c r="F41" s="7"/>
      <c r="G41" s="7"/>
      <c r="H41" s="7"/>
      <c r="I41" s="25"/>
      <c r="Q41" s="76" t="s">
        <v>506</v>
      </c>
      <c r="R41" s="467" t="str">
        <f>CHOOSE(Turns_Ratio, "5", "4 ", "3", "2", "1.5", "1", "0.66", "0.5", "0.33", "0.25")</f>
        <v>1.5</v>
      </c>
      <c r="V41" s="76" t="s">
        <v>591</v>
      </c>
      <c r="W41" s="161" t="str">
        <f>CHOOSE(Turns_Ratio, "1", "1", "1", "1", "1", "1", "1.5", "2", "3", "4")</f>
        <v>1</v>
      </c>
    </row>
    <row r="42" spans="1:23" x14ac:dyDescent="0.25">
      <c r="A42" s="110" t="s">
        <v>397</v>
      </c>
      <c r="B42" s="167">
        <f>'Design PSR Flyback Converter'!E27*1000</f>
        <v>240000</v>
      </c>
      <c r="C42" s="113" t="s">
        <v>45</v>
      </c>
      <c r="D42" s="111" t="s">
        <v>584</v>
      </c>
      <c r="F42" s="7"/>
      <c r="G42" s="7"/>
      <c r="H42" s="7"/>
      <c r="I42" s="25"/>
      <c r="K42" s="76" t="s">
        <v>401</v>
      </c>
      <c r="Q42" s="76" t="s">
        <v>590</v>
      </c>
      <c r="R42" s="643">
        <f>ABS((Vout2+Vfwd1)/(Vout+Vfwd1))</f>
        <v>0.49685534591194969</v>
      </c>
      <c r="V42" s="76" t="s">
        <v>590</v>
      </c>
      <c r="W42" s="628">
        <f>Nsec1sec2</f>
        <v>0.49685534591194969</v>
      </c>
    </row>
    <row r="43" spans="1:23" ht="15.6" x14ac:dyDescent="0.35">
      <c r="A43" s="110" t="s">
        <v>398</v>
      </c>
      <c r="B43" s="532">
        <v>0.1</v>
      </c>
      <c r="C43" s="77" t="s">
        <v>45</v>
      </c>
      <c r="D43" s="111" t="s">
        <v>585</v>
      </c>
      <c r="F43" s="612" t="s">
        <v>586</v>
      </c>
      <c r="G43" s="7"/>
      <c r="H43" s="7"/>
      <c r="I43" s="25"/>
      <c r="Q43" s="483" t="s">
        <v>507</v>
      </c>
      <c r="R43" s="626">
        <f>Nps/Nsec1sec2</f>
        <v>3.018987341772152</v>
      </c>
      <c r="V43" s="3"/>
      <c r="W43" s="627">
        <f>W41*W42</f>
        <v>0.49685534591194969</v>
      </c>
    </row>
    <row r="44" spans="1:23" ht="13.8" thickBot="1" x14ac:dyDescent="0.3">
      <c r="A44" s="28"/>
      <c r="B44" s="29"/>
      <c r="C44" s="80"/>
      <c r="D44" s="29"/>
      <c r="E44" s="29"/>
      <c r="F44" s="29"/>
      <c r="G44" s="29"/>
      <c r="H44" s="29"/>
      <c r="I44" s="30"/>
      <c r="K44" s="449" t="str">
        <f>"SCH_"&amp;B51&amp;"_"&amp;F56&amp;"_"&amp;I56&amp;"_"&amp;F50</f>
        <v>SCH_DUAL_UVLOadj_SSadj_TCyes</v>
      </c>
      <c r="R44" s="371">
        <f>ROUND(Nsec1sec2,1)</f>
        <v>0.5</v>
      </c>
      <c r="V44" s="161" t="s">
        <v>592</v>
      </c>
      <c r="W44" s="618" t="str">
        <f>CHOOSE(MODE, R38, R38&amp;" : "&amp;ROUND(W43,2))</f>
        <v>1.5 : 1 : 0.5</v>
      </c>
    </row>
    <row r="45" spans="1:23" x14ac:dyDescent="0.25">
      <c r="A45" s="7"/>
      <c r="B45" s="7"/>
      <c r="C45" s="39"/>
      <c r="D45" s="7"/>
      <c r="E45" s="7"/>
      <c r="F45" s="7"/>
      <c r="G45" s="7"/>
      <c r="H45" s="7"/>
      <c r="I45" s="7"/>
    </row>
    <row r="46" spans="1:23" ht="16.2" thickBot="1" x14ac:dyDescent="0.35">
      <c r="A46" s="50" t="s">
        <v>573</v>
      </c>
      <c r="B46" s="7"/>
      <c r="C46" s="39"/>
      <c r="D46" s="7"/>
      <c r="E46" s="7"/>
      <c r="F46" s="7"/>
      <c r="G46" s="7"/>
      <c r="H46" s="7"/>
      <c r="I46" s="7"/>
    </row>
    <row r="47" spans="1:23" ht="15.6" x14ac:dyDescent="0.3">
      <c r="A47" s="384"/>
      <c r="B47" s="385"/>
      <c r="C47" s="386"/>
      <c r="D47" s="385"/>
      <c r="E47" s="385"/>
      <c r="F47" s="385"/>
      <c r="G47" s="385"/>
      <c r="H47" s="385"/>
      <c r="I47" s="441"/>
      <c r="J47" s="441"/>
      <c r="K47" s="441"/>
      <c r="L47" s="441"/>
      <c r="M47" s="441"/>
      <c r="N47" s="441"/>
      <c r="O47" s="24"/>
    </row>
    <row r="48" spans="1:23" x14ac:dyDescent="0.25">
      <c r="A48" s="381" t="s">
        <v>367</v>
      </c>
      <c r="B48" s="77" t="s">
        <v>368</v>
      </c>
      <c r="C48" s="442">
        <v>1</v>
      </c>
      <c r="D48" s="7"/>
      <c r="E48" s="381" t="s">
        <v>385</v>
      </c>
      <c r="F48" s="77" t="s">
        <v>370</v>
      </c>
      <c r="G48" s="164" t="b">
        <v>1</v>
      </c>
      <c r="I48" s="158" t="s">
        <v>303</v>
      </c>
      <c r="J48" s="164">
        <v>1</v>
      </c>
      <c r="K48" t="str">
        <f>B51&amp;", "&amp;F50&amp;", "&amp;I50&amp;", "&amp;F56&amp;", "&amp;I56</f>
        <v>DUAL, TCyes, IlimRes, UVLOadj, SSadj</v>
      </c>
      <c r="O48" s="24"/>
      <c r="Q48" s="399" t="s">
        <v>337</v>
      </c>
      <c r="R48" s="3" t="s">
        <v>332</v>
      </c>
      <c r="S48" s="371">
        <v>1</v>
      </c>
    </row>
    <row r="49" spans="1:26" x14ac:dyDescent="0.25">
      <c r="A49" s="380"/>
      <c r="B49" s="77" t="s">
        <v>369</v>
      </c>
      <c r="C49" s="442">
        <v>2</v>
      </c>
      <c r="D49" s="7"/>
      <c r="E49" s="37"/>
      <c r="F49" s="77" t="s">
        <v>371</v>
      </c>
      <c r="G49" s="164" t="b">
        <v>0</v>
      </c>
      <c r="I49" s="158" t="s">
        <v>304</v>
      </c>
      <c r="J49" s="164">
        <v>2</v>
      </c>
      <c r="K49" t="str">
        <f>C51&amp;", "&amp;G50&amp;", "&amp;J50&amp;", "&amp;G56&amp;", "&amp;J56</f>
        <v>2, 1, 2, 1, 1</v>
      </c>
      <c r="O49" s="24"/>
      <c r="Q49" s="399" t="s">
        <v>339</v>
      </c>
      <c r="R49" s="3" t="s">
        <v>333</v>
      </c>
      <c r="S49" s="371">
        <v>2</v>
      </c>
    </row>
    <row r="50" spans="1:26" x14ac:dyDescent="0.25">
      <c r="B50" s="76" t="s">
        <v>519</v>
      </c>
      <c r="C50" s="592">
        <v>3</v>
      </c>
      <c r="D50" s="7"/>
      <c r="E50" s="448" t="s">
        <v>386</v>
      </c>
      <c r="F50" s="383" t="str">
        <f>CHOOSE(G50, "TCyes", "TCno")</f>
        <v>TCyes</v>
      </c>
      <c r="G50" s="378">
        <v>1</v>
      </c>
      <c r="H50" s="448" t="s">
        <v>302</v>
      </c>
      <c r="I50" s="444" t="str">
        <f>CHOOSE(J50, "IlimGND", "IlimRes")</f>
        <v>IlimRes</v>
      </c>
      <c r="J50" s="378">
        <f>IF(C56=4, 1, 2)</f>
        <v>2</v>
      </c>
      <c r="K50" t="str">
        <f>C51&amp;G50&amp;J50&amp;G56&amp;J56</f>
        <v>21211</v>
      </c>
      <c r="O50" s="24"/>
      <c r="Q50" s="399" t="s">
        <v>340</v>
      </c>
      <c r="R50" s="3" t="s">
        <v>334</v>
      </c>
      <c r="S50" s="371">
        <v>3</v>
      </c>
    </row>
    <row r="51" spans="1:26" x14ac:dyDescent="0.25">
      <c r="A51" s="445" t="s">
        <v>287</v>
      </c>
      <c r="B51" s="443" t="str">
        <f>CHOOSE(C51,"SINGLE", IF(Vout2_actual&gt;0, "DUAL", "BIPOLAR"))</f>
        <v>DUAL</v>
      </c>
      <c r="C51" s="382">
        <v>2</v>
      </c>
      <c r="D51" s="7"/>
      <c r="E51" s="7"/>
      <c r="G51" s="78">
        <f>TC</f>
        <v>1</v>
      </c>
      <c r="I51" s="378"/>
      <c r="J51" s="7"/>
      <c r="O51" s="24"/>
      <c r="Q51" s="399" t="s">
        <v>338</v>
      </c>
      <c r="R51" s="3" t="s">
        <v>335</v>
      </c>
      <c r="S51" s="371">
        <v>4</v>
      </c>
    </row>
    <row r="52" spans="1:26" x14ac:dyDescent="0.25">
      <c r="A52" s="380"/>
      <c r="B52" s="3" t="b">
        <f>CHOOSE(C51, TRUE, FALSE)</f>
        <v>0</v>
      </c>
      <c r="C52" s="78" t="str">
        <f>CHOOSE(C51,"1", IF(Vout2&gt;0, "2", "3"))</f>
        <v>2</v>
      </c>
      <c r="O52" s="24"/>
      <c r="Q52" s="399" t="s">
        <v>342</v>
      </c>
      <c r="R52" s="3" t="s">
        <v>341</v>
      </c>
      <c r="S52" s="371">
        <v>5</v>
      </c>
    </row>
    <row r="53" spans="1:26" x14ac:dyDescent="0.25">
      <c r="O53" s="24"/>
      <c r="Q53" s="447" t="s">
        <v>336</v>
      </c>
      <c r="R53" s="453" t="str">
        <f>CHOOSE(S53,"6.3V","10V","16V","25V","50V")</f>
        <v>25V</v>
      </c>
      <c r="S53" s="467">
        <f>IF(Vout&lt;=5, 1, IF(Vout&lt;=8, 2, IF(Vout&lt;=12, 3, IF(Vout&lt;=20, 4, 5))))</f>
        <v>4</v>
      </c>
    </row>
    <row r="54" spans="1:26" x14ac:dyDescent="0.25">
      <c r="A54" s="387" t="s">
        <v>189</v>
      </c>
      <c r="B54" s="111" t="s">
        <v>370</v>
      </c>
      <c r="C54" s="442">
        <v>1</v>
      </c>
      <c r="D54" s="7"/>
      <c r="E54" s="161" t="s">
        <v>322</v>
      </c>
      <c r="F54" s="483" t="s">
        <v>550</v>
      </c>
      <c r="G54" s="164">
        <v>1</v>
      </c>
      <c r="H54" s="381" t="s">
        <v>298</v>
      </c>
      <c r="I54" s="77" t="s">
        <v>550</v>
      </c>
      <c r="J54" s="164">
        <v>1</v>
      </c>
      <c r="L54" s="158" t="s">
        <v>320</v>
      </c>
      <c r="M54" s="164">
        <v>1</v>
      </c>
      <c r="O54" s="24"/>
    </row>
    <row r="55" spans="1:26" x14ac:dyDescent="0.25">
      <c r="A55" s="388"/>
      <c r="B55" s="111" t="s">
        <v>371</v>
      </c>
      <c r="C55" s="442">
        <v>2</v>
      </c>
      <c r="D55" s="7"/>
      <c r="F55" s="483" t="s">
        <v>551</v>
      </c>
      <c r="G55" s="164">
        <v>2</v>
      </c>
      <c r="H55" s="37"/>
      <c r="I55" s="77" t="s">
        <v>670</v>
      </c>
      <c r="J55" s="164">
        <v>2</v>
      </c>
      <c r="L55" s="158" t="s">
        <v>321</v>
      </c>
      <c r="M55" s="164">
        <v>2</v>
      </c>
      <c r="O55" s="24"/>
      <c r="R55" s="3" t="s">
        <v>651</v>
      </c>
      <c r="S55" s="3"/>
      <c r="T55" s="3" t="s">
        <v>116</v>
      </c>
      <c r="U55" s="3" t="s">
        <v>652</v>
      </c>
    </row>
    <row r="56" spans="1:26" x14ac:dyDescent="0.25">
      <c r="A56" s="446" t="s">
        <v>288</v>
      </c>
      <c r="B56" s="443" t="str">
        <f>CHOOSE(C56, "YES", "NO")</f>
        <v>YES</v>
      </c>
      <c r="C56" s="382">
        <v>1</v>
      </c>
      <c r="D56" s="7"/>
      <c r="E56" s="447" t="s">
        <v>308</v>
      </c>
      <c r="F56" s="444" t="str">
        <f>CHOOSE(G56, "UVLOadj", "UVLOint")</f>
        <v>UVLOadj</v>
      </c>
      <c r="G56" s="378">
        <v>1</v>
      </c>
      <c r="H56" s="448" t="s">
        <v>289</v>
      </c>
      <c r="I56" s="383" t="str">
        <f>CHOOSE(J56, "SSadj", "SSint")</f>
        <v>SSadj</v>
      </c>
      <c r="J56" s="378">
        <v>1</v>
      </c>
      <c r="L56" s="379" t="s">
        <v>300</v>
      </c>
      <c r="M56" s="378">
        <v>1</v>
      </c>
      <c r="O56" s="24"/>
      <c r="R56" s="466" t="s">
        <v>345</v>
      </c>
      <c r="S56" s="371">
        <v>1</v>
      </c>
      <c r="T56" s="76" t="s">
        <v>351</v>
      </c>
      <c r="U56" s="469">
        <v>0.5</v>
      </c>
    </row>
    <row r="57" spans="1:26" ht="13.8" thickBot="1" x14ac:dyDescent="0.3">
      <c r="A57" s="28"/>
      <c r="B57" s="29"/>
      <c r="C57" s="163"/>
      <c r="D57" s="29"/>
      <c r="E57" s="29"/>
      <c r="F57" s="29"/>
      <c r="G57" s="29"/>
      <c r="H57" s="29"/>
      <c r="I57" s="29"/>
      <c r="J57" s="29"/>
      <c r="K57" s="29"/>
      <c r="L57" s="29"/>
      <c r="M57" s="29"/>
      <c r="N57" s="29"/>
      <c r="O57" s="24"/>
      <c r="R57" s="466" t="s">
        <v>119</v>
      </c>
      <c r="S57" s="371">
        <v>2</v>
      </c>
      <c r="T57" s="76" t="s">
        <v>355</v>
      </c>
      <c r="U57" s="469">
        <v>1.3</v>
      </c>
    </row>
    <row r="58" spans="1:26" x14ac:dyDescent="0.25">
      <c r="A58" s="7"/>
      <c r="B58" s="7" t="b">
        <f>(CONFIG="2")</f>
        <v>1</v>
      </c>
      <c r="C58" s="39" t="str">
        <f>CONFIG</f>
        <v>2</v>
      </c>
      <c r="D58" s="7"/>
      <c r="E58" s="7"/>
      <c r="F58" s="7"/>
      <c r="G58" s="7"/>
      <c r="H58" s="7"/>
      <c r="I58" s="7"/>
      <c r="R58" s="466" t="s">
        <v>346</v>
      </c>
      <c r="S58" s="371">
        <v>3</v>
      </c>
      <c r="T58" s="76" t="s">
        <v>356</v>
      </c>
      <c r="U58" s="469">
        <v>2.5</v>
      </c>
    </row>
    <row r="59" spans="1:26" ht="16.2" thickBot="1" x14ac:dyDescent="0.35">
      <c r="A59" s="50" t="s">
        <v>574</v>
      </c>
      <c r="B59" s="39"/>
      <c r="C59" s="39"/>
      <c r="E59" s="7"/>
      <c r="F59" s="7"/>
      <c r="G59" s="7"/>
      <c r="H59" s="7"/>
      <c r="I59" s="7"/>
      <c r="R59" s="466" t="s">
        <v>347</v>
      </c>
      <c r="S59" s="371">
        <v>4</v>
      </c>
      <c r="T59" s="76" t="s">
        <v>354</v>
      </c>
      <c r="U59" s="469">
        <v>5.0999999999999996</v>
      </c>
    </row>
    <row r="60" spans="1:26" x14ac:dyDescent="0.25">
      <c r="A60" s="109"/>
      <c r="B60" s="609"/>
      <c r="C60" s="610"/>
      <c r="D60" s="156"/>
      <c r="E60" s="79"/>
      <c r="F60" s="31"/>
      <c r="G60" s="31"/>
      <c r="H60" s="31"/>
      <c r="I60" s="32">
        <v>1</v>
      </c>
      <c r="R60" s="466" t="s">
        <v>348</v>
      </c>
      <c r="S60" s="371">
        <v>5</v>
      </c>
      <c r="T60" s="76" t="s">
        <v>357</v>
      </c>
      <c r="U60" s="469">
        <v>8</v>
      </c>
    </row>
    <row r="61" spans="1:26" x14ac:dyDescent="0.25">
      <c r="A61" s="110" t="s">
        <v>150</v>
      </c>
      <c r="B61" s="165">
        <f>Nps*(Vout+Vfwd2)/(VIN_min+Nps*(Vout+Vfwd2))</f>
        <v>0.66527196652719667</v>
      </c>
      <c r="C61" s="7"/>
      <c r="D61" t="b">
        <f>B61&gt;0.75</f>
        <v>0</v>
      </c>
      <c r="E61" s="77"/>
      <c r="F61" s="7"/>
      <c r="G61" s="7"/>
      <c r="H61" s="7"/>
      <c r="I61" s="25">
        <v>1</v>
      </c>
      <c r="Q61" s="447" t="s">
        <v>349</v>
      </c>
      <c r="R61" s="453" t="str">
        <f>CHOOSE(S61,"0402","0603","0805","1206","1210")</f>
        <v>1210</v>
      </c>
      <c r="S61" s="467">
        <v>5</v>
      </c>
      <c r="T61" s="453" t="str">
        <f>CHOOSE(S61,T56,T57, T58,T59,T60)</f>
        <v>3.2 x 2.5</v>
      </c>
    </row>
    <row r="62" spans="1:26" x14ac:dyDescent="0.25">
      <c r="A62" s="110" t="s">
        <v>158</v>
      </c>
      <c r="B62" s="165">
        <f>Nps*(Vout+Vfwd1)/(VIN_nom+Nps*(Vout+Vfwd1))</f>
        <v>0.61389961389961389</v>
      </c>
      <c r="C62" s="7"/>
      <c r="F62" s="7"/>
      <c r="G62" s="7"/>
      <c r="H62" s="7"/>
      <c r="I62" s="25"/>
    </row>
    <row r="63" spans="1:26" x14ac:dyDescent="0.25">
      <c r="A63" s="110" t="s">
        <v>151</v>
      </c>
      <c r="B63" s="165">
        <f>Nps*(Vout+Vfwd1)/(VIN_max+Nps*(Vout+Vfwd1))</f>
        <v>0.58384332925336602</v>
      </c>
      <c r="C63" s="7"/>
      <c r="E63" s="77"/>
      <c r="F63" s="7"/>
      <c r="G63" s="7"/>
      <c r="H63" s="7"/>
      <c r="I63" s="25"/>
    </row>
    <row r="64" spans="1:26" x14ac:dyDescent="0.25">
      <c r="A64" s="76"/>
      <c r="B64" s="7"/>
      <c r="C64" s="7"/>
      <c r="D64" s="7"/>
      <c r="E64" s="77"/>
      <c r="F64" s="7"/>
      <c r="G64" s="7"/>
      <c r="H64" s="7"/>
      <c r="I64" s="25"/>
      <c r="R64" s="3" t="s">
        <v>651</v>
      </c>
      <c r="S64" s="3"/>
      <c r="T64" s="3" t="s">
        <v>116</v>
      </c>
      <c r="U64" s="3" t="s">
        <v>652</v>
      </c>
      <c r="W64" s="3" t="s">
        <v>651</v>
      </c>
      <c r="X64" s="3"/>
      <c r="Y64" s="3" t="s">
        <v>116</v>
      </c>
      <c r="Z64" s="3" t="s">
        <v>652</v>
      </c>
    </row>
    <row r="65" spans="1:26" x14ac:dyDescent="0.25">
      <c r="A65" s="110" t="s">
        <v>152</v>
      </c>
      <c r="B65" s="41">
        <f>'Design PSR Flyback Converter'!L7/1000000</f>
        <v>6.9999999999999999E-6</v>
      </c>
      <c r="C65" s="7" t="s">
        <v>11</v>
      </c>
      <c r="D65" s="77" t="s">
        <v>463</v>
      </c>
      <c r="F65" s="7"/>
      <c r="G65" s="7"/>
      <c r="H65" s="7"/>
      <c r="I65" s="25"/>
      <c r="R65" s="76" t="s">
        <v>352</v>
      </c>
      <c r="S65" s="371">
        <v>1</v>
      </c>
      <c r="T65" s="483" t="s">
        <v>637</v>
      </c>
      <c r="U65" s="469">
        <v>36</v>
      </c>
      <c r="W65" s="76" t="s">
        <v>657</v>
      </c>
      <c r="X65" s="371">
        <v>1</v>
      </c>
      <c r="Y65" s="76" t="s">
        <v>355</v>
      </c>
      <c r="Z65">
        <v>1.3</v>
      </c>
    </row>
    <row r="66" spans="1:26" x14ac:dyDescent="0.25">
      <c r="A66" s="110" t="s">
        <v>683</v>
      </c>
      <c r="B66" s="133">
        <f>'Design PSR Flyback Converter'!L11</f>
        <v>0</v>
      </c>
      <c r="C66" s="7" t="s">
        <v>684</v>
      </c>
      <c r="D66" s="77"/>
      <c r="F66" s="7"/>
      <c r="G66" s="7"/>
      <c r="H66" s="7"/>
      <c r="I66" s="25"/>
      <c r="R66" s="76" t="s">
        <v>353</v>
      </c>
      <c r="S66" s="371">
        <v>2</v>
      </c>
      <c r="T66" s="483" t="s">
        <v>636</v>
      </c>
      <c r="U66" s="469">
        <v>49</v>
      </c>
      <c r="W66" s="76" t="s">
        <v>648</v>
      </c>
      <c r="X66" s="371">
        <v>2</v>
      </c>
      <c r="Y66" s="76" t="s">
        <v>656</v>
      </c>
      <c r="Z66">
        <v>3.2</v>
      </c>
    </row>
    <row r="67" spans="1:26" x14ac:dyDescent="0.25">
      <c r="A67" s="110" t="s">
        <v>396</v>
      </c>
      <c r="B67" s="10">
        <f>'Design PSR Flyback Converter'!L8/1000</f>
        <v>0</v>
      </c>
      <c r="C67" s="113" t="s">
        <v>45</v>
      </c>
      <c r="D67" s="77" t="s">
        <v>461</v>
      </c>
      <c r="F67" s="7"/>
      <c r="G67" s="7"/>
      <c r="H67" s="7"/>
      <c r="I67" s="25"/>
      <c r="R67" s="76" t="s">
        <v>627</v>
      </c>
      <c r="S67" s="371">
        <v>3</v>
      </c>
      <c r="T67" s="483" t="s">
        <v>635</v>
      </c>
      <c r="U67" s="469">
        <v>64</v>
      </c>
      <c r="W67" s="76" t="s">
        <v>649</v>
      </c>
      <c r="X67" s="371">
        <v>3</v>
      </c>
      <c r="Y67" s="76" t="s">
        <v>655</v>
      </c>
      <c r="Z67">
        <v>6.5</v>
      </c>
    </row>
    <row r="68" spans="1:26" x14ac:dyDescent="0.25">
      <c r="A68" s="110" t="s">
        <v>459</v>
      </c>
      <c r="B68" s="10">
        <f>'Design PSR Flyback Converter'!L9/1000</f>
        <v>0</v>
      </c>
      <c r="C68" s="113" t="s">
        <v>45</v>
      </c>
      <c r="D68" s="77" t="s">
        <v>462</v>
      </c>
      <c r="F68" s="7"/>
      <c r="G68" s="7"/>
      <c r="H68" s="7"/>
      <c r="I68" s="25">
        <v>2</v>
      </c>
      <c r="R68" s="76" t="s">
        <v>628</v>
      </c>
      <c r="S68" s="371">
        <v>4</v>
      </c>
      <c r="T68" s="483" t="s">
        <v>634</v>
      </c>
      <c r="U68" s="469">
        <v>81</v>
      </c>
      <c r="W68" s="76" t="s">
        <v>650</v>
      </c>
      <c r="X68" s="371">
        <v>4</v>
      </c>
      <c r="Y68" s="76" t="s">
        <v>700</v>
      </c>
      <c r="Z68">
        <v>13.5</v>
      </c>
    </row>
    <row r="69" spans="1:26" x14ac:dyDescent="0.25">
      <c r="A69" s="110" t="s">
        <v>460</v>
      </c>
      <c r="B69" s="10">
        <f>'Design PSR Flyback Converter'!L10/1000</f>
        <v>0</v>
      </c>
      <c r="C69" s="113" t="s">
        <v>45</v>
      </c>
      <c r="D69" s="77" t="s">
        <v>556</v>
      </c>
      <c r="E69" s="77"/>
      <c r="F69" s="7"/>
      <c r="G69" s="7"/>
      <c r="H69" s="7"/>
      <c r="I69" s="25">
        <v>1</v>
      </c>
      <c r="R69" s="76" t="s">
        <v>629</v>
      </c>
      <c r="S69" s="371">
        <v>5</v>
      </c>
      <c r="T69" s="483" t="s">
        <v>633</v>
      </c>
      <c r="U69" s="469">
        <v>100</v>
      </c>
      <c r="W69" s="76" t="s">
        <v>697</v>
      </c>
      <c r="X69" s="371">
        <v>5</v>
      </c>
      <c r="Y69" s="76" t="s">
        <v>701</v>
      </c>
      <c r="Z69">
        <v>19.100000000000001</v>
      </c>
    </row>
    <row r="70" spans="1:26" x14ac:dyDescent="0.25">
      <c r="A70" s="110"/>
      <c r="B70" s="7"/>
      <c r="C70" s="7"/>
      <c r="D70" s="7"/>
      <c r="E70" s="7"/>
      <c r="F70" s="7"/>
      <c r="G70" s="7"/>
      <c r="H70" s="7"/>
      <c r="I70" s="25"/>
      <c r="R70" s="76" t="s">
        <v>630</v>
      </c>
      <c r="S70" s="371">
        <v>6</v>
      </c>
      <c r="T70" s="483" t="s">
        <v>632</v>
      </c>
      <c r="U70" s="469">
        <v>120</v>
      </c>
      <c r="W70" s="76" t="s">
        <v>698</v>
      </c>
      <c r="X70" s="371">
        <v>6</v>
      </c>
      <c r="Y70" s="76" t="s">
        <v>702</v>
      </c>
      <c r="Z70">
        <v>50.2</v>
      </c>
    </row>
    <row r="71" spans="1:26" x14ac:dyDescent="0.25">
      <c r="A71" s="77" t="s">
        <v>555</v>
      </c>
      <c r="B71" s="195">
        <v>100</v>
      </c>
      <c r="C71" s="111" t="s">
        <v>102</v>
      </c>
      <c r="D71" s="77"/>
      <c r="E71" s="7"/>
      <c r="F71" s="7"/>
      <c r="H71" s="7"/>
      <c r="I71" s="25"/>
      <c r="R71" s="76" t="s">
        <v>631</v>
      </c>
      <c r="S71" s="371">
        <v>7</v>
      </c>
      <c r="T71" s="483" t="s">
        <v>638</v>
      </c>
      <c r="U71" s="469">
        <v>143</v>
      </c>
      <c r="W71" s="76" t="s">
        <v>699</v>
      </c>
      <c r="X71" s="371">
        <v>7</v>
      </c>
      <c r="Y71" s="76" t="s">
        <v>703</v>
      </c>
      <c r="Z71" s="469">
        <v>28</v>
      </c>
    </row>
    <row r="72" spans="1:26" ht="15.6" x14ac:dyDescent="0.35">
      <c r="A72" s="110" t="s">
        <v>552</v>
      </c>
      <c r="B72" s="187">
        <f>Rdcr_pri*(1+0.0039*(B71-25))</f>
        <v>0</v>
      </c>
      <c r="C72" s="113" t="s">
        <v>45</v>
      </c>
      <c r="D72" s="7"/>
      <c r="H72" s="7"/>
      <c r="I72" s="25"/>
      <c r="K72" s="76" t="s">
        <v>324</v>
      </c>
      <c r="Q72" s="447" t="s">
        <v>464</v>
      </c>
      <c r="W72" s="447" t="s">
        <v>653</v>
      </c>
    </row>
    <row r="73" spans="1:26" x14ac:dyDescent="0.25">
      <c r="A73" s="110" t="s">
        <v>553</v>
      </c>
      <c r="B73" s="187">
        <f>Rdcr_sec*(1+0.0039*(B71-25))</f>
        <v>0</v>
      </c>
      <c r="C73" s="113" t="s">
        <v>45</v>
      </c>
      <c r="D73" s="7"/>
      <c r="H73" s="7"/>
      <c r="I73" s="25"/>
    </row>
    <row r="74" spans="1:26" x14ac:dyDescent="0.25">
      <c r="A74" s="110" t="s">
        <v>554</v>
      </c>
      <c r="B74" s="187">
        <f>Rdcr_sec2*(1+0.0039*(B71-25))</f>
        <v>0</v>
      </c>
      <c r="C74" s="113" t="s">
        <v>45</v>
      </c>
      <c r="D74" s="7"/>
      <c r="H74" s="7"/>
      <c r="I74" s="25"/>
    </row>
    <row r="75" spans="1:26" x14ac:dyDescent="0.25">
      <c r="I75" s="25"/>
    </row>
    <row r="76" spans="1:26" x14ac:dyDescent="0.25">
      <c r="A76" t="s">
        <v>682</v>
      </c>
      <c r="B76" s="645">
        <f>CHOOSE(VARIANT, (Vout+Vfwd1)*Nps*toff_min1/Isw_min*1000000, (Vout+Vfwd1)*Nps*toff_min2/Isw_min*1000000)</f>
        <v>12.36128048780488</v>
      </c>
      <c r="C76" s="3" t="s">
        <v>705</v>
      </c>
      <c r="D76" s="666" t="b">
        <f>Lf*1000000 &lt; Lmin</f>
        <v>1</v>
      </c>
      <c r="F76">
        <f>Lf*1000000</f>
        <v>7</v>
      </c>
      <c r="I76" s="25"/>
    </row>
    <row r="77" spans="1:26" ht="13.8" thickBot="1" x14ac:dyDescent="0.3">
      <c r="A77" s="169"/>
      <c r="B77" s="170"/>
      <c r="C77" s="29"/>
      <c r="D77" s="29"/>
      <c r="E77" s="29"/>
      <c r="F77" s="29"/>
      <c r="G77" s="29"/>
      <c r="H77" s="29"/>
      <c r="I77" s="30"/>
    </row>
    <row r="79" spans="1:26" ht="15.75" customHeight="1" x14ac:dyDescent="0.25"/>
    <row r="80" spans="1:26" ht="16.2" thickBot="1" x14ac:dyDescent="0.35">
      <c r="A80" s="50" t="s">
        <v>575</v>
      </c>
      <c r="B80" s="7"/>
      <c r="D80" s="39"/>
      <c r="E80" s="7"/>
      <c r="F80" s="7"/>
      <c r="G80" s="7"/>
      <c r="H80" s="7"/>
      <c r="I80" s="7"/>
    </row>
    <row r="81" spans="1:12" x14ac:dyDescent="0.25">
      <c r="A81" s="109" t="s">
        <v>165</v>
      </c>
      <c r="B81" s="423"/>
      <c r="C81" s="168" t="s">
        <v>1</v>
      </c>
      <c r="D81" s="79" t="s">
        <v>164</v>
      </c>
      <c r="E81" s="31"/>
      <c r="F81" s="31"/>
      <c r="G81" s="31"/>
      <c r="H81" s="31"/>
      <c r="I81" s="32"/>
      <c r="L81" s="5"/>
    </row>
    <row r="82" spans="1:12" x14ac:dyDescent="0.25">
      <c r="A82" s="110" t="s">
        <v>166</v>
      </c>
      <c r="B82" s="424"/>
      <c r="C82" s="111" t="s">
        <v>1</v>
      </c>
      <c r="D82" s="7"/>
      <c r="E82" s="77"/>
      <c r="F82" s="7"/>
      <c r="G82" s="7"/>
      <c r="H82" s="7"/>
      <c r="I82" s="25"/>
      <c r="L82" s="5"/>
    </row>
    <row r="83" spans="1:12" x14ac:dyDescent="0.25">
      <c r="A83" s="110" t="s">
        <v>167</v>
      </c>
      <c r="B83" s="424"/>
      <c r="C83" s="111" t="s">
        <v>1</v>
      </c>
      <c r="D83" s="7"/>
      <c r="E83" s="77"/>
      <c r="F83" s="7"/>
      <c r="G83" s="7"/>
      <c r="H83" s="7"/>
      <c r="I83" s="25"/>
      <c r="L83" s="5"/>
    </row>
    <row r="84" spans="1:12" x14ac:dyDescent="0.25">
      <c r="A84" s="110"/>
      <c r="B84" s="171"/>
      <c r="C84" s="111"/>
      <c r="D84" s="7"/>
      <c r="E84" s="77"/>
      <c r="F84" s="7"/>
      <c r="G84" s="7"/>
      <c r="H84" s="7"/>
      <c r="I84" s="25"/>
      <c r="L84" s="5"/>
    </row>
    <row r="85" spans="1:12" x14ac:dyDescent="0.25">
      <c r="A85" s="110" t="s">
        <v>175</v>
      </c>
      <c r="B85" s="563">
        <f>Vout_ripple</f>
        <v>150</v>
      </c>
      <c r="C85" s="111" t="s">
        <v>149</v>
      </c>
      <c r="D85" s="77" t="s">
        <v>611</v>
      </c>
      <c r="F85" s="7"/>
      <c r="G85" s="7"/>
      <c r="H85" s="7"/>
      <c r="I85" s="25"/>
      <c r="L85" s="5"/>
    </row>
    <row r="86" spans="1:12" x14ac:dyDescent="0.25">
      <c r="A86" s="507" t="s">
        <v>12</v>
      </c>
      <c r="B86" s="671">
        <f>MAX(10, CHOOSE(MODE, 'Calculations - Single'!BA110, 'Calculations - Dual'!AW110))</f>
        <v>17.111543209876547</v>
      </c>
      <c r="C86" s="205" t="s">
        <v>97</v>
      </c>
      <c r="D86" s="77"/>
      <c r="E86" s="77"/>
      <c r="F86" s="7"/>
      <c r="G86" s="7"/>
      <c r="H86" s="7"/>
      <c r="I86" s="25"/>
    </row>
    <row r="87" spans="1:12" x14ac:dyDescent="0.25">
      <c r="A87" s="110" t="s">
        <v>14</v>
      </c>
      <c r="B87" s="606">
        <f>'Design PSR Flyback Converter'!E21</f>
        <v>44</v>
      </c>
      <c r="C87" s="205" t="s">
        <v>97</v>
      </c>
      <c r="D87" s="77" t="s">
        <v>168</v>
      </c>
      <c r="F87" s="7"/>
      <c r="G87" s="7"/>
      <c r="H87" s="7"/>
      <c r="I87" s="25"/>
    </row>
    <row r="88" spans="1:12" x14ac:dyDescent="0.25">
      <c r="A88" s="204" t="s">
        <v>182</v>
      </c>
      <c r="B88" s="564">
        <f>(Vripple1_spec-Iout*B90/Cout*1000)/Iout</f>
        <v>83.840939903533197</v>
      </c>
      <c r="C88" s="113" t="s">
        <v>259</v>
      </c>
      <c r="D88" s="77" t="s">
        <v>107</v>
      </c>
      <c r="F88" s="7"/>
      <c r="G88" s="7"/>
      <c r="H88" s="7"/>
      <c r="I88" s="25"/>
    </row>
    <row r="89" spans="1:12" x14ac:dyDescent="0.25">
      <c r="A89" s="110" t="s">
        <v>54</v>
      </c>
      <c r="B89" s="197">
        <f>'Design PSR Flyback Converter'!E22</f>
        <v>3</v>
      </c>
      <c r="C89" s="113" t="s">
        <v>259</v>
      </c>
      <c r="D89" s="77" t="s">
        <v>108</v>
      </c>
      <c r="F89" s="7"/>
      <c r="G89" s="7"/>
      <c r="H89" s="7"/>
      <c r="I89" s="25"/>
    </row>
    <row r="90" spans="1:12" x14ac:dyDescent="0.25">
      <c r="A90" s="110" t="s">
        <v>449</v>
      </c>
      <c r="B90" s="196">
        <f>CHOOSE(MODE, 'Calculations - Single'!AT105, 'Calculations - Dual'!AR105)</f>
        <v>2.9109986442445392</v>
      </c>
      <c r="C90" s="205" t="s">
        <v>248</v>
      </c>
      <c r="D90" s="77"/>
      <c r="F90" s="7"/>
      <c r="G90" s="7"/>
      <c r="H90" s="7"/>
      <c r="I90" s="25"/>
    </row>
    <row r="91" spans="1:12" x14ac:dyDescent="0.25">
      <c r="A91" s="34" t="s">
        <v>448</v>
      </c>
      <c r="B91" s="673">
        <f>CHOOSE(MODE, 'Calculations - Single'!BB105, 'Calculations - Dual'!AZ105)</f>
        <v>2.1115303433847989</v>
      </c>
      <c r="C91" s="77" t="s">
        <v>454</v>
      </c>
      <c r="D91" s="77" t="s">
        <v>613</v>
      </c>
      <c r="F91" s="7"/>
      <c r="G91" s="7"/>
      <c r="H91" s="453" t="s">
        <v>578</v>
      </c>
      <c r="I91" s="25"/>
    </row>
    <row r="92" spans="1:12" x14ac:dyDescent="0.25">
      <c r="A92" s="34"/>
      <c r="B92" s="196"/>
      <c r="C92" s="77"/>
      <c r="D92" s="77"/>
      <c r="F92" s="7"/>
      <c r="G92" s="7"/>
      <c r="H92" s="7"/>
      <c r="I92" s="25"/>
    </row>
    <row r="93" spans="1:12" x14ac:dyDescent="0.25">
      <c r="A93" s="34"/>
      <c r="B93" s="196"/>
      <c r="C93" s="77"/>
      <c r="D93" s="77"/>
      <c r="F93" s="7"/>
      <c r="G93" s="7"/>
      <c r="H93" s="7"/>
      <c r="I93" s="25"/>
    </row>
    <row r="94" spans="1:12" x14ac:dyDescent="0.25">
      <c r="A94" s="611" t="s">
        <v>576</v>
      </c>
      <c r="B94" s="196"/>
      <c r="C94" s="205"/>
      <c r="D94" s="77"/>
      <c r="F94" s="7"/>
      <c r="G94" s="7"/>
      <c r="H94" s="7"/>
      <c r="I94" s="25"/>
    </row>
    <row r="95" spans="1:12" x14ac:dyDescent="0.25">
      <c r="A95" s="110" t="s">
        <v>557</v>
      </c>
      <c r="B95" s="563">
        <f>Vout_ripple2</f>
        <v>70</v>
      </c>
      <c r="C95" s="111" t="s">
        <v>149</v>
      </c>
      <c r="D95" s="77" t="s">
        <v>614</v>
      </c>
      <c r="F95" s="7"/>
      <c r="G95" s="7"/>
      <c r="H95" s="7"/>
      <c r="I95" s="25"/>
    </row>
    <row r="96" spans="1:12" x14ac:dyDescent="0.25">
      <c r="A96" s="507" t="s">
        <v>559</v>
      </c>
      <c r="B96" s="671">
        <f>MAX(10, 'Calculations - Dual'!AY110)</f>
        <v>10</v>
      </c>
      <c r="C96" s="205" t="s">
        <v>97</v>
      </c>
      <c r="D96" s="77" t="s">
        <v>610</v>
      </c>
      <c r="F96" s="7"/>
      <c r="G96" s="7"/>
      <c r="H96" s="7"/>
      <c r="I96" s="25"/>
    </row>
    <row r="97" spans="1:9" x14ac:dyDescent="0.25">
      <c r="A97" s="110" t="s">
        <v>558</v>
      </c>
      <c r="B97" s="606">
        <f>'Design PSR Flyback Converter'!L21</f>
        <v>44</v>
      </c>
      <c r="C97" s="205" t="s">
        <v>97</v>
      </c>
      <c r="D97" s="77" t="s">
        <v>168</v>
      </c>
      <c r="F97" s="7"/>
      <c r="G97" s="7"/>
      <c r="H97" s="7"/>
      <c r="I97" s="25"/>
    </row>
    <row r="98" spans="1:9" x14ac:dyDescent="0.25">
      <c r="A98" s="204" t="s">
        <v>560</v>
      </c>
      <c r="B98" s="564">
        <f>(Vout_ripple2-Iout2*B100/Cout2*1000)/Iout2</f>
        <v>213.84093990353318</v>
      </c>
      <c r="C98" s="113" t="s">
        <v>259</v>
      </c>
      <c r="D98" s="77" t="s">
        <v>107</v>
      </c>
      <c r="F98" s="7"/>
      <c r="G98" s="7"/>
      <c r="H98" s="453" t="s">
        <v>577</v>
      </c>
      <c r="I98" s="25"/>
    </row>
    <row r="99" spans="1:9" x14ac:dyDescent="0.25">
      <c r="A99" s="110" t="s">
        <v>561</v>
      </c>
      <c r="B99" s="197">
        <f>'Design PSR Flyback Converter'!L22</f>
        <v>3</v>
      </c>
      <c r="C99" s="113" t="s">
        <v>259</v>
      </c>
      <c r="D99" s="77" t="s">
        <v>108</v>
      </c>
      <c r="F99" s="7"/>
      <c r="G99" s="7"/>
      <c r="I99" s="25"/>
    </row>
    <row r="100" spans="1:9" x14ac:dyDescent="0.25">
      <c r="A100" s="110" t="s">
        <v>449</v>
      </c>
      <c r="B100" s="196">
        <f>'Calculations - Dual'!AR105</f>
        <v>2.9109986442445392</v>
      </c>
      <c r="C100" s="205" t="s">
        <v>248</v>
      </c>
      <c r="D100" s="77"/>
      <c r="F100" s="7"/>
      <c r="G100" s="7"/>
      <c r="H100" s="453" t="s">
        <v>577</v>
      </c>
      <c r="I100" s="25"/>
    </row>
    <row r="101" spans="1:9" x14ac:dyDescent="0.25">
      <c r="A101" s="34" t="s">
        <v>448</v>
      </c>
      <c r="B101" s="673">
        <f>'Calculations - Dual'!AZ105</f>
        <v>2.1115303433847989</v>
      </c>
      <c r="C101" s="77" t="s">
        <v>454</v>
      </c>
      <c r="D101" s="77" t="s">
        <v>612</v>
      </c>
      <c r="F101" s="7"/>
      <c r="G101" s="7"/>
      <c r="H101" s="7"/>
      <c r="I101" s="25"/>
    </row>
    <row r="102" spans="1:9" x14ac:dyDescent="0.25">
      <c r="A102" s="39"/>
      <c r="B102" s="196"/>
      <c r="C102" s="77"/>
      <c r="D102" s="77"/>
      <c r="F102" s="7"/>
      <c r="G102" s="7"/>
      <c r="H102" s="7"/>
      <c r="I102" s="25"/>
    </row>
    <row r="103" spans="1:9" ht="13.8" thickBot="1" x14ac:dyDescent="0.3">
      <c r="A103" s="29"/>
      <c r="B103" s="29"/>
      <c r="C103" s="29"/>
      <c r="D103" s="29"/>
      <c r="E103" s="29"/>
      <c r="F103" s="29"/>
      <c r="G103" s="29"/>
      <c r="H103" s="29"/>
      <c r="I103" s="30"/>
    </row>
    <row r="105" spans="1:9" ht="13.8" thickBot="1" x14ac:dyDescent="0.3">
      <c r="A105" s="7"/>
      <c r="B105" s="7"/>
      <c r="C105" s="39"/>
      <c r="D105" s="7"/>
      <c r="E105" s="7"/>
      <c r="F105" s="7"/>
      <c r="G105" s="7"/>
      <c r="H105" s="7"/>
      <c r="I105" s="7"/>
    </row>
    <row r="106" spans="1:9" ht="15.6" x14ac:dyDescent="0.3">
      <c r="A106" s="61" t="s">
        <v>55</v>
      </c>
      <c r="B106" s="62"/>
      <c r="C106" s="172"/>
      <c r="D106" s="62"/>
      <c r="E106" s="62"/>
      <c r="F106" s="62"/>
      <c r="G106" s="62"/>
      <c r="H106" s="62"/>
      <c r="I106" s="63"/>
    </row>
    <row r="107" spans="1:9" x14ac:dyDescent="0.25">
      <c r="A107" s="566" t="s">
        <v>520</v>
      </c>
      <c r="B107" s="569">
        <f>0.05*VIN_nom</f>
        <v>0.75</v>
      </c>
      <c r="C107" s="111" t="s">
        <v>455</v>
      </c>
      <c r="D107" s="76" t="s">
        <v>450</v>
      </c>
      <c r="E107" s="7"/>
      <c r="F107" s="7"/>
      <c r="G107" s="7"/>
      <c r="H107" s="7"/>
      <c r="I107" s="65"/>
    </row>
    <row r="108" spans="1:9" x14ac:dyDescent="0.25">
      <c r="A108" s="64"/>
      <c r="B108" s="12"/>
      <c r="C108" s="60"/>
      <c r="E108" s="7"/>
      <c r="F108" s="7"/>
      <c r="G108" s="7"/>
      <c r="H108" s="7"/>
      <c r="I108" s="65"/>
    </row>
    <row r="109" spans="1:9" x14ac:dyDescent="0.25">
      <c r="A109" s="66" t="s">
        <v>58</v>
      </c>
      <c r="B109" s="425"/>
      <c r="C109" s="205" t="s">
        <v>30</v>
      </c>
      <c r="E109" s="7"/>
      <c r="F109" s="7"/>
      <c r="G109" s="7"/>
      <c r="H109" s="7"/>
      <c r="I109" s="65"/>
    </row>
    <row r="110" spans="1:9" x14ac:dyDescent="0.25">
      <c r="A110" s="66" t="s">
        <v>98</v>
      </c>
      <c r="B110" s="189">
        <f>'Calculations - Single'!BC105</f>
        <v>1.5890482638478363</v>
      </c>
      <c r="C110" s="205" t="s">
        <v>97</v>
      </c>
      <c r="E110" s="7"/>
      <c r="F110" s="7"/>
      <c r="G110" s="7"/>
      <c r="H110" s="7"/>
      <c r="I110" s="65"/>
    </row>
    <row r="111" spans="1:9" x14ac:dyDescent="0.25">
      <c r="A111" s="204" t="s">
        <v>181</v>
      </c>
      <c r="B111" s="613">
        <f>MAX(4.7,Cinmin)</f>
        <v>4.7</v>
      </c>
      <c r="C111" s="205" t="s">
        <v>97</v>
      </c>
      <c r="E111" s="7"/>
      <c r="F111" s="7"/>
      <c r="G111" s="7"/>
      <c r="H111" s="7"/>
      <c r="I111" s="65"/>
    </row>
    <row r="112" spans="1:9" x14ac:dyDescent="0.25">
      <c r="A112" s="66" t="s">
        <v>28</v>
      </c>
      <c r="B112" s="567">
        <f>'Design PSR Flyback Converter'!E17</f>
        <v>10</v>
      </c>
      <c r="C112" s="205" t="s">
        <v>97</v>
      </c>
      <c r="D112" s="7" t="s">
        <v>60</v>
      </c>
      <c r="F112" s="7"/>
      <c r="G112" s="7"/>
      <c r="H112" s="7"/>
      <c r="I112" s="65"/>
    </row>
    <row r="113" spans="1:9" x14ac:dyDescent="0.25">
      <c r="A113" s="66"/>
      <c r="B113" s="565"/>
      <c r="C113" s="58"/>
      <c r="D113" s="7"/>
      <c r="F113" s="7"/>
      <c r="G113" s="7"/>
      <c r="H113" s="7"/>
      <c r="I113" s="65"/>
    </row>
    <row r="114" spans="1:9" x14ac:dyDescent="0.25">
      <c r="A114" s="67" t="s">
        <v>99</v>
      </c>
      <c r="B114" s="424">
        <f>(Vinripple1-B118*B120/Cin)/B119</f>
        <v>0.16495745501474057</v>
      </c>
      <c r="C114" s="113" t="s">
        <v>45</v>
      </c>
      <c r="D114" s="7"/>
      <c r="F114" s="7"/>
      <c r="G114" s="7"/>
      <c r="H114" s="7"/>
      <c r="I114" s="65"/>
    </row>
    <row r="115" spans="1:9" x14ac:dyDescent="0.25">
      <c r="A115" s="66" t="s">
        <v>37</v>
      </c>
      <c r="B115" s="59">
        <f>'Design PSR Flyback Converter'!E18/1000</f>
        <v>3.0000000000000001E-3</v>
      </c>
      <c r="C115" s="113" t="s">
        <v>45</v>
      </c>
      <c r="D115" s="77" t="s">
        <v>109</v>
      </c>
      <c r="F115" s="7"/>
      <c r="G115" s="7"/>
      <c r="H115" s="7"/>
      <c r="I115" s="65"/>
    </row>
    <row r="116" spans="1:9" ht="13.8" x14ac:dyDescent="0.3">
      <c r="A116" s="204" t="s">
        <v>183</v>
      </c>
      <c r="B116" s="372">
        <f>'Design PSR Flyback Converter'!E18</f>
        <v>3</v>
      </c>
      <c r="C116" s="17" t="s">
        <v>162</v>
      </c>
      <c r="D116" s="77"/>
      <c r="F116" s="7"/>
      <c r="G116" s="7"/>
      <c r="H116" s="7"/>
      <c r="I116" s="65"/>
    </row>
    <row r="117" spans="1:9" ht="13.8" x14ac:dyDescent="0.3">
      <c r="A117" s="204"/>
      <c r="B117" s="372"/>
      <c r="C117" s="17"/>
      <c r="D117" s="77"/>
      <c r="F117" s="7"/>
      <c r="G117" s="7"/>
      <c r="H117" s="7"/>
      <c r="I117" s="65"/>
    </row>
    <row r="118" spans="1:9" x14ac:dyDescent="0.25">
      <c r="A118" s="204" t="s">
        <v>452</v>
      </c>
      <c r="B118" s="430">
        <f>CHOOSE(MODE, Vout*Iout/VIN_nom/Efficiency, Vout*Iout/VIN_nom/Efficiency)</f>
        <v>1.0526315789473684</v>
      </c>
      <c r="C118" s="77" t="s">
        <v>1</v>
      </c>
      <c r="D118" s="77"/>
      <c r="F118" s="7"/>
      <c r="G118" s="7"/>
      <c r="H118" s="7"/>
      <c r="I118" s="65"/>
    </row>
    <row r="119" spans="1:9" x14ac:dyDescent="0.25">
      <c r="A119" s="204" t="s">
        <v>456</v>
      </c>
      <c r="B119" s="430">
        <f>CHOOSE(MODE, 'Calculations - Single'!AJ105, 'Calculations - Dual'!$AI$105)</f>
        <v>3.8294163080657619</v>
      </c>
      <c r="C119" s="77" t="s">
        <v>1</v>
      </c>
      <c r="D119" s="77"/>
      <c r="F119" s="7"/>
      <c r="G119" s="7"/>
      <c r="H119" s="7"/>
      <c r="I119" s="65"/>
    </row>
    <row r="120" spans="1:9" x14ac:dyDescent="0.25">
      <c r="A120" s="204" t="s">
        <v>453</v>
      </c>
      <c r="B120" s="430">
        <f>CHOOSE(MODE, 'Calculations - Single'!AU105, 'Calculations - Dual'!$AT$105)</f>
        <v>1.1239377004805171</v>
      </c>
      <c r="C120" s="205" t="s">
        <v>248</v>
      </c>
      <c r="D120" s="77"/>
      <c r="F120" s="7"/>
      <c r="G120" s="7"/>
      <c r="H120" s="7"/>
      <c r="I120" s="65"/>
    </row>
    <row r="121" spans="1:9" x14ac:dyDescent="0.25">
      <c r="A121" s="204" t="s">
        <v>451</v>
      </c>
      <c r="B121" s="675">
        <f>CHOOSE(MODE, 'Calculations - Single'!BD105, 'Calculations - Dual'!$BB$105)</f>
        <v>135.63829110911342</v>
      </c>
      <c r="C121" s="205" t="s">
        <v>454</v>
      </c>
      <c r="D121" s="76" t="s">
        <v>457</v>
      </c>
      <c r="E121" s="568"/>
      <c r="F121" s="205"/>
      <c r="G121" s="7"/>
      <c r="H121" s="7"/>
      <c r="I121" s="65"/>
    </row>
    <row r="122" spans="1:9" ht="13.8" thickBot="1" x14ac:dyDescent="0.3">
      <c r="A122" s="68"/>
      <c r="B122" s="69"/>
      <c r="C122" s="69"/>
      <c r="D122" s="69"/>
      <c r="E122" s="70"/>
      <c r="F122" s="70"/>
      <c r="G122" s="70"/>
      <c r="H122" s="70"/>
      <c r="I122" s="71"/>
    </row>
    <row r="123" spans="1:9" x14ac:dyDescent="0.25">
      <c r="A123" s="7"/>
      <c r="B123" s="7"/>
      <c r="C123" s="39"/>
      <c r="D123" s="7"/>
      <c r="E123" s="7"/>
      <c r="F123" s="7"/>
      <c r="G123" s="7"/>
      <c r="H123" s="7"/>
      <c r="I123" s="7"/>
    </row>
    <row r="124" spans="1:9" ht="16.2" thickBot="1" x14ac:dyDescent="0.35">
      <c r="A124" s="50" t="s">
        <v>62</v>
      </c>
      <c r="B124" s="7"/>
      <c r="C124" s="39"/>
      <c r="D124" s="7"/>
      <c r="E124" s="7"/>
      <c r="F124" s="7"/>
      <c r="G124" s="7"/>
      <c r="H124" s="7"/>
      <c r="I124" s="7"/>
    </row>
    <row r="125" spans="1:9" x14ac:dyDescent="0.25">
      <c r="A125" s="52" t="s">
        <v>64</v>
      </c>
      <c r="B125" s="9">
        <f>'Design PSR Flyback Converter'!E29/1000</f>
        <v>8.9999999999999993E-3</v>
      </c>
      <c r="C125" s="31" t="s">
        <v>51</v>
      </c>
      <c r="D125" s="79" t="s">
        <v>177</v>
      </c>
      <c r="E125" s="31"/>
      <c r="F125" s="31"/>
      <c r="G125" s="31"/>
      <c r="H125" s="31"/>
      <c r="I125" s="32"/>
    </row>
    <row r="126" spans="1:9" x14ac:dyDescent="0.25">
      <c r="A126" s="24" t="s">
        <v>65</v>
      </c>
      <c r="B126" s="199">
        <v>1.0000000000000001E-5</v>
      </c>
      <c r="C126" s="7" t="s">
        <v>1</v>
      </c>
      <c r="D126" s="77" t="s">
        <v>310</v>
      </c>
      <c r="E126" s="7"/>
      <c r="F126" s="7"/>
      <c r="G126" s="7"/>
      <c r="H126" s="7"/>
      <c r="I126" s="25"/>
    </row>
    <row r="127" spans="1:9" x14ac:dyDescent="0.25">
      <c r="A127" s="24" t="s">
        <v>66</v>
      </c>
      <c r="B127" s="667">
        <f>5*Tss*1000*0.000000001</f>
        <v>4.5000000000000006E-8</v>
      </c>
      <c r="C127" s="7" t="s">
        <v>13</v>
      </c>
      <c r="D127" s="77" t="s">
        <v>312</v>
      </c>
      <c r="E127" s="7"/>
      <c r="F127" s="7"/>
      <c r="G127" s="7"/>
      <c r="H127" s="7"/>
      <c r="I127" s="25"/>
    </row>
    <row r="128" spans="1:9" ht="13.8" thickBot="1" x14ac:dyDescent="0.3">
      <c r="A128" s="28" t="s">
        <v>72</v>
      </c>
      <c r="B128" s="200">
        <f>'Standard Value Calculator'!B4</f>
        <v>4.6999999999999997E-8</v>
      </c>
      <c r="C128" s="29" t="s">
        <v>13</v>
      </c>
      <c r="D128" s="80" t="s">
        <v>313</v>
      </c>
      <c r="E128" s="29"/>
      <c r="F128" s="29"/>
      <c r="G128" s="29"/>
      <c r="H128" s="29"/>
      <c r="I128" s="30"/>
    </row>
    <row r="130" spans="1:9" ht="16.2" thickBot="1" x14ac:dyDescent="0.35">
      <c r="A130" s="50" t="s">
        <v>572</v>
      </c>
      <c r="B130" s="7"/>
      <c r="C130" s="39"/>
      <c r="D130" s="7"/>
      <c r="E130" s="7"/>
      <c r="F130" s="7"/>
      <c r="G130" s="7"/>
      <c r="H130" s="7"/>
      <c r="I130" s="7"/>
    </row>
    <row r="131" spans="1:9" ht="12.75" customHeight="1" x14ac:dyDescent="0.25">
      <c r="A131" s="109"/>
      <c r="B131" s="53"/>
      <c r="C131" s="159"/>
      <c r="D131" s="79"/>
      <c r="E131" s="31"/>
      <c r="F131" s="31"/>
      <c r="G131" s="31"/>
      <c r="H131" s="31"/>
      <c r="I131" s="32"/>
    </row>
    <row r="132" spans="1:9" ht="12.75" customHeight="1" x14ac:dyDescent="0.25">
      <c r="A132" s="110" t="s">
        <v>111</v>
      </c>
      <c r="B132" s="190">
        <v>1.5</v>
      </c>
      <c r="C132" s="77" t="s">
        <v>0</v>
      </c>
      <c r="D132" s="77"/>
      <c r="E132" s="7"/>
      <c r="F132" s="7"/>
      <c r="G132" s="7"/>
      <c r="H132" s="7"/>
      <c r="I132" s="25"/>
    </row>
    <row r="133" spans="1:9" ht="12.75" customHeight="1" x14ac:dyDescent="0.25">
      <c r="A133" s="110" t="s">
        <v>112</v>
      </c>
      <c r="B133" s="190">
        <v>1.45</v>
      </c>
      <c r="C133" s="77" t="s">
        <v>0</v>
      </c>
      <c r="D133" s="77"/>
      <c r="E133" s="7"/>
      <c r="F133" s="7"/>
      <c r="G133" s="7"/>
      <c r="H133" s="7"/>
      <c r="I133" s="25"/>
    </row>
    <row r="134" spans="1:9" ht="12.75" customHeight="1" x14ac:dyDescent="0.25">
      <c r="A134" s="110" t="s">
        <v>148</v>
      </c>
      <c r="B134" s="37">
        <f>B132-B133</f>
        <v>5.0000000000000044E-2</v>
      </c>
      <c r="C134" s="77" t="s">
        <v>0</v>
      </c>
      <c r="D134" s="77"/>
      <c r="E134" s="7"/>
      <c r="F134" s="7"/>
      <c r="G134" s="7"/>
      <c r="H134" s="7"/>
      <c r="I134" s="25"/>
    </row>
    <row r="135" spans="1:9" ht="12.75" customHeight="1" x14ac:dyDescent="0.25">
      <c r="A135" s="110" t="s">
        <v>381</v>
      </c>
      <c r="B135" s="7">
        <v>0</v>
      </c>
      <c r="C135" s="111" t="s">
        <v>1</v>
      </c>
      <c r="D135" s="77"/>
      <c r="E135" s="7"/>
      <c r="F135" s="7"/>
      <c r="G135" s="7"/>
      <c r="H135" s="7"/>
      <c r="I135" s="25"/>
    </row>
    <row r="136" spans="1:9" ht="12.75" customHeight="1" x14ac:dyDescent="0.25">
      <c r="A136" s="110" t="s">
        <v>380</v>
      </c>
      <c r="B136" s="533">
        <v>5.0000000000000001E-3</v>
      </c>
      <c r="C136" s="111" t="s">
        <v>30</v>
      </c>
      <c r="D136" s="77"/>
      <c r="E136" s="7"/>
      <c r="F136" s="7"/>
      <c r="G136" s="7"/>
      <c r="H136" s="7"/>
      <c r="I136" s="25"/>
    </row>
    <row r="137" spans="1:9" ht="12.75" customHeight="1" x14ac:dyDescent="0.25">
      <c r="A137" s="110" t="s">
        <v>379</v>
      </c>
      <c r="B137" s="534">
        <f>Iuvlo2-Iuvlo1</f>
        <v>5.0000000000000001E-3</v>
      </c>
      <c r="C137" s="111" t="s">
        <v>30</v>
      </c>
      <c r="D137" s="77"/>
      <c r="F137" s="7"/>
      <c r="G137" s="7"/>
      <c r="H137" s="7"/>
      <c r="I137" s="25"/>
    </row>
    <row r="138" spans="1:9" ht="12.75" customHeight="1" x14ac:dyDescent="0.25">
      <c r="A138" s="110"/>
      <c r="B138" s="37"/>
      <c r="C138" s="381"/>
      <c r="D138" s="77"/>
      <c r="E138" s="7"/>
      <c r="F138" s="7"/>
      <c r="G138" s="7"/>
      <c r="H138" s="7"/>
      <c r="I138" s="25"/>
    </row>
    <row r="139" spans="1:9" ht="12.75" customHeight="1" x14ac:dyDescent="0.35">
      <c r="A139" s="110" t="s">
        <v>110</v>
      </c>
      <c r="B139" s="188">
        <f>'Design PSR Flyback Converter'!E35</f>
        <v>9</v>
      </c>
      <c r="C139" s="111" t="s">
        <v>0</v>
      </c>
      <c r="E139" s="7"/>
      <c r="F139" s="7"/>
      <c r="G139" s="7"/>
      <c r="H139" s="7"/>
      <c r="I139" s="25"/>
    </row>
    <row r="140" spans="1:9" ht="12.75" customHeight="1" x14ac:dyDescent="0.35">
      <c r="A140" s="110" t="s">
        <v>296</v>
      </c>
      <c r="B140" s="188">
        <f>'Design PSR Flyback Converter'!E36</f>
        <v>7</v>
      </c>
      <c r="C140" s="111" t="s">
        <v>0</v>
      </c>
      <c r="E140" s="7"/>
      <c r="F140" s="7"/>
      <c r="G140" s="7"/>
      <c r="H140" s="7"/>
      <c r="I140" s="25"/>
    </row>
    <row r="141" spans="1:9" ht="12.75" customHeight="1" x14ac:dyDescent="0.25">
      <c r="A141" s="110"/>
      <c r="B141" s="37"/>
      <c r="C141" s="111"/>
      <c r="E141" s="7"/>
      <c r="F141" s="7"/>
      <c r="G141" s="7"/>
      <c r="H141" s="7"/>
      <c r="I141" s="25"/>
    </row>
    <row r="142" spans="1:9" ht="12.75" customHeight="1" x14ac:dyDescent="0.35">
      <c r="A142" s="110" t="s">
        <v>126</v>
      </c>
      <c r="B142" s="604">
        <f>(VINuvlo_off-VINuvlo_on*Vuvlo_off/Vuvlo_on)/(Iuvlo1*Vuvlo_off/Vuvlo_on-Iuvlo2)</f>
        <v>339.99999999999983</v>
      </c>
      <c r="C142" s="17" t="s">
        <v>113</v>
      </c>
      <c r="D142" s="7">
        <f>'Standard Value Calculator'!J16</f>
        <v>340</v>
      </c>
      <c r="E142" s="17" t="s">
        <v>113</v>
      </c>
      <c r="F142" s="37">
        <f>IF(Ruvlo1&lt;0,"N/A",D142)</f>
        <v>340</v>
      </c>
      <c r="G142" s="37" t="str">
        <f>IF(Ruvlo1&lt;0,"N/A",D142&amp;"kΩ")</f>
        <v>340kΩ</v>
      </c>
      <c r="I142" s="25"/>
    </row>
    <row r="143" spans="1:9" ht="12.75" customHeight="1" x14ac:dyDescent="0.35">
      <c r="A143" s="110" t="s">
        <v>127</v>
      </c>
      <c r="B143" s="191">
        <f>D142*Vuvlo_on/(VINuvlo_on-Vuvlo_on+Ruvlo1*Iuvlo1)</f>
        <v>68</v>
      </c>
      <c r="C143" s="17" t="s">
        <v>113</v>
      </c>
      <c r="D143" s="7">
        <f>'Standard Value Calculator'!J17</f>
        <v>68.100000000000009</v>
      </c>
      <c r="E143" s="17" t="s">
        <v>113</v>
      </c>
      <c r="F143" s="37">
        <f>IF(F142="N/A","N/A",D143)</f>
        <v>68.100000000000009</v>
      </c>
      <c r="G143" s="37" t="str">
        <f>IF(G142="N/A","N/A",D143&amp;"kΩ")</f>
        <v>68.1kΩ</v>
      </c>
      <c r="I143" s="25"/>
    </row>
    <row r="144" spans="1:9" ht="12.75" customHeight="1" x14ac:dyDescent="0.3">
      <c r="A144" s="110"/>
      <c r="B144" s="112"/>
      <c r="C144" s="17"/>
      <c r="D144" s="37"/>
      <c r="E144" s="17"/>
      <c r="F144" s="37"/>
      <c r="G144" s="37"/>
      <c r="I144" s="25"/>
    </row>
    <row r="145" spans="1:9" ht="12.75" customHeight="1" x14ac:dyDescent="0.35">
      <c r="A145" s="110" t="s">
        <v>114</v>
      </c>
      <c r="B145" s="605">
        <f>(D142+D143)/D143*Vuvlo_on</f>
        <v>8.9889867841409696</v>
      </c>
      <c r="C145" s="3" t="s">
        <v>0</v>
      </c>
      <c r="D145" s="5"/>
      <c r="E145" s="7"/>
      <c r="F145" s="17"/>
      <c r="G145" s="7"/>
      <c r="H145" s="7"/>
      <c r="I145" s="25"/>
    </row>
    <row r="146" spans="1:9" ht="12.75" customHeight="1" x14ac:dyDescent="0.35">
      <c r="A146" s="110" t="s">
        <v>115</v>
      </c>
      <c r="B146" s="605">
        <f>(D142+D143)/D143*Vuvlo_off-Iuvlo2*D142</f>
        <v>6.9893538913362692</v>
      </c>
      <c r="C146" s="3" t="s">
        <v>0</v>
      </c>
      <c r="E146" s="7"/>
      <c r="F146" s="17"/>
      <c r="G146" s="7"/>
      <c r="H146" s="7"/>
      <c r="I146" s="25"/>
    </row>
    <row r="147" spans="1:9" ht="12.75" customHeight="1" thickBot="1" x14ac:dyDescent="0.3">
      <c r="A147" s="28"/>
      <c r="B147" s="38"/>
      <c r="C147" s="160"/>
      <c r="D147" s="29"/>
      <c r="E147" s="29"/>
      <c r="F147" s="29"/>
      <c r="G147" s="29"/>
      <c r="H147" s="29"/>
      <c r="I147" s="30"/>
    </row>
    <row r="148" spans="1:9" x14ac:dyDescent="0.25">
      <c r="B148" s="16"/>
      <c r="C148" s="161"/>
    </row>
    <row r="149" spans="1:9" ht="16.2" thickBot="1" x14ac:dyDescent="0.35">
      <c r="A149" s="50" t="s">
        <v>531</v>
      </c>
      <c r="B149" s="7"/>
      <c r="C149" s="39"/>
      <c r="D149" s="7"/>
      <c r="E149" s="7"/>
      <c r="F149" s="7"/>
      <c r="G149" s="7"/>
      <c r="H149" s="7"/>
      <c r="I149" s="7"/>
    </row>
    <row r="150" spans="1:9" x14ac:dyDescent="0.25">
      <c r="A150" s="179" t="s">
        <v>16</v>
      </c>
      <c r="B150" s="180">
        <v>3.1415926500000002</v>
      </c>
      <c r="C150" s="181"/>
      <c r="D150" s="182" t="s">
        <v>171</v>
      </c>
      <c r="E150" s="31"/>
      <c r="F150" s="31"/>
      <c r="G150" s="31"/>
      <c r="H150" s="31"/>
      <c r="I150" s="32"/>
    </row>
    <row r="151" spans="1:9" x14ac:dyDescent="0.25">
      <c r="A151" s="76" t="s">
        <v>186</v>
      </c>
      <c r="B151" s="208"/>
      <c r="C151" s="183" t="s">
        <v>185</v>
      </c>
      <c r="D151" s="185" t="s">
        <v>564</v>
      </c>
      <c r="I151" s="25"/>
    </row>
    <row r="152" spans="1:9" x14ac:dyDescent="0.25">
      <c r="A152" s="76" t="s">
        <v>187</v>
      </c>
      <c r="B152" s="208"/>
      <c r="C152" s="183" t="s">
        <v>185</v>
      </c>
      <c r="D152" s="185"/>
      <c r="I152" s="25"/>
    </row>
    <row r="153" spans="1:9" x14ac:dyDescent="0.25">
      <c r="C153" s="7"/>
      <c r="D153" s="7"/>
      <c r="F153" s="7"/>
      <c r="G153" s="7"/>
      <c r="H153" s="7"/>
      <c r="I153" s="25"/>
    </row>
    <row r="154" spans="1:9" ht="13.8" x14ac:dyDescent="0.3">
      <c r="A154" s="110" t="s">
        <v>397</v>
      </c>
      <c r="B154" s="173">
        <f>(Vout+Vfwd1)*Nps*10</f>
        <v>238.5</v>
      </c>
      <c r="C154" s="17" t="s">
        <v>113</v>
      </c>
      <c r="D154" s="77" t="s">
        <v>533</v>
      </c>
      <c r="F154" s="7"/>
      <c r="G154" s="7"/>
      <c r="H154" s="7"/>
      <c r="I154" s="25">
        <v>1</v>
      </c>
    </row>
    <row r="155" spans="1:9" ht="13.8" x14ac:dyDescent="0.3">
      <c r="A155" s="34" t="s">
        <v>532</v>
      </c>
      <c r="B155" s="178">
        <f>Rfb/1000</f>
        <v>240</v>
      </c>
      <c r="C155" s="17" t="s">
        <v>113</v>
      </c>
      <c r="D155" s="77" t="s">
        <v>530</v>
      </c>
      <c r="F155" s="7"/>
      <c r="G155" s="7"/>
      <c r="H155" s="7"/>
      <c r="I155" s="25"/>
    </row>
    <row r="156" spans="1:9" ht="13.8" x14ac:dyDescent="0.3">
      <c r="A156" s="110" t="s">
        <v>53</v>
      </c>
      <c r="B156" s="36">
        <f>'Standard Value Calculator'!J10/1000</f>
        <v>237</v>
      </c>
      <c r="C156" s="17" t="s">
        <v>113</v>
      </c>
      <c r="D156" s="77" t="s">
        <v>365</v>
      </c>
      <c r="F156" s="7"/>
      <c r="G156" s="7"/>
      <c r="H156" s="7"/>
      <c r="I156" s="25"/>
    </row>
    <row r="157" spans="1:9" ht="13.8" x14ac:dyDescent="0.3">
      <c r="A157" s="77"/>
      <c r="B157" s="12"/>
      <c r="C157" s="17"/>
      <c r="D157" s="77"/>
      <c r="F157" s="7"/>
      <c r="G157" s="7"/>
      <c r="H157" s="7"/>
      <c r="I157" s="25"/>
    </row>
    <row r="158" spans="1:9" x14ac:dyDescent="0.25">
      <c r="A158" s="111" t="s">
        <v>534</v>
      </c>
      <c r="B158" s="607">
        <f>'Design PSR Flyback Converter'!E32</f>
        <v>-1.5</v>
      </c>
      <c r="C158" s="111" t="s">
        <v>390</v>
      </c>
      <c r="D158" s="77"/>
      <c r="F158" s="7"/>
      <c r="G158" s="7"/>
      <c r="H158" s="7"/>
      <c r="I158" s="25"/>
    </row>
    <row r="159" spans="1:9" ht="15.6" x14ac:dyDescent="0.35">
      <c r="A159" s="24" t="s">
        <v>529</v>
      </c>
      <c r="B159" s="374">
        <f>3*B155/Nps/ABS(Diode_TC)*1000</f>
        <v>320000</v>
      </c>
      <c r="C159" s="17" t="s">
        <v>136</v>
      </c>
      <c r="D159" s="77"/>
      <c r="F159" s="7"/>
      <c r="G159" s="7"/>
      <c r="H159" s="7"/>
      <c r="I159" s="25"/>
    </row>
    <row r="160" spans="1:9" ht="13.8" x14ac:dyDescent="0.3">
      <c r="A160" s="12" t="s">
        <v>535</v>
      </c>
      <c r="B160" s="171">
        <f>'Standard Value Calculator'!J9/1000</f>
        <v>316</v>
      </c>
      <c r="C160" s="17" t="s">
        <v>113</v>
      </c>
      <c r="D160" s="77"/>
      <c r="F160" s="7"/>
      <c r="G160" s="7"/>
      <c r="H160" s="7"/>
      <c r="I160" s="25"/>
    </row>
    <row r="161" spans="1:9" ht="13.8" thickBot="1" x14ac:dyDescent="0.3">
      <c r="A161" s="184"/>
      <c r="B161" s="184"/>
      <c r="C161" s="40"/>
      <c r="D161" s="29"/>
      <c r="E161" s="40"/>
      <c r="F161" s="29"/>
      <c r="G161" s="29"/>
      <c r="H161" s="29"/>
      <c r="I161" s="30"/>
    </row>
    <row r="162" spans="1:9" x14ac:dyDescent="0.25">
      <c r="A162" s="2"/>
      <c r="B162" s="18"/>
      <c r="C162" s="18"/>
      <c r="E162" s="18"/>
    </row>
    <row r="163" spans="1:9" x14ac:dyDescent="0.25">
      <c r="A163" s="2"/>
      <c r="B163" s="18"/>
      <c r="C163" s="18"/>
      <c r="E163" s="18"/>
    </row>
    <row r="164" spans="1:9" ht="16.2" thickBot="1" x14ac:dyDescent="0.35">
      <c r="A164" s="54" t="s">
        <v>83</v>
      </c>
      <c r="B164" s="7"/>
      <c r="C164" s="39"/>
      <c r="D164" s="7"/>
      <c r="E164" s="7"/>
      <c r="F164" s="7"/>
      <c r="G164" s="7"/>
      <c r="H164" s="7"/>
      <c r="I164" s="7"/>
    </row>
    <row r="165" spans="1:9" x14ac:dyDescent="0.25">
      <c r="A165" s="52"/>
      <c r="B165" s="31"/>
      <c r="C165" s="162"/>
      <c r="D165" s="31"/>
      <c r="E165" s="31"/>
      <c r="F165" s="31"/>
      <c r="G165" s="31"/>
      <c r="H165" s="31"/>
      <c r="I165" s="32"/>
    </row>
    <row r="166" spans="1:9" x14ac:dyDescent="0.25">
      <c r="A166" s="34" t="s">
        <v>26</v>
      </c>
      <c r="B166" s="7"/>
      <c r="C166" s="39"/>
      <c r="D166" s="7"/>
      <c r="E166" s="7"/>
      <c r="F166" s="7"/>
      <c r="G166" s="7"/>
      <c r="H166" s="7"/>
      <c r="I166" s="25"/>
    </row>
    <row r="167" spans="1:9" x14ac:dyDescent="0.25">
      <c r="A167" s="24" t="s">
        <v>36</v>
      </c>
      <c r="B167" s="10">
        <v>25</v>
      </c>
      <c r="C167" s="77" t="s">
        <v>102</v>
      </c>
      <c r="D167" s="7" t="s">
        <v>40</v>
      </c>
      <c r="F167" s="7"/>
      <c r="G167" s="7"/>
      <c r="H167" s="7"/>
      <c r="I167" s="25"/>
    </row>
    <row r="168" spans="1:9" x14ac:dyDescent="0.25">
      <c r="A168" s="34" t="s">
        <v>29</v>
      </c>
      <c r="B168" s="7"/>
      <c r="C168" s="7"/>
      <c r="D168" s="7"/>
      <c r="F168" s="7"/>
      <c r="G168" s="7"/>
      <c r="H168" s="7"/>
      <c r="I168" s="25"/>
    </row>
    <row r="169" spans="1:9" x14ac:dyDescent="0.25">
      <c r="A169" s="24" t="s">
        <v>35</v>
      </c>
      <c r="B169" s="27">
        <f>4000/1000000</f>
        <v>4.0000000000000001E-3</v>
      </c>
      <c r="C169" s="77" t="s">
        <v>138</v>
      </c>
      <c r="D169" s="77" t="s">
        <v>565</v>
      </c>
      <c r="F169" s="7"/>
      <c r="G169" s="7"/>
      <c r="H169" s="7"/>
      <c r="I169" s="25"/>
    </row>
    <row r="170" spans="1:9" ht="15.6" x14ac:dyDescent="0.35">
      <c r="A170" s="110" t="s">
        <v>178</v>
      </c>
      <c r="B170" s="27">
        <v>20</v>
      </c>
      <c r="C170" s="111" t="s">
        <v>84</v>
      </c>
      <c r="D170" s="77" t="s">
        <v>566</v>
      </c>
      <c r="F170" s="7"/>
      <c r="G170" s="7"/>
      <c r="H170" s="7"/>
      <c r="I170" s="25"/>
    </row>
    <row r="171" spans="1:9" x14ac:dyDescent="0.25">
      <c r="A171" s="24" t="s">
        <v>37</v>
      </c>
      <c r="B171" s="10">
        <f>RCinEsr</f>
        <v>3.0000000000000001E-3</v>
      </c>
      <c r="C171" s="113" t="s">
        <v>45</v>
      </c>
      <c r="D171" s="77" t="s">
        <v>179</v>
      </c>
      <c r="F171" s="7"/>
      <c r="G171" s="7"/>
      <c r="H171" s="7"/>
      <c r="I171" s="25"/>
    </row>
    <row r="172" spans="1:9" x14ac:dyDescent="0.25">
      <c r="A172" s="24"/>
      <c r="B172" s="10"/>
      <c r="C172" s="113"/>
      <c r="D172" s="77"/>
      <c r="F172" s="7"/>
      <c r="G172" s="7"/>
      <c r="H172" s="7"/>
      <c r="I172" s="25"/>
    </row>
    <row r="173" spans="1:9" x14ac:dyDescent="0.25">
      <c r="A173" s="33" t="s">
        <v>52</v>
      </c>
      <c r="B173" s="7"/>
      <c r="C173" s="7"/>
      <c r="D173" s="7"/>
      <c r="F173" s="7"/>
      <c r="G173" s="7"/>
      <c r="H173" s="7"/>
      <c r="I173" s="25"/>
    </row>
    <row r="174" spans="1:9" x14ac:dyDescent="0.25">
      <c r="A174" s="110" t="s">
        <v>286</v>
      </c>
      <c r="B174" s="27">
        <f>Vdd</f>
        <v>5</v>
      </c>
      <c r="C174" s="60" t="s">
        <v>0</v>
      </c>
      <c r="D174" s="186"/>
      <c r="F174" s="7"/>
      <c r="G174" s="7"/>
      <c r="H174" s="7"/>
      <c r="I174" s="25"/>
    </row>
    <row r="175" spans="1:9" x14ac:dyDescent="0.25">
      <c r="A175" s="24" t="s">
        <v>49</v>
      </c>
      <c r="B175" s="35">
        <f>IQ</f>
        <v>2.9E-4</v>
      </c>
      <c r="C175" s="7" t="s">
        <v>1</v>
      </c>
      <c r="D175" s="7" t="s">
        <v>50</v>
      </c>
      <c r="F175" s="7"/>
      <c r="G175" s="7"/>
      <c r="H175" s="7"/>
      <c r="I175" s="25"/>
    </row>
    <row r="176" spans="1:9" x14ac:dyDescent="0.25">
      <c r="A176" s="24"/>
      <c r="B176" s="7"/>
      <c r="C176" s="7"/>
      <c r="D176" s="7"/>
      <c r="F176" s="7"/>
      <c r="G176" s="7"/>
      <c r="H176" s="7"/>
      <c r="I176" s="25"/>
    </row>
    <row r="177" spans="1:9" x14ac:dyDescent="0.25">
      <c r="A177" s="55" t="s">
        <v>173</v>
      </c>
      <c r="B177" s="42" t="s">
        <v>6</v>
      </c>
      <c r="C177" s="14" t="s">
        <v>33</v>
      </c>
      <c r="D177" s="7"/>
      <c r="F177" s="7"/>
      <c r="G177" s="7"/>
      <c r="H177" s="7"/>
      <c r="I177" s="25"/>
    </row>
    <row r="178" spans="1:9" x14ac:dyDescent="0.25">
      <c r="A178" s="56" t="s">
        <v>44</v>
      </c>
      <c r="B178" s="43"/>
      <c r="C178" s="44" t="s">
        <v>45</v>
      </c>
      <c r="D178" s="7"/>
      <c r="F178" s="7"/>
      <c r="G178" s="7"/>
      <c r="H178" s="7"/>
      <c r="I178" s="25"/>
    </row>
    <row r="179" spans="1:9" x14ac:dyDescent="0.25">
      <c r="A179" s="56" t="s">
        <v>46</v>
      </c>
      <c r="B179" s="13" t="e">
        <f>B178*ThetaJaCtrl</f>
        <v>#NAME?</v>
      </c>
      <c r="C179" s="111" t="s">
        <v>102</v>
      </c>
      <c r="D179" s="7"/>
      <c r="F179" s="7"/>
      <c r="G179" s="7"/>
      <c r="H179" s="7"/>
      <c r="I179" s="25"/>
    </row>
    <row r="180" spans="1:9" x14ac:dyDescent="0.25">
      <c r="A180" s="56" t="s">
        <v>87</v>
      </c>
      <c r="B180" s="13" t="e">
        <f>(Qg_Q1+Qg_Q2)*Fsw+IQ</f>
        <v>#NAME?</v>
      </c>
      <c r="C180" s="12" t="s">
        <v>1</v>
      </c>
      <c r="D180" s="7"/>
      <c r="F180" s="7"/>
      <c r="G180" s="7"/>
      <c r="H180" s="7"/>
      <c r="I180" s="25"/>
    </row>
    <row r="181" spans="1:9" x14ac:dyDescent="0.25">
      <c r="A181" s="56" t="s">
        <v>88</v>
      </c>
      <c r="B181" s="12" t="e">
        <f>Qrr_Q2*Fsw</f>
        <v>#NAME?</v>
      </c>
      <c r="C181" s="12" t="s">
        <v>1</v>
      </c>
      <c r="D181" s="7"/>
      <c r="F181" s="7"/>
      <c r="G181" s="7"/>
      <c r="H181" s="7"/>
      <c r="I181" s="25"/>
    </row>
    <row r="182" spans="1:9" x14ac:dyDescent="0.25">
      <c r="A182" s="56" t="s">
        <v>89</v>
      </c>
      <c r="B182" s="12" t="e">
        <f>C182/Vin</f>
        <v>#NAME?</v>
      </c>
      <c r="C182" s="12" t="e">
        <f>Deadtime*Fsw*(Ipp/2)*(Vsd_Q1+Vsd_Q2)</f>
        <v>#NAME?</v>
      </c>
      <c r="D182" s="7"/>
      <c r="F182" s="7"/>
      <c r="G182" s="7"/>
      <c r="H182" s="7"/>
      <c r="I182" s="25"/>
    </row>
    <row r="183" spans="1:9" x14ac:dyDescent="0.25">
      <c r="A183" s="56" t="s">
        <v>91</v>
      </c>
      <c r="B183" s="12" t="e">
        <f>SUM(B180:B182)</f>
        <v>#NAME?</v>
      </c>
      <c r="C183" s="12" t="s">
        <v>1</v>
      </c>
      <c r="D183" s="7"/>
      <c r="F183" s="7"/>
      <c r="G183" s="7"/>
      <c r="H183" s="7"/>
      <c r="I183" s="25"/>
    </row>
    <row r="184" spans="1:9" ht="13.8" thickBot="1" x14ac:dyDescent="0.3">
      <c r="A184" s="28"/>
      <c r="B184" s="29"/>
      <c r="C184" s="163"/>
      <c r="D184" s="29"/>
      <c r="E184" s="29"/>
      <c r="F184" s="29"/>
      <c r="G184" s="29"/>
      <c r="H184" s="29"/>
      <c r="I184" s="30"/>
    </row>
    <row r="185" spans="1:9" x14ac:dyDescent="0.25">
      <c r="A185" s="2"/>
      <c r="B185" s="2"/>
      <c r="C185" s="2"/>
    </row>
    <row r="186" spans="1:9" ht="21.75" customHeight="1" thickBot="1" x14ac:dyDescent="0.35">
      <c r="A186" s="50" t="s">
        <v>85</v>
      </c>
      <c r="B186" s="7"/>
      <c r="C186" s="39"/>
      <c r="D186" s="7"/>
      <c r="E186" s="7"/>
      <c r="F186" s="7"/>
      <c r="G186" s="7"/>
      <c r="H186" s="7"/>
      <c r="I186" s="7"/>
    </row>
    <row r="187" spans="1:9" x14ac:dyDescent="0.25">
      <c r="A187" s="52"/>
      <c r="B187" s="31"/>
      <c r="C187" s="162"/>
      <c r="D187" s="31"/>
      <c r="E187" s="57"/>
      <c r="F187" s="57"/>
      <c r="G187" s="57"/>
      <c r="H187" s="57"/>
      <c r="I187" s="32"/>
    </row>
    <row r="188" spans="1:9" x14ac:dyDescent="0.25">
      <c r="A188" s="24"/>
      <c r="B188" s="111"/>
      <c r="C188" s="39"/>
      <c r="D188" s="7"/>
      <c r="E188" s="203"/>
      <c r="F188" s="203"/>
      <c r="G188" s="203"/>
      <c r="H188" s="203"/>
      <c r="I188" s="25"/>
    </row>
    <row r="189" spans="1:9" x14ac:dyDescent="0.25">
      <c r="A189" s="24" t="str">
        <f>"RUV1 = "&amp;'Design PSR Flyback Converter'!E37&amp;"MΩ"</f>
        <v>RUV1 = 340MΩ</v>
      </c>
      <c r="B189" s="7" t="str">
        <f>C230</f>
        <v>340kΩ</v>
      </c>
      <c r="C189" s="39"/>
      <c r="D189" s="7"/>
      <c r="E189" s="203"/>
      <c r="F189" s="203"/>
      <c r="G189" s="203"/>
      <c r="H189" s="203"/>
      <c r="I189" s="25"/>
    </row>
    <row r="190" spans="1:9" x14ac:dyDescent="0.25">
      <c r="A190" s="24" t="str">
        <f>"RUV2 = "&amp;'Design PSR Flyback Converter'!E38&amp;"kΩ"</f>
        <v>RUV2 = 68.1kΩ</v>
      </c>
      <c r="B190" s="7" t="str">
        <f>C231</f>
        <v>68.1kΩ</v>
      </c>
      <c r="C190" s="39"/>
      <c r="D190" s="7"/>
      <c r="E190" s="203"/>
      <c r="F190" s="203"/>
      <c r="G190" s="203"/>
      <c r="H190" s="203"/>
      <c r="I190" s="25"/>
    </row>
    <row r="191" spans="1:9" x14ac:dyDescent="0.25">
      <c r="A191" s="24"/>
      <c r="B191" s="7"/>
      <c r="C191" s="39"/>
      <c r="D191" s="7"/>
      <c r="E191" s="203"/>
      <c r="F191" s="203"/>
      <c r="G191" s="203"/>
      <c r="H191" s="203"/>
      <c r="I191" s="25"/>
    </row>
    <row r="192" spans="1:9" x14ac:dyDescent="0.25">
      <c r="A192" s="24" t="str">
        <f>"Lmag = "&amp;'Design PSR Flyback Converter'!L7&amp;"µH"</f>
        <v>Lmag = 7µH</v>
      </c>
      <c r="B192" s="7" t="str">
        <f>'Design PSR Flyback Converter'!L7&amp;"µH"</f>
        <v>7µH</v>
      </c>
      <c r="C192" s="39"/>
      <c r="D192" s="7"/>
      <c r="E192" s="7"/>
      <c r="F192" s="7"/>
      <c r="G192" s="7"/>
      <c r="H192" s="7"/>
      <c r="I192" s="25"/>
    </row>
    <row r="193" spans="1:9" x14ac:dyDescent="0.25">
      <c r="A193" s="24" t="str">
        <f>"Rdcr = "&amp;Rdcr_pri*1000&amp;"mΩ"</f>
        <v>Rdcr = 0mΩ</v>
      </c>
      <c r="B193" s="202" t="str">
        <f>Rdcr_pri*1000&amp;"mΩ"</f>
        <v>0mΩ</v>
      </c>
      <c r="C193" s="39"/>
      <c r="D193" s="7"/>
      <c r="E193" s="7"/>
      <c r="F193" s="7"/>
      <c r="G193" s="7"/>
      <c r="H193" s="7"/>
      <c r="I193" s="25"/>
    </row>
    <row r="194" spans="1:9" x14ac:dyDescent="0.25">
      <c r="A194" s="110" t="s">
        <v>395</v>
      </c>
      <c r="B194" s="202" t="str">
        <f>W44</f>
        <v>1.5 : 1 : 0.5</v>
      </c>
      <c r="C194" s="39"/>
      <c r="D194" s="7"/>
      <c r="E194" s="7"/>
      <c r="F194" s="7"/>
      <c r="G194" s="7"/>
      <c r="H194" s="7"/>
      <c r="I194" s="25"/>
    </row>
    <row r="195" spans="1:9" x14ac:dyDescent="0.25">
      <c r="A195" s="24"/>
      <c r="B195" s="202"/>
      <c r="C195" s="39"/>
      <c r="D195" s="7"/>
      <c r="E195" s="7"/>
      <c r="F195" s="7"/>
      <c r="G195" s="7"/>
      <c r="H195" s="7"/>
      <c r="I195" s="25"/>
    </row>
    <row r="196" spans="1:9" x14ac:dyDescent="0.25">
      <c r="A196" s="24" t="str">
        <f>"Css = "&amp;ROUND(Css_u*1000000000,1)&amp;"nF"</f>
        <v>Css = 47nF</v>
      </c>
      <c r="B196" s="7" t="str">
        <f>ROUND(Css_u*1000000000,1)&amp;"nF"</f>
        <v>47nF</v>
      </c>
      <c r="C196" s="39"/>
      <c r="D196" s="7"/>
      <c r="E196" s="7"/>
      <c r="F196" s="7"/>
      <c r="G196" s="7"/>
      <c r="H196" s="7"/>
      <c r="I196" s="25"/>
    </row>
    <row r="197" spans="1:9" x14ac:dyDescent="0.25">
      <c r="A197" s="24"/>
      <c r="B197" s="7"/>
      <c r="C197" s="39"/>
      <c r="D197" s="7"/>
      <c r="E197" s="7"/>
      <c r="F197" s="7"/>
      <c r="G197" s="7"/>
      <c r="H197" s="7"/>
      <c r="I197" s="25"/>
    </row>
    <row r="198" spans="1:9" x14ac:dyDescent="0.25">
      <c r="A198" s="24" t="s">
        <v>57</v>
      </c>
      <c r="B198" s="7" t="str">
        <f>VIN_nom&amp;"V"</f>
        <v>15V</v>
      </c>
      <c r="C198" s="39"/>
      <c r="D198" s="7"/>
      <c r="E198" s="7"/>
      <c r="F198" s="7"/>
      <c r="G198" s="7"/>
      <c r="H198" s="7"/>
      <c r="I198" s="25"/>
    </row>
    <row r="199" spans="1:9" x14ac:dyDescent="0.25">
      <c r="A199" s="110" t="s">
        <v>188</v>
      </c>
      <c r="B199" s="7" t="str">
        <f>VIN_min&amp;"V..."&amp;VIN_max&amp;"V"</f>
        <v>12V...17V</v>
      </c>
      <c r="C199" s="39"/>
      <c r="D199" s="7"/>
      <c r="E199" s="7"/>
      <c r="F199" s="7"/>
      <c r="G199" s="7"/>
      <c r="H199" s="7"/>
      <c r="I199" s="25"/>
    </row>
    <row r="200" spans="1:9" x14ac:dyDescent="0.25">
      <c r="A200" s="110"/>
      <c r="B200" s="7"/>
      <c r="C200" s="39"/>
      <c r="D200" s="7"/>
      <c r="E200" s="7"/>
      <c r="F200" s="7"/>
      <c r="G200" s="7"/>
      <c r="H200" s="7"/>
      <c r="I200" s="25"/>
    </row>
    <row r="201" spans="1:9" x14ac:dyDescent="0.25">
      <c r="A201" s="24" t="str">
        <f>"VOUT = "&amp;'Design PSR Flyback Converter'!E10&amp;"V"</f>
        <v>VOUT = 15V</v>
      </c>
      <c r="B201" s="7" t="str">
        <f>'Design PSR Flyback Converter'!E10&amp;"V"</f>
        <v>15V</v>
      </c>
      <c r="C201" s="39"/>
      <c r="D201" s="7">
        <f>MODE</f>
        <v>2</v>
      </c>
      <c r="E201" s="7"/>
      <c r="F201" s="7"/>
      <c r="G201" s="7"/>
      <c r="H201" s="7"/>
      <c r="I201" s="25"/>
    </row>
    <row r="202" spans="1:9" x14ac:dyDescent="0.25">
      <c r="A202" s="24" t="str">
        <f>"VOUT2 = "&amp;'Design PSR Flyback Converter'!E12&amp;"V"</f>
        <v>VOUT2 = 7V</v>
      </c>
      <c r="B202" s="7" t="str">
        <f>IF(MODE_TOP="DUAL", 'Design PSR Flyback Converter'!E12&amp;"V", "")</f>
        <v>7V</v>
      </c>
      <c r="C202" s="39"/>
      <c r="D202" s="77" t="b">
        <f>MODE=2</f>
        <v>1</v>
      </c>
      <c r="E202" s="7"/>
      <c r="F202" s="7"/>
      <c r="G202" s="7"/>
      <c r="H202" s="7"/>
      <c r="I202" s="25"/>
    </row>
    <row r="203" spans="1:9" x14ac:dyDescent="0.25">
      <c r="A203" s="24" t="str">
        <f>"VOUT2 = "&amp;'Design PSR Flyback Converter'!E12&amp;"V"</f>
        <v>VOUT2 = 7V</v>
      </c>
      <c r="B203" s="7" t="str">
        <f>IF(MODE_TOP="BIPOLAR", 'Design PSR Flyback Converter'!E12&amp;"V", "")</f>
        <v/>
      </c>
      <c r="C203" s="39"/>
      <c r="D203" s="7"/>
      <c r="E203" s="7"/>
      <c r="F203" s="7"/>
      <c r="G203" s="7"/>
      <c r="H203" s="7"/>
      <c r="I203" s="25"/>
    </row>
    <row r="204" spans="1:9" x14ac:dyDescent="0.25">
      <c r="A204" s="24"/>
      <c r="B204" s="7"/>
      <c r="C204" s="39"/>
      <c r="D204" s="7"/>
      <c r="E204" s="7"/>
      <c r="F204" s="7"/>
      <c r="G204" s="7"/>
      <c r="H204" s="7"/>
      <c r="I204" s="25"/>
    </row>
    <row r="205" spans="1:9" x14ac:dyDescent="0.25">
      <c r="A205" s="400" t="s">
        <v>523</v>
      </c>
      <c r="B205" s="77" t="str">
        <f>IF(MODE=1, "", "Co1")</f>
        <v>Co1</v>
      </c>
      <c r="C205" s="77" t="str">
        <f>IF(MODE_TOP="DUAL", "Co2", "")</f>
        <v>Co2</v>
      </c>
      <c r="D205" s="77" t="str">
        <f>IF(MODE_TOP="BIPOLAR", "Co2", "")</f>
        <v/>
      </c>
      <c r="E205" s="7"/>
      <c r="F205" s="77" t="str">
        <f>MODE_TOP</f>
        <v>DUAL</v>
      </c>
      <c r="G205" s="7"/>
      <c r="H205" s="7"/>
      <c r="I205" s="25"/>
    </row>
    <row r="206" spans="1:9" x14ac:dyDescent="0.25">
      <c r="A206" s="24" t="str">
        <f>"COUT = "&amp;'Design PSR Flyback Converter'!$E$21&amp;"µF"</f>
        <v>COUT = 44µF</v>
      </c>
      <c r="B206" s="7" t="str">
        <f>'Design PSR Flyback Converter'!$E$21&amp;"µF"</f>
        <v>44µF</v>
      </c>
      <c r="C206" s="7" t="str">
        <f>IF(MODE_TOP="DUAL", 'Design PSR Flyback Converter'!$L$21&amp;"µF", "")</f>
        <v>44µF</v>
      </c>
      <c r="D206" s="7" t="str">
        <f>IF(MODE_TOP="BIPOLAR", 'Design PSR Flyback Converter'!$L$21&amp;"µF", "")</f>
        <v/>
      </c>
      <c r="E206" s="7"/>
      <c r="F206" s="7" t="str">
        <f>'Design PSR Flyback Converter'!$L$21&amp;"µF"</f>
        <v>44µF</v>
      </c>
      <c r="G206" s="7"/>
      <c r="H206" s="7"/>
      <c r="I206" s="25"/>
    </row>
    <row r="207" spans="1:9" x14ac:dyDescent="0.25">
      <c r="A207" s="110" t="s">
        <v>134</v>
      </c>
      <c r="B207" s="7" t="str">
        <f>"22µF"</f>
        <v>22µF</v>
      </c>
      <c r="C207" s="39"/>
      <c r="D207" s="7"/>
      <c r="E207" s="7"/>
      <c r="F207" s="7"/>
      <c r="G207" s="7"/>
      <c r="H207" s="7"/>
      <c r="I207" s="25"/>
    </row>
    <row r="208" spans="1:9" x14ac:dyDescent="0.25">
      <c r="A208" s="110" t="s">
        <v>135</v>
      </c>
      <c r="B208" s="78" t="str">
        <f>ROUNDUP(Cout/22,0)&amp;" x"</f>
        <v>2 x</v>
      </c>
      <c r="C208" s="164"/>
      <c r="D208" s="7"/>
      <c r="E208" s="7"/>
      <c r="F208" s="7"/>
      <c r="G208" s="7"/>
      <c r="H208" s="7"/>
      <c r="I208" s="25"/>
    </row>
    <row r="209" spans="1:9" x14ac:dyDescent="0.25">
      <c r="A209" s="110"/>
      <c r="B209" s="78">
        <f>Cout</f>
        <v>44</v>
      </c>
      <c r="C209" s="164"/>
      <c r="D209" s="7"/>
      <c r="E209" s="7"/>
      <c r="F209" s="7"/>
      <c r="G209" s="7"/>
      <c r="H209" s="7"/>
      <c r="I209" s="25"/>
    </row>
    <row r="210" spans="1:9" x14ac:dyDescent="0.25">
      <c r="A210" s="400" t="s">
        <v>524</v>
      </c>
      <c r="B210" s="7"/>
      <c r="C210" s="39"/>
      <c r="D210" s="7"/>
      <c r="E210" s="7"/>
      <c r="F210" s="7"/>
      <c r="G210" s="7"/>
      <c r="H210" s="7"/>
      <c r="I210" s="25"/>
    </row>
    <row r="211" spans="1:9" x14ac:dyDescent="0.25">
      <c r="A211" s="24" t="s">
        <v>95</v>
      </c>
      <c r="B211" s="7" t="str">
        <f>Cin&amp;"µF"</f>
        <v>10µF</v>
      </c>
      <c r="E211" s="7"/>
      <c r="F211" s="7"/>
      <c r="G211" s="7"/>
      <c r="H211" s="7"/>
      <c r="I211" s="25"/>
    </row>
    <row r="212" spans="1:9" x14ac:dyDescent="0.25">
      <c r="A212" s="110" t="s">
        <v>133</v>
      </c>
      <c r="B212" s="7" t="str">
        <f>"4.7µF"</f>
        <v>4.7µF</v>
      </c>
      <c r="C212" s="39"/>
      <c r="D212" s="7"/>
      <c r="E212" s="7"/>
      <c r="F212" s="7"/>
      <c r="G212" s="7"/>
      <c r="H212" s="7"/>
      <c r="I212" s="25"/>
    </row>
    <row r="213" spans="1:9" x14ac:dyDescent="0.25">
      <c r="A213" s="110" t="s">
        <v>132</v>
      </c>
      <c r="B213" s="78" t="str">
        <f>ROUNDUP(Cin/4.7,0)&amp;" x"</f>
        <v>3 x</v>
      </c>
      <c r="C213" s="164"/>
      <c r="D213" s="7"/>
      <c r="E213" s="7"/>
      <c r="F213" s="7"/>
      <c r="G213" s="7"/>
      <c r="H213" s="7"/>
      <c r="I213" s="25"/>
    </row>
    <row r="214" spans="1:9" x14ac:dyDescent="0.25">
      <c r="A214" s="110"/>
      <c r="B214" s="78"/>
      <c r="D214" s="7"/>
      <c r="E214" s="7"/>
      <c r="F214" s="7"/>
      <c r="G214" s="7"/>
      <c r="H214" s="7"/>
      <c r="I214" s="25"/>
    </row>
    <row r="215" spans="1:9" ht="15.6" x14ac:dyDescent="0.35">
      <c r="A215" s="110" t="s">
        <v>525</v>
      </c>
      <c r="B215" s="593" t="s">
        <v>526</v>
      </c>
      <c r="C215" s="593" t="s">
        <v>567</v>
      </c>
      <c r="D215" s="7"/>
      <c r="E215" s="7"/>
      <c r="F215" s="7"/>
      <c r="G215" s="7"/>
      <c r="H215" s="7"/>
      <c r="I215" s="25"/>
    </row>
    <row r="216" spans="1:9" x14ac:dyDescent="0.25">
      <c r="A216" s="110"/>
      <c r="B216" s="78"/>
      <c r="D216" s="7"/>
      <c r="E216" s="7"/>
      <c r="F216" s="7"/>
      <c r="G216" s="7"/>
      <c r="H216" s="7"/>
      <c r="I216" s="25"/>
    </row>
    <row r="217" spans="1:9" x14ac:dyDescent="0.25">
      <c r="A217" s="400" t="s">
        <v>394</v>
      </c>
      <c r="B217" s="164" t="str">
        <f>IF(MODE_TC=1, "YES", "NO")</f>
        <v>YES</v>
      </c>
      <c r="D217" s="7"/>
      <c r="E217" s="7"/>
      <c r="F217" s="7"/>
      <c r="G217" s="7"/>
      <c r="H217" s="7"/>
      <c r="I217" s="25"/>
    </row>
    <row r="218" spans="1:9" x14ac:dyDescent="0.25">
      <c r="A218" s="110" t="s">
        <v>301</v>
      </c>
      <c r="B218" s="164" t="str">
        <f>IF(MODE_TC=2, "YES", "NO")</f>
        <v>NO</v>
      </c>
      <c r="C218" s="390" t="str">
        <f>IF(MODE_TC=2, "R1", "")</f>
        <v/>
      </c>
      <c r="D218" s="390" t="str">
        <f>IF(MODE_TC=2, "R2", "")</f>
        <v/>
      </c>
      <c r="E218" s="390"/>
      <c r="F218" s="7"/>
      <c r="G218" s="7"/>
      <c r="H218" s="7"/>
      <c r="I218" s="25"/>
    </row>
    <row r="219" spans="1:9" x14ac:dyDescent="0.25">
      <c r="A219" s="24" t="str">
        <f>"RFB = "&amp;'Design PSR Flyback Converter'!E26&amp;"kΩ"</f>
        <v>RFB = 238.5kΩ</v>
      </c>
      <c r="B219" s="7" t="str">
        <f>IF(MODE_TC=1, "", 'Design PSR Flyback Converter'!E26&amp;"kΩ")</f>
        <v/>
      </c>
      <c r="C219" s="77" t="str">
        <f>'Design PSR Flyback Converter'!E26&amp;"kΩ"</f>
        <v>238.5kΩ</v>
      </c>
      <c r="D219" s="7"/>
      <c r="E219" s="7"/>
      <c r="F219" s="7"/>
      <c r="G219" s="7"/>
      <c r="H219" s="7"/>
      <c r="I219" s="25"/>
    </row>
    <row r="220" spans="1:9" x14ac:dyDescent="0.25">
      <c r="A220" s="24" t="str">
        <f>"RFB2 = "&amp;IF(Vout=Vref,"OPEN",'Design PSR Flyback Converter'!E27&amp;"kΩ")</f>
        <v>RFB2 = 240kΩ</v>
      </c>
      <c r="B220" s="7" t="str">
        <f>IF(MODE_TC=1, "", IF(Vout=Vref,"OPEN",Rfb2_u/1000&amp;"kΩ"))</f>
        <v/>
      </c>
      <c r="C220" s="77" t="str">
        <f>'Design PSR Flyback Converter'!E27&amp;"kΩ"</f>
        <v>240kΩ</v>
      </c>
      <c r="D220" s="7"/>
      <c r="E220" s="7"/>
      <c r="F220" s="7"/>
      <c r="G220" s="7"/>
      <c r="H220" s="7"/>
      <c r="I220" s="25"/>
    </row>
    <row r="221" spans="1:9" x14ac:dyDescent="0.25">
      <c r="A221" s="24"/>
      <c r="B221" s="7"/>
      <c r="C221" s="77"/>
      <c r="D221" s="7"/>
      <c r="E221" s="7"/>
      <c r="F221" s="7"/>
      <c r="G221" s="7"/>
      <c r="H221" s="7"/>
      <c r="I221" s="25"/>
    </row>
    <row r="222" spans="1:9" x14ac:dyDescent="0.25">
      <c r="A222" s="110" t="s">
        <v>305</v>
      </c>
      <c r="B222" s="39" t="str">
        <f>IF(MODE=1, "YES", "NO")</f>
        <v>NO</v>
      </c>
      <c r="C222" s="7" t="str">
        <f>IF(MODE=1,"Rt", "")</f>
        <v/>
      </c>
      <c r="D222" s="7"/>
      <c r="E222" s="7"/>
      <c r="F222" s="7"/>
      <c r="G222" s="7"/>
      <c r="H222" s="7"/>
      <c r="I222" s="25"/>
    </row>
    <row r="223" spans="1:9" x14ac:dyDescent="0.25">
      <c r="A223" s="110" t="s">
        <v>139</v>
      </c>
      <c r="B223" s="7" t="str">
        <f>IF(MODE=2, "", 'Standard Value Calculator'!J4/1000&amp;"kΩ")</f>
        <v/>
      </c>
      <c r="C223" s="39"/>
      <c r="D223" s="7"/>
      <c r="E223" s="7"/>
      <c r="F223" s="7"/>
      <c r="G223" s="7"/>
      <c r="H223" s="7"/>
      <c r="I223" s="25"/>
    </row>
    <row r="224" spans="1:9" x14ac:dyDescent="0.25">
      <c r="A224" s="110"/>
      <c r="B224" s="7"/>
      <c r="C224" s="39"/>
      <c r="D224" s="7"/>
      <c r="E224" s="7"/>
      <c r="F224" s="7"/>
      <c r="G224" s="7"/>
      <c r="H224" s="7"/>
      <c r="I224" s="25"/>
    </row>
    <row r="225" spans="1:9" x14ac:dyDescent="0.25">
      <c r="A225" s="400" t="s">
        <v>384</v>
      </c>
      <c r="B225" s="164" t="str">
        <f>IF(MODE=1, "YES", "NO")</f>
        <v>NO</v>
      </c>
      <c r="C225" s="77" t="str">
        <f>IF(TC=1,"Rtc", "")</f>
        <v>Rtc</v>
      </c>
      <c r="D225" s="7"/>
      <c r="E225" s="7"/>
      <c r="F225" s="7"/>
      <c r="G225" s="7"/>
      <c r="H225" s="7"/>
      <c r="I225" s="25"/>
    </row>
    <row r="226" spans="1:9" x14ac:dyDescent="0.25">
      <c r="A226" s="535" t="str">
        <f>"RTC = "&amp;RTC&amp;"kΩ"</f>
        <v>RTC = 316kΩ</v>
      </c>
      <c r="B226" s="7" t="str">
        <f>IF(TC=1, RTC&amp;"kΩ", "")</f>
        <v>316kΩ</v>
      </c>
      <c r="C226" s="77" t="str">
        <f>CHOOSE(TC,"Rtc","")</f>
        <v>Rtc</v>
      </c>
      <c r="D226" s="7"/>
      <c r="E226" s="7"/>
      <c r="F226" s="8"/>
      <c r="G226" s="7"/>
      <c r="H226" s="7"/>
      <c r="I226" s="25"/>
    </row>
    <row r="227" spans="1:9" x14ac:dyDescent="0.25">
      <c r="A227" s="110" t="s">
        <v>387</v>
      </c>
      <c r="B227" s="371"/>
      <c r="C227" s="7"/>
      <c r="D227" s="7"/>
      <c r="E227" s="7"/>
      <c r="F227" s="8"/>
      <c r="G227" s="7"/>
      <c r="H227" s="7"/>
      <c r="I227" s="25"/>
    </row>
    <row r="228" spans="1:9" x14ac:dyDescent="0.25">
      <c r="A228" s="24"/>
      <c r="B228" s="78"/>
      <c r="C228" s="164"/>
      <c r="D228" s="7"/>
      <c r="E228" s="113"/>
      <c r="F228" s="7"/>
      <c r="G228" s="7"/>
      <c r="H228" s="7"/>
      <c r="I228" s="25"/>
    </row>
    <row r="229" spans="1:9" x14ac:dyDescent="0.25">
      <c r="A229" s="400" t="s">
        <v>309</v>
      </c>
      <c r="B229" s="164" t="str">
        <f>IF(MODE_UVLO=1, "YES", "NO")</f>
        <v>YES</v>
      </c>
      <c r="C229" s="390" t="str">
        <f>IF(MODE_UVLO=1, "Ruv1", "")</f>
        <v>Ruv1</v>
      </c>
      <c r="D229" s="390" t="str">
        <f>IF(MODE_UVLO=1, "Ruv2", "")</f>
        <v>Ruv2</v>
      </c>
      <c r="E229" s="390"/>
      <c r="F229" s="390" t="s">
        <v>6</v>
      </c>
      <c r="G229" s="390" t="s">
        <v>33</v>
      </c>
      <c r="H229" s="77" t="s">
        <v>343</v>
      </c>
      <c r="I229" s="25"/>
    </row>
    <row r="230" spans="1:9" x14ac:dyDescent="0.25">
      <c r="A230" s="24" t="str">
        <f>"RUV1 = "&amp;C230</f>
        <v>RUV1 = 340kΩ</v>
      </c>
      <c r="B230" s="7" t="str">
        <f>'Design PSR Flyback Converter'!E37&amp;" kΩ"</f>
        <v>340 kΩ</v>
      </c>
      <c r="C230" s="390" t="str">
        <f>IF(MODE_UVLO=1,'Design PSR Flyback Converter'!E37&amp;"kΩ", "")</f>
        <v>340kΩ</v>
      </c>
      <c r="F230" s="7">
        <f>IF(MODE_UVLO=1,'Design PSR Flyback Converter'!E37, "")</f>
        <v>340</v>
      </c>
      <c r="G230" s="77" t="str">
        <f>IF(MODE_UVLO=1,"kΩ", "")</f>
        <v>kΩ</v>
      </c>
      <c r="H230" s="390" t="str">
        <f>IF(MODE_UVLO=1,'Design PSR Flyback Converter'!E37&amp;"k", "")</f>
        <v>340k</v>
      </c>
      <c r="I230" s="25"/>
    </row>
    <row r="231" spans="1:9" x14ac:dyDescent="0.25">
      <c r="A231" s="24" t="str">
        <f>"RUV2 = "&amp;C231</f>
        <v>RUV2 = 68.1kΩ</v>
      </c>
      <c r="B231" s="7" t="str">
        <f>IF(D143&gt;=1000, D143/1000&amp;" MΩ", D143&amp;" kΩ")</f>
        <v>68.1 kΩ</v>
      </c>
      <c r="C231" s="390" t="str">
        <f>IF(MODE_UVLO=1, IF(D143&lt;1, D143*1000&amp;"Ω", IF(D143&lt;1000, D143&amp;"kΩ", D143/1000&amp;"MΩ")), "")</f>
        <v>68.1kΩ</v>
      </c>
      <c r="F231" s="7">
        <f>IF(MODE_UVLO=1, IF(D143&lt;1, D143*1000, IF(D143&lt;1000, D143, D143/1000)), "")</f>
        <v>68.100000000000009</v>
      </c>
      <c r="G231" s="77" t="str">
        <f>IF(MODE_UVLO=1, IF(D143&lt;1, "Ω", IF(D143&lt;1000,"kΩ", "MΩ")), "")</f>
        <v>kΩ</v>
      </c>
      <c r="H231" s="390" t="str">
        <f>IF(MODE_UVLO=1, IF(D143&lt;1, D143*1000, IF(D143&lt;1000, D143&amp;"k", D143/1000&amp;"M")), "")</f>
        <v>68.1k</v>
      </c>
      <c r="I231" s="25"/>
    </row>
    <row r="232" spans="1:9" x14ac:dyDescent="0.25">
      <c r="A232" s="24"/>
      <c r="B232" s="7"/>
      <c r="C232" s="390"/>
      <c r="F232" s="7"/>
      <c r="G232" s="77"/>
      <c r="H232" s="390"/>
      <c r="I232" s="25"/>
    </row>
    <row r="233" spans="1:9" x14ac:dyDescent="0.25">
      <c r="A233" s="400" t="s">
        <v>388</v>
      </c>
      <c r="B233" s="7"/>
      <c r="C233" s="390"/>
      <c r="F233" s="7"/>
      <c r="G233" s="77"/>
      <c r="H233" s="390"/>
      <c r="I233" s="25"/>
    </row>
    <row r="234" spans="1:9" x14ac:dyDescent="0.25">
      <c r="A234" s="24" t="str">
        <f>"RSET = "&amp;C234</f>
        <v>RSET = 12.1kΩ</v>
      </c>
      <c r="B234" s="77" t="s">
        <v>383</v>
      </c>
      <c r="C234" s="77" t="s">
        <v>547</v>
      </c>
      <c r="F234" s="7">
        <f>IF(MODE_UVLO=1, IF(D144&lt;1, D144*1000, IF(D144&lt;1000, D144, D144/1000)), "")</f>
        <v>0</v>
      </c>
      <c r="G234" s="77" t="str">
        <f>IF(MODE_UVLO=1, IF(D144&lt;1, "Ω", IF(D144&lt;1000,"kΩ", "MΩ")), "")</f>
        <v>Ω</v>
      </c>
      <c r="H234" s="390">
        <f>IF(MODE_UVLO=1, IF(D144&lt;1, D144*1000, IF(D144&lt;1000, D144&amp;"k", D144&amp;"M")), "")</f>
        <v>0</v>
      </c>
      <c r="I234" s="25"/>
    </row>
    <row r="235" spans="1:9" x14ac:dyDescent="0.25">
      <c r="A235" s="24"/>
      <c r="B235" s="77"/>
      <c r="C235" s="77"/>
      <c r="F235" s="7"/>
      <c r="G235" s="77"/>
      <c r="H235" s="390"/>
      <c r="I235" s="25"/>
    </row>
    <row r="236" spans="1:9" x14ac:dyDescent="0.25">
      <c r="A236" s="400" t="s">
        <v>389</v>
      </c>
      <c r="B236" s="78"/>
      <c r="C236" s="164"/>
      <c r="D236" s="7"/>
      <c r="E236" s="113"/>
      <c r="F236" s="7"/>
      <c r="G236" s="7"/>
      <c r="H236" s="7"/>
      <c r="I236" s="25"/>
    </row>
    <row r="237" spans="1:9" x14ac:dyDescent="0.25">
      <c r="A237" s="24" t="str">
        <f>"Css = "&amp;Css*1000000000&amp;"nF"</f>
        <v>Css = 45nF</v>
      </c>
      <c r="B237" s="7" t="str">
        <f>Css*1000000000&amp;"nF"</f>
        <v>45nF</v>
      </c>
      <c r="D237" s="7"/>
      <c r="E237" s="7"/>
      <c r="F237" s="7"/>
      <c r="G237" s="7"/>
      <c r="H237" s="7"/>
      <c r="I237" s="25"/>
    </row>
    <row r="238" spans="1:9" x14ac:dyDescent="0.25">
      <c r="A238" s="24" t="s">
        <v>66</v>
      </c>
      <c r="B238" s="7" t="str">
        <f>CHOOSE(MODE_SS,'Standard Value Calculator'!B4*1000000000&amp;"nF","")</f>
        <v>47nF</v>
      </c>
      <c r="C238" s="7" t="str">
        <f>CHOOSE(MODE_SS,"Css","")</f>
        <v>Css</v>
      </c>
      <c r="D238" s="401" t="str">
        <f>B238</f>
        <v>47nF</v>
      </c>
      <c r="E238" s="7"/>
      <c r="F238" s="7"/>
      <c r="G238" s="7"/>
      <c r="H238" s="7"/>
      <c r="I238" s="25"/>
    </row>
    <row r="239" spans="1:9" x14ac:dyDescent="0.25">
      <c r="A239" s="24"/>
      <c r="B239" s="7"/>
      <c r="C239" s="77" t="str">
        <f>C238</f>
        <v>Css</v>
      </c>
      <c r="D239" s="39"/>
      <c r="E239" s="7"/>
      <c r="F239" s="7"/>
      <c r="G239" s="7"/>
      <c r="H239" s="7"/>
      <c r="I239" s="25"/>
    </row>
    <row r="240" spans="1:9" x14ac:dyDescent="0.25">
      <c r="A240" s="24"/>
      <c r="B240" s="7"/>
      <c r="C240" s="77"/>
      <c r="D240" s="39"/>
      <c r="E240" s="7"/>
      <c r="F240" s="7"/>
      <c r="G240" s="7"/>
      <c r="H240" s="7"/>
      <c r="I240" s="25"/>
    </row>
    <row r="241" spans="1:9" x14ac:dyDescent="0.25">
      <c r="A241" s="110" t="s">
        <v>658</v>
      </c>
      <c r="B241" s="77">
        <f>ROUND(Iout*2,1)</f>
        <v>2</v>
      </c>
      <c r="C241" s="77" t="s">
        <v>1</v>
      </c>
      <c r="D241" s="7"/>
      <c r="E241" s="7"/>
      <c r="F241" s="7"/>
      <c r="G241" s="7"/>
      <c r="H241" s="7"/>
      <c r="I241" s="25"/>
    </row>
    <row r="242" spans="1:9" x14ac:dyDescent="0.25">
      <c r="A242" s="110" t="s">
        <v>659</v>
      </c>
      <c r="B242">
        <f>ROUND(VRRM_DIODE,0)</f>
        <v>26</v>
      </c>
      <c r="C242" s="77" t="s">
        <v>0</v>
      </c>
      <c r="D242" s="7"/>
      <c r="E242" s="7"/>
      <c r="F242" s="7"/>
      <c r="G242" s="7"/>
      <c r="H242" s="7"/>
      <c r="I242" s="25"/>
    </row>
    <row r="243" spans="1:9" x14ac:dyDescent="0.25">
      <c r="F243" s="7"/>
      <c r="G243" s="7"/>
      <c r="H243" s="7"/>
      <c r="I243" s="25"/>
    </row>
    <row r="244" spans="1:9" x14ac:dyDescent="0.25">
      <c r="A244" s="110"/>
      <c r="B244" s="371"/>
      <c r="C244" s="7"/>
      <c r="D244" s="7"/>
      <c r="E244" s="7"/>
      <c r="F244" s="7"/>
      <c r="G244" s="7"/>
      <c r="H244" s="7"/>
      <c r="I244" s="25"/>
    </row>
    <row r="245" spans="1:9" x14ac:dyDescent="0.25">
      <c r="A245" s="110" t="s">
        <v>129</v>
      </c>
      <c r="B245" s="77" t="s">
        <v>314</v>
      </c>
      <c r="C245" s="7"/>
      <c r="D245" s="7"/>
      <c r="E245" s="7"/>
      <c r="F245" s="7"/>
      <c r="G245" s="7"/>
      <c r="H245" s="7"/>
      <c r="I245" s="25"/>
    </row>
    <row r="246" spans="1:9" x14ac:dyDescent="0.25">
      <c r="A246" s="110"/>
      <c r="B246" s="77"/>
      <c r="C246" s="7"/>
      <c r="D246" s="7"/>
      <c r="E246" s="7"/>
      <c r="F246" s="7"/>
      <c r="G246" s="7"/>
      <c r="H246" s="7"/>
      <c r="I246" s="25"/>
    </row>
    <row r="247" spans="1:9" x14ac:dyDescent="0.25">
      <c r="A247" s="110" t="s">
        <v>184</v>
      </c>
      <c r="B247" s="357" t="str">
        <f>CHOOSE(MODE, ROUND('Calculations - Single'!$CA$105,1)&amp;"%", ROUND('Calculations - Dual'!CB105,1)&amp;"%")</f>
        <v>90.1%</v>
      </c>
      <c r="C247" s="7"/>
      <c r="D247" s="7"/>
      <c r="E247" s="7"/>
      <c r="F247" s="7"/>
      <c r="G247" s="7"/>
      <c r="H247" s="7"/>
      <c r="I247" s="25"/>
    </row>
    <row r="248" spans="1:9" x14ac:dyDescent="0.25">
      <c r="A248" s="110" t="s">
        <v>504</v>
      </c>
      <c r="B248" s="357" t="str">
        <f>ROUND('Calculations - Single'!$CA$55,1)&amp;"%"</f>
        <v>89.5%</v>
      </c>
      <c r="C248" s="7"/>
      <c r="D248" s="7"/>
      <c r="E248" s="7"/>
      <c r="F248" s="7"/>
      <c r="G248" s="7"/>
      <c r="H248" s="7"/>
      <c r="I248" s="25"/>
    </row>
    <row r="249" spans="1:9" x14ac:dyDescent="0.25">
      <c r="A249" s="110" t="s">
        <v>311</v>
      </c>
      <c r="B249" s="357" t="str">
        <f>ROUND('Calculations - Single'!$CA$15,1)&amp;"%"</f>
        <v>82.4%</v>
      </c>
      <c r="C249" s="77" t="s">
        <v>316</v>
      </c>
      <c r="D249" s="7"/>
      <c r="E249" s="7"/>
      <c r="F249" s="7"/>
      <c r="G249" s="7"/>
      <c r="H249" s="7"/>
      <c r="I249" s="25"/>
    </row>
    <row r="250" spans="1:9" x14ac:dyDescent="0.25">
      <c r="A250" s="110" t="s">
        <v>315</v>
      </c>
      <c r="B250" s="357" t="str">
        <f>ROUND(Parameters!BZ56,1)&amp;"%"</f>
        <v>0%</v>
      </c>
      <c r="C250" s="77" t="s">
        <v>317</v>
      </c>
      <c r="D250" s="7"/>
      <c r="E250" s="7"/>
      <c r="F250" s="7"/>
      <c r="G250" s="7"/>
      <c r="H250" s="7"/>
      <c r="I250" s="25"/>
    </row>
    <row r="251" spans="1:9" x14ac:dyDescent="0.25">
      <c r="A251" s="24"/>
      <c r="B251" s="7"/>
      <c r="C251" s="39"/>
      <c r="D251" s="7"/>
      <c r="E251" s="7"/>
      <c r="F251" s="7"/>
      <c r="G251" s="7"/>
      <c r="H251" s="7"/>
      <c r="I251" s="25"/>
    </row>
    <row r="252" spans="1:9" x14ac:dyDescent="0.25">
      <c r="A252" s="24"/>
      <c r="B252" s="7"/>
      <c r="C252" s="39"/>
      <c r="D252" s="7"/>
      <c r="E252" s="7"/>
      <c r="F252" s="7"/>
      <c r="G252" s="7"/>
      <c r="H252" s="7"/>
      <c r="I252" s="25"/>
    </row>
    <row r="253" spans="1:9" x14ac:dyDescent="0.25">
      <c r="A253" s="24"/>
      <c r="B253" s="7"/>
      <c r="C253" s="39"/>
      <c r="D253" s="7"/>
      <c r="E253" s="7"/>
      <c r="F253" s="7"/>
      <c r="G253" s="7"/>
      <c r="H253" s="7"/>
      <c r="I253" s="25"/>
    </row>
    <row r="254" spans="1:9" x14ac:dyDescent="0.25">
      <c r="A254" s="24" t="s">
        <v>80</v>
      </c>
      <c r="B254" s="7" t="str">
        <f>IF(C254="y","","|")</f>
        <v>|</v>
      </c>
      <c r="C254" s="39" t="s">
        <v>323</v>
      </c>
      <c r="D254" s="7"/>
      <c r="E254" s="7"/>
      <c r="F254" s="7"/>
      <c r="G254" s="7"/>
      <c r="H254" s="7"/>
      <c r="I254" s="25"/>
    </row>
    <row r="255" spans="1:9" x14ac:dyDescent="0.25">
      <c r="A255" s="24"/>
      <c r="B255" s="7"/>
      <c r="C255" s="39"/>
      <c r="D255" s="7"/>
      <c r="E255" s="7"/>
      <c r="F255" s="7"/>
      <c r="G255" s="7"/>
      <c r="H255" s="7"/>
      <c r="I255" s="25"/>
    </row>
    <row r="256" spans="1:9" x14ac:dyDescent="0.25">
      <c r="A256" s="507" t="s">
        <v>86</v>
      </c>
      <c r="B256" s="7" t="str">
        <f>'Design PSR Flyback Converter'!$E$11&amp;"A"</f>
        <v>1A</v>
      </c>
      <c r="C256" s="39"/>
      <c r="D256" s="7"/>
      <c r="E256" s="7"/>
      <c r="F256" s="7"/>
      <c r="G256" s="7"/>
      <c r="H256" s="7"/>
      <c r="I256" s="25"/>
    </row>
    <row r="257" spans="1:9" x14ac:dyDescent="0.25">
      <c r="A257" s="507" t="s">
        <v>522</v>
      </c>
      <c r="B257" s="7" t="str">
        <f>IF(MODE_TOP="DUAL", 'Design PSR Flyback Converter'!$E$13&amp;"A", "")</f>
        <v>0.25A</v>
      </c>
      <c r="C257" s="39"/>
      <c r="D257" s="77">
        <f>MODE</f>
        <v>2</v>
      </c>
      <c r="E257" s="7"/>
      <c r="F257" s="7"/>
      <c r="G257" s="7"/>
      <c r="H257" s="7"/>
      <c r="I257" s="25"/>
    </row>
    <row r="258" spans="1:9" x14ac:dyDescent="0.25">
      <c r="A258" s="507" t="s">
        <v>521</v>
      </c>
      <c r="B258" s="7" t="str">
        <f>IF(MODE_TOP="BIPOLAR", Iout2_actual&amp;"A", "")</f>
        <v/>
      </c>
      <c r="C258" s="39"/>
      <c r="D258" s="7"/>
      <c r="E258" s="7"/>
      <c r="F258" s="7"/>
      <c r="G258" s="7"/>
      <c r="H258" s="7"/>
      <c r="I258" s="25"/>
    </row>
    <row r="259" spans="1:9" x14ac:dyDescent="0.25">
      <c r="A259" s="24"/>
      <c r="B259" s="7"/>
      <c r="C259" s="39"/>
      <c r="D259" s="7"/>
      <c r="E259" s="7"/>
      <c r="F259" s="7"/>
      <c r="G259" s="7"/>
      <c r="H259" s="7"/>
      <c r="I259" s="25"/>
    </row>
    <row r="260" spans="1:9" x14ac:dyDescent="0.25">
      <c r="A260" s="110" t="s">
        <v>94</v>
      </c>
      <c r="B260" s="7">
        <v>1</v>
      </c>
      <c r="C260" s="39"/>
      <c r="D260" s="7"/>
      <c r="E260" s="7"/>
      <c r="F260" s="7"/>
      <c r="G260" s="7"/>
      <c r="H260" s="7"/>
      <c r="I260" s="25"/>
    </row>
    <row r="261" spans="1:9" x14ac:dyDescent="0.25">
      <c r="A261" s="110" t="s">
        <v>93</v>
      </c>
      <c r="B261" s="7">
        <v>2</v>
      </c>
      <c r="C261" s="39"/>
      <c r="D261" s="7"/>
      <c r="E261" s="7"/>
      <c r="F261" s="7"/>
      <c r="G261" s="7"/>
      <c r="H261" s="7"/>
      <c r="I261" s="25"/>
    </row>
    <row r="262" spans="1:9" x14ac:dyDescent="0.25">
      <c r="A262" s="608" t="s">
        <v>57</v>
      </c>
      <c r="B262" s="7">
        <v>3</v>
      </c>
      <c r="C262" s="39"/>
      <c r="D262" s="7"/>
      <c r="E262" s="7"/>
      <c r="F262" s="7"/>
      <c r="G262" s="7"/>
      <c r="H262" s="7"/>
      <c r="I262" s="25"/>
    </row>
    <row r="263" spans="1:9" x14ac:dyDescent="0.25">
      <c r="A263" s="110" t="s">
        <v>568</v>
      </c>
      <c r="B263" s="7">
        <v>4</v>
      </c>
      <c r="C263" s="39"/>
      <c r="D263" s="7"/>
      <c r="E263" s="7"/>
      <c r="F263" s="7"/>
      <c r="G263" s="7"/>
      <c r="H263" s="7"/>
      <c r="I263" s="25"/>
    </row>
    <row r="264" spans="1:9" x14ac:dyDescent="0.25">
      <c r="A264" s="110" t="s">
        <v>569</v>
      </c>
      <c r="B264" s="7">
        <v>5</v>
      </c>
      <c r="C264" s="39"/>
      <c r="D264" s="7"/>
      <c r="E264" s="7"/>
      <c r="F264" s="7"/>
      <c r="G264" s="7"/>
      <c r="H264" s="7"/>
      <c r="I264" s="25"/>
    </row>
    <row r="265" spans="1:9" x14ac:dyDescent="0.25">
      <c r="A265" s="110" t="s">
        <v>570</v>
      </c>
      <c r="B265" s="7">
        <v>6</v>
      </c>
      <c r="C265" s="39"/>
      <c r="D265" s="7"/>
      <c r="E265" s="7"/>
      <c r="F265" s="7"/>
      <c r="G265" s="7"/>
      <c r="H265" s="7"/>
      <c r="I265" s="25"/>
    </row>
    <row r="266" spans="1:9" x14ac:dyDescent="0.25">
      <c r="A266" s="110" t="s">
        <v>571</v>
      </c>
      <c r="B266" s="7">
        <v>7</v>
      </c>
      <c r="C266" s="39"/>
      <c r="D266" s="7"/>
      <c r="E266" s="7"/>
      <c r="F266" s="7"/>
      <c r="G266" s="7"/>
      <c r="H266" s="7"/>
      <c r="I266" s="25"/>
    </row>
    <row r="267" spans="1:9" x14ac:dyDescent="0.25">
      <c r="A267" s="608" t="s">
        <v>92</v>
      </c>
      <c r="B267" s="7">
        <v>8</v>
      </c>
      <c r="C267" s="39"/>
      <c r="D267" s="7"/>
      <c r="E267" s="7"/>
      <c r="F267" s="7"/>
      <c r="G267" s="7"/>
      <c r="H267" s="7"/>
      <c r="I267" s="25"/>
    </row>
    <row r="268" spans="1:9" ht="13.8" thickBot="1" x14ac:dyDescent="0.3">
      <c r="A268" s="211"/>
      <c r="B268" s="29"/>
      <c r="C268" s="163"/>
      <c r="D268" s="29"/>
      <c r="E268" s="29"/>
      <c r="F268" s="29"/>
      <c r="G268" s="29"/>
      <c r="H268" s="29"/>
      <c r="I268" s="30"/>
    </row>
  </sheetData>
  <sheetProtection selectLockedCells="1"/>
  <mergeCells count="2">
    <mergeCell ref="E5:H5"/>
    <mergeCell ref="A1:I1"/>
  </mergeCells>
  <phoneticPr fontId="6" type="noConversion"/>
  <pageMargins left="0.75" right="0.75" top="1" bottom="1" header="0.5" footer="0.5"/>
  <pageSetup orientation="portrait" r:id="rId1"/>
  <headerFooter alignWithMargins="0"/>
  <ignoredErrors>
    <ignoredError sqref="R56:R60"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721921" r:id="rId4" name="Drop Down 1">
              <controlPr locked="0" defaultSize="0" autoLine="0" autoPict="0">
                <anchor moveWithCells="1">
                  <from>
                    <xdr:col>9</xdr:col>
                    <xdr:colOff>449580</xdr:colOff>
                    <xdr:row>6</xdr:row>
                    <xdr:rowOff>22860</xdr:rowOff>
                  </from>
                  <to>
                    <xdr:col>10</xdr:col>
                    <xdr:colOff>670560</xdr:colOff>
                    <xdr:row>7</xdr:row>
                    <xdr:rowOff>99060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7030A0"/>
  </sheetPr>
  <dimension ref="B1:CG322"/>
  <sheetViews>
    <sheetView zoomScaleNormal="100" workbookViewId="0">
      <pane xSplit="6" ySplit="4" topLeftCell="R74" activePane="bottomRight" state="frozen"/>
      <selection pane="topRight" activeCell="G1" sqref="G1"/>
      <selection pane="bottomLeft" activeCell="A5" sqref="A5"/>
      <selection pane="bottomRight" activeCell="BB1" sqref="BB1:BB1048576"/>
    </sheetView>
  </sheetViews>
  <sheetFormatPr defaultRowHeight="13.2" x14ac:dyDescent="0.25"/>
  <cols>
    <col min="1" max="1" width="2.88671875" customWidth="1"/>
    <col min="2" max="2" width="3.5546875" customWidth="1"/>
    <col min="3" max="3" width="2.88671875" customWidth="1"/>
    <col min="4" max="4" width="3.6640625" customWidth="1"/>
    <col min="5" max="5" width="6.109375" customWidth="1"/>
    <col min="6" max="6" width="8.6640625" customWidth="1"/>
    <col min="7" max="7" width="7.6640625" customWidth="1"/>
    <col min="8" max="8" width="7.88671875" customWidth="1"/>
    <col min="9" max="9" width="6.33203125" customWidth="1"/>
    <col min="10" max="10" width="9.5546875" customWidth="1"/>
    <col min="11" max="11" width="9.33203125" customWidth="1"/>
    <col min="12" max="12" width="1.88671875" customWidth="1"/>
    <col min="13" max="13" width="8.44140625" customWidth="1"/>
    <col min="14" max="15" width="9.5546875" customWidth="1"/>
    <col min="16" max="16" width="8.88671875" customWidth="1"/>
    <col min="17" max="18" width="8.5546875" customWidth="1"/>
    <col min="19" max="19" width="11.109375" customWidth="1"/>
    <col min="20" max="20" width="10.44140625" customWidth="1"/>
    <col min="21" max="21" width="7.5546875" customWidth="1"/>
    <col min="22" max="22" width="9" customWidth="1"/>
    <col min="23" max="23" width="8.88671875" customWidth="1"/>
    <col min="24" max="24" width="10" customWidth="1"/>
    <col min="25" max="25" width="9.5546875" customWidth="1"/>
    <col min="26" max="26" width="1.88671875" customWidth="1"/>
    <col min="27" max="27" width="9.88671875" customWidth="1"/>
    <col min="28" max="28" width="10.44140625" customWidth="1"/>
    <col min="29" max="29" width="10.109375" customWidth="1"/>
    <col min="30" max="30" width="2" customWidth="1"/>
    <col min="31" max="31" width="9.109375" customWidth="1"/>
    <col min="32" max="32" width="9.44140625" customWidth="1"/>
    <col min="33" max="33" width="10.44140625" customWidth="1"/>
    <col min="34" max="34" width="2.109375" customWidth="1"/>
    <col min="36" max="36" width="8" customWidth="1"/>
    <col min="38" max="38" width="2.33203125" customWidth="1"/>
    <col min="39" max="39" width="6.5546875" customWidth="1"/>
    <col min="40" max="40" width="7.5546875" customWidth="1"/>
    <col min="41" max="41" width="2" customWidth="1"/>
    <col min="42" max="42" width="6.44140625" customWidth="1"/>
    <col min="43" max="43" width="7.5546875" customWidth="1"/>
    <col min="44" max="44" width="2.109375" customWidth="1"/>
    <col min="45" max="48" width="7" customWidth="1"/>
    <col min="49" max="50" width="8.44140625" customWidth="1"/>
    <col min="51" max="52" width="11" customWidth="1"/>
    <col min="53" max="53" width="11.88671875" customWidth="1"/>
    <col min="54" max="54" width="10" customWidth="1"/>
    <col min="55" max="55" width="9.88671875" customWidth="1"/>
    <col min="56" max="56" width="10" customWidth="1"/>
    <col min="57" max="57" width="2" customWidth="1"/>
    <col min="60" max="60" width="2.109375" customWidth="1"/>
    <col min="61" max="61" width="9" customWidth="1"/>
    <col min="62" max="63" width="8.109375" customWidth="1"/>
    <col min="64" max="64" width="8.6640625" customWidth="1"/>
    <col min="65" max="66" width="7.5546875" customWidth="1"/>
    <col min="67" max="68" width="10.33203125" customWidth="1"/>
    <col min="69" max="70" width="10.5546875" customWidth="1"/>
    <col min="71" max="71" width="8.6640625" customWidth="1"/>
    <col min="73" max="73" width="9.88671875" customWidth="1"/>
    <col min="74" max="74" width="12.109375" customWidth="1"/>
    <col min="75" max="75" width="9.109375" customWidth="1"/>
    <col min="77" max="77" width="7.6640625" customWidth="1"/>
    <col min="78" max="78" width="10.44140625" customWidth="1"/>
    <col min="79" max="79" width="12.44140625" bestFit="1" customWidth="1"/>
    <col min="80" max="80" width="4.5546875" customWidth="1"/>
    <col min="81" max="81" width="5" customWidth="1"/>
    <col min="82" max="82" width="9.5546875" customWidth="1"/>
  </cols>
  <sheetData>
    <row r="1" spans="2:83" x14ac:dyDescent="0.25">
      <c r="B1" s="453" t="s">
        <v>528</v>
      </c>
      <c r="F1" s="16"/>
      <c r="M1">
        <f>Vfwd2</f>
        <v>0.9</v>
      </c>
      <c r="AY1">
        <f>L</f>
        <v>6.9999999999999999E-6</v>
      </c>
    </row>
    <row r="2" spans="2:83" ht="13.8" thickBot="1" x14ac:dyDescent="0.3">
      <c r="M2">
        <f>Vfwd1</f>
        <v>0.9</v>
      </c>
      <c r="P2">
        <f>Isw_max</f>
        <v>4.0999999999999996</v>
      </c>
      <c r="U2">
        <f>Isw_min</f>
        <v>0.82</v>
      </c>
      <c r="AY2">
        <f>Cout</f>
        <v>44</v>
      </c>
      <c r="BA2" s="705" t="s">
        <v>716</v>
      </c>
      <c r="BB2" s="705"/>
      <c r="BC2">
        <f>Vinripple1</f>
        <v>0.75</v>
      </c>
    </row>
    <row r="3" spans="2:83" x14ac:dyDescent="0.25">
      <c r="E3" s="224" t="s">
        <v>432</v>
      </c>
      <c r="F3" s="554"/>
      <c r="G3" s="554"/>
      <c r="H3" s="554"/>
      <c r="I3" s="225"/>
      <c r="J3" s="226"/>
      <c r="K3" s="538"/>
      <c r="L3" s="538"/>
      <c r="M3" s="701" t="s">
        <v>190</v>
      </c>
      <c r="N3" s="702"/>
      <c r="O3" s="703"/>
      <c r="P3" s="701"/>
      <c r="Q3" s="701"/>
      <c r="R3" s="703"/>
      <c r="S3" s="703"/>
      <c r="T3" s="703"/>
      <c r="U3" s="701"/>
      <c r="V3" s="702"/>
      <c r="W3" s="702"/>
      <c r="X3" s="701"/>
      <c r="Y3" s="702"/>
      <c r="Z3" s="701"/>
      <c r="AA3" s="704"/>
      <c r="AB3" s="547"/>
      <c r="AC3" s="547"/>
      <c r="AD3" s="547"/>
      <c r="AE3" s="547"/>
      <c r="AF3" s="547"/>
      <c r="AG3" s="547"/>
      <c r="AH3" s="547"/>
      <c r="AI3" s="547"/>
      <c r="AJ3" s="547"/>
      <c r="AK3" s="547"/>
      <c r="AL3" s="547"/>
      <c r="AM3" s="547"/>
      <c r="AN3" s="547"/>
      <c r="AO3" s="547"/>
      <c r="AP3" s="547"/>
      <c r="AQ3" s="547"/>
      <c r="AR3" s="547"/>
      <c r="AS3" s="547" t="s">
        <v>471</v>
      </c>
      <c r="AT3" s="547"/>
      <c r="AU3" s="547"/>
      <c r="AV3" s="547"/>
      <c r="AW3" s="547"/>
      <c r="AX3" s="547"/>
      <c r="AY3" s="547"/>
      <c r="AZ3" s="547"/>
      <c r="BA3" s="547" t="s">
        <v>481</v>
      </c>
      <c r="BB3" s="547"/>
      <c r="BC3" s="547"/>
      <c r="BD3" s="547"/>
      <c r="BE3" s="547"/>
      <c r="BF3" s="572" t="s">
        <v>482</v>
      </c>
      <c r="BG3" s="547"/>
      <c r="BH3" s="547"/>
      <c r="BI3" s="572" t="s">
        <v>505</v>
      </c>
      <c r="BJ3" s="547"/>
      <c r="BK3" s="547"/>
      <c r="BL3" s="547"/>
      <c r="BM3" s="547"/>
      <c r="BN3" s="547"/>
      <c r="BO3" s="572" t="s">
        <v>501</v>
      </c>
      <c r="BP3" s="547"/>
      <c r="BQ3" s="547"/>
      <c r="BR3" s="547"/>
      <c r="BS3" s="573" t="s">
        <v>502</v>
      </c>
      <c r="BT3" s="547"/>
      <c r="BU3" s="547"/>
      <c r="BV3" s="547"/>
      <c r="BW3" s="547"/>
      <c r="BX3" s="572"/>
      <c r="BY3" s="547"/>
      <c r="BZ3" s="547"/>
      <c r="CA3" s="547"/>
      <c r="CB3" s="547"/>
    </row>
    <row r="4" spans="2:83" ht="45" customHeight="1" thickBot="1" x14ac:dyDescent="0.3">
      <c r="E4" s="245" t="s">
        <v>25</v>
      </c>
      <c r="F4" s="452" t="s">
        <v>195</v>
      </c>
      <c r="G4" s="264"/>
      <c r="H4" s="541" t="s">
        <v>224</v>
      </c>
      <c r="I4" s="246" t="s">
        <v>423</v>
      </c>
      <c r="J4" s="247" t="s">
        <v>429</v>
      </c>
      <c r="K4" s="541" t="s">
        <v>424</v>
      </c>
      <c r="L4" s="541"/>
      <c r="M4" s="248" t="s">
        <v>48</v>
      </c>
      <c r="N4" s="541" t="s">
        <v>413</v>
      </c>
      <c r="O4" s="541" t="s">
        <v>677</v>
      </c>
      <c r="P4" s="541" t="s">
        <v>414</v>
      </c>
      <c r="Q4" s="541" t="s">
        <v>444</v>
      </c>
      <c r="R4" s="541" t="s">
        <v>675</v>
      </c>
      <c r="S4" s="541" t="s">
        <v>678</v>
      </c>
      <c r="T4" s="541" t="s">
        <v>676</v>
      </c>
      <c r="U4" s="541" t="s">
        <v>425</v>
      </c>
      <c r="V4" s="541" t="s">
        <v>477</v>
      </c>
      <c r="W4" s="541" t="s">
        <v>476</v>
      </c>
      <c r="X4" s="560" t="s">
        <v>431</v>
      </c>
      <c r="Y4" s="556" t="s">
        <v>720</v>
      </c>
      <c r="AA4" s="249" t="s">
        <v>428</v>
      </c>
      <c r="AB4" s="249" t="s">
        <v>475</v>
      </c>
      <c r="AC4" s="249" t="s">
        <v>434</v>
      </c>
      <c r="AD4" s="558"/>
      <c r="AE4" s="249" t="s">
        <v>474</v>
      </c>
      <c r="AF4" s="249" t="s">
        <v>718</v>
      </c>
      <c r="AG4" s="249" t="s">
        <v>719</v>
      </c>
      <c r="AH4" s="558"/>
      <c r="AI4" s="249" t="s">
        <v>440</v>
      </c>
      <c r="AJ4" s="561" t="s">
        <v>441</v>
      </c>
      <c r="AK4" s="561" t="s">
        <v>442</v>
      </c>
      <c r="AM4" s="557" t="s">
        <v>276</v>
      </c>
      <c r="AN4" s="557" t="s">
        <v>443</v>
      </c>
      <c r="AP4" s="249" t="s">
        <v>276</v>
      </c>
      <c r="AQ4" s="249" t="s">
        <v>443</v>
      </c>
      <c r="AR4" s="562"/>
      <c r="AS4" s="249" t="s">
        <v>478</v>
      </c>
      <c r="AT4" s="249" t="s">
        <v>472</v>
      </c>
      <c r="AU4" s="249" t="s">
        <v>473</v>
      </c>
      <c r="AV4" s="249" t="s">
        <v>674</v>
      </c>
      <c r="AW4" s="249" t="s">
        <v>48</v>
      </c>
      <c r="AX4" s="562" t="s">
        <v>672</v>
      </c>
      <c r="AY4" s="558" t="s">
        <v>671</v>
      </c>
      <c r="AZ4" s="558" t="s">
        <v>673</v>
      </c>
      <c r="BA4" s="249" t="s">
        <v>493</v>
      </c>
      <c r="BB4" s="249" t="s">
        <v>717</v>
      </c>
      <c r="BC4" s="249" t="s">
        <v>527</v>
      </c>
      <c r="BD4" s="249" t="s">
        <v>723</v>
      </c>
      <c r="BE4" s="558"/>
      <c r="BF4" s="571" t="s">
        <v>467</v>
      </c>
      <c r="BG4" s="249" t="s">
        <v>468</v>
      </c>
      <c r="BH4" s="558"/>
      <c r="BI4" s="571" t="s">
        <v>485</v>
      </c>
      <c r="BJ4" s="249" t="s">
        <v>486</v>
      </c>
      <c r="BK4" s="249" t="s">
        <v>484</v>
      </c>
      <c r="BL4" s="249" t="s">
        <v>480</v>
      </c>
      <c r="BM4" s="249" t="s">
        <v>489</v>
      </c>
      <c r="BN4" s="249" t="s">
        <v>503</v>
      </c>
      <c r="BO4" s="571" t="s">
        <v>487</v>
      </c>
      <c r="BP4" s="249" t="s">
        <v>488</v>
      </c>
      <c r="BQ4" s="249" t="s">
        <v>495</v>
      </c>
      <c r="BR4" s="249" t="s">
        <v>499</v>
      </c>
      <c r="BS4" s="571" t="s">
        <v>469</v>
      </c>
      <c r="BT4" s="249" t="s">
        <v>470</v>
      </c>
      <c r="BU4" s="249" t="s">
        <v>479</v>
      </c>
      <c r="BV4" s="249" t="s">
        <v>496</v>
      </c>
      <c r="BW4" s="249" t="s">
        <v>498</v>
      </c>
      <c r="BX4" s="571" t="s">
        <v>494</v>
      </c>
      <c r="BY4" s="249" t="s">
        <v>224</v>
      </c>
      <c r="BZ4" s="249" t="s">
        <v>47</v>
      </c>
      <c r="CA4" s="249" t="s">
        <v>497</v>
      </c>
      <c r="CB4" s="249"/>
      <c r="CD4" s="584" t="s">
        <v>686</v>
      </c>
      <c r="CE4" s="584" t="s">
        <v>687</v>
      </c>
    </row>
    <row r="5" spans="2:83" x14ac:dyDescent="0.25">
      <c r="E5" s="174">
        <v>0.1</v>
      </c>
      <c r="F5" s="221">
        <v>1.0000000000000001E-9</v>
      </c>
      <c r="G5" s="221"/>
      <c r="H5" s="221">
        <f t="shared" ref="H5:H36" si="0">F5*Vout</f>
        <v>1.5000000000000002E-8</v>
      </c>
      <c r="I5" s="555">
        <f t="shared" ref="I5:I36" si="1">Vin</f>
        <v>15</v>
      </c>
      <c r="J5" s="176">
        <f t="shared" ref="J5:J36" si="2">(T5+Vfwd1)*Nps</f>
        <v>23.85</v>
      </c>
      <c r="K5" s="451">
        <f t="shared" ref="K5:K36" si="3">(Vout+Vfwd1)*Nps+I5</f>
        <v>38.85</v>
      </c>
      <c r="L5" s="451"/>
      <c r="M5" s="221">
        <f t="shared" ref="M5:M36" si="4">(Vout+Vfwd1)*Nps/((Vout+Vfwd1)*Nps+I5)</f>
        <v>0.61389961389961389</v>
      </c>
      <c r="N5" s="176">
        <f t="shared" ref="N5:N68" si="5">M5*I5*Isw_max*0.5*Efficiency</f>
        <v>17.933542471042468</v>
      </c>
      <c r="O5" s="176">
        <f>T5*F5</f>
        <v>1.5000000000000002E-8</v>
      </c>
      <c r="P5" s="221">
        <f t="shared" ref="P5:P36" si="6">N5/Vout</f>
        <v>1.195569498069498</v>
      </c>
      <c r="Q5" s="221">
        <f t="shared" ref="Q5:Q36" si="7">MIN(Vout,N5/F5)</f>
        <v>15</v>
      </c>
      <c r="R5" s="221">
        <f t="shared" ref="R5:R36" si="8">Isw_max/2*I5*Nps*(Q5+Vfwd1)/Q5/(I5+Nps*(Q5+Vfwd1))</f>
        <v>1.2584942084942083</v>
      </c>
      <c r="S5" s="176">
        <f t="shared" ref="S5:S36" si="9">(SQRT(Isw_max^2*Nps^2*I5^2+4*Isw_max*F5/Efficiency*(Nps^2*Vfwd1*I5-Nps*I5^2)+4*(F5/Efficiency)^2*Nps^2*Vfwd1^2+8*(F5/Efficiency)^2*Nps*Vfwd1*I5+4*(F5/Efficiency)^2*I5^2)-2*F5/Efficiency*I5-2*F5/Efficiency*Nps*Vfwd1+Isw_max*Nps*I5)/(4*F5/Efficiency*Nps)</f>
        <v>29212499989.999996</v>
      </c>
      <c r="T5" s="176">
        <f t="shared" ref="T5:T36" si="10">MIN(Vout, S5)</f>
        <v>15</v>
      </c>
      <c r="U5" s="221">
        <f t="shared" ref="U5:U36" si="11">MIN(2*Vout*F5/(Efficiency*I5*M5), Isw_max)</f>
        <v>3.4293280370738173E-9</v>
      </c>
      <c r="V5" s="221">
        <f t="shared" ref="V5:V36" si="12">L*U5/I5*1000000</f>
        <v>1.6003530839677813E-9</v>
      </c>
      <c r="W5" s="221">
        <f t="shared" ref="W5:W36" si="13">L*U5/J5*1000000</f>
        <v>1.0065113735646424E-9</v>
      </c>
      <c r="X5" s="201">
        <f t="shared" ref="X5:X36" si="14">IF(1/((350000*L)*(1/I5+1/J5))&gt;Isw_min, 350, 0.001/((Isw_min*L)*(1/I5+1/J5)))</f>
        <v>350</v>
      </c>
      <c r="Y5" s="451">
        <f>MIN(1/(V5+W5)*1000, 350)</f>
        <v>350</v>
      </c>
      <c r="AA5" s="221">
        <f t="shared" ref="AA5:AA36" si="15">1/((X5*1000*L)*(1/I5+1/J5))</f>
        <v>3.7585690646915135</v>
      </c>
      <c r="AB5" s="177">
        <f t="shared" ref="AB5:AB36" si="16">L*AA5/J5*1000000</f>
        <v>1.1031439602868174</v>
      </c>
      <c r="AC5" s="177">
        <f t="shared" ref="AC5:AC36" si="17">0.5*AB5*AA5*Nps*X5/1000</f>
        <v>1.0883887252967701</v>
      </c>
      <c r="AD5" s="177"/>
      <c r="AE5" s="177">
        <f t="shared" ref="AE5:AE36" si="18">L*Isw_min/J5*1000000</f>
        <v>0.24067085953878403</v>
      </c>
      <c r="AF5" s="559">
        <f t="shared" ref="AF5:AF36" si="19">MAX(12, F5/(0.5*AE5/1000000*Isw_min*Nps)/1000)</f>
        <v>12</v>
      </c>
      <c r="AG5" s="542">
        <f t="shared" ref="AG5:AG36" si="20">0.5*AE5/1000000*Isw_min*Nps*X5*1000</f>
        <v>5.1804402515723262E-2</v>
      </c>
      <c r="AI5" s="177">
        <f t="shared" ref="AI5:AI36" si="21">SQRT(F5/Efficiency/(0.5*L/J5*Fsw_DCM*Nps))</f>
        <v>1.1688767364095505E-4</v>
      </c>
      <c r="AJ5" s="177">
        <f t="shared" ref="AJ5:AJ36" si="22">MAX(IF(F5&gt;AC5,U5,AI5),Isw_min)</f>
        <v>0.82</v>
      </c>
      <c r="AK5" s="177">
        <f t="shared" ref="AK5:AK36" si="23">IF(F5&gt;AG5, (AJ5-Isw_min)/1.08*0.8+1.2, AF5*0.2/350+1)</f>
        <v>1.0068571428571429</v>
      </c>
      <c r="AM5" s="559">
        <f t="shared" ref="AM5:AM36" si="24">F5*1000</f>
        <v>1.0000000000000002E-6</v>
      </c>
      <c r="AN5" s="469">
        <f t="shared" ref="AN5:AN36" si="25">IF(F5&gt;AG5, Y5, AF5)</f>
        <v>12</v>
      </c>
      <c r="AP5">
        <f t="shared" ref="AP5:AP36" si="26">IF(H5&gt;N5, "",AM5)</f>
        <v>1.0000000000000002E-6</v>
      </c>
      <c r="AQ5" s="469">
        <f t="shared" ref="AQ5:AQ36" si="27">IF(H5&gt;N5, "",AN5)</f>
        <v>12</v>
      </c>
      <c r="AR5" s="469"/>
      <c r="AS5" s="5">
        <f>1/AN5*1000</f>
        <v>83.333333333333329</v>
      </c>
      <c r="AT5" s="5">
        <f t="shared" ref="AT5:AT36" si="28">L*AJ5/I5*1000000</f>
        <v>0.3826666666666666</v>
      </c>
      <c r="AU5" s="5">
        <f>AS5-AT5</f>
        <v>82.950666666666663</v>
      </c>
      <c r="AV5" s="5">
        <f t="shared" ref="AV5:AV36" si="29">L*AJ5/J5*1000000</f>
        <v>0.24067085953878403</v>
      </c>
      <c r="AW5" s="177">
        <f>AT5/AS5</f>
        <v>4.5919999999999997E-3</v>
      </c>
      <c r="AX5" s="177">
        <f t="shared" ref="AX5:AX36" si="30">0.5*L*AJ5^2*AN5*1000</f>
        <v>2.8240799999999996E-2</v>
      </c>
      <c r="AY5" s="177">
        <f t="shared" ref="AY5:AY36" si="31">AJ5*Nps/2*(1-AW5)</f>
        <v>0.61217591999999998</v>
      </c>
      <c r="AZ5" s="177">
        <f>AX5/AY5</f>
        <v>4.6131837397328526E-2</v>
      </c>
      <c r="BA5" s="469">
        <f t="shared" ref="BA5:BA36" si="32">L*Isw_max^2/(2*Vout_ripple*Vout)*1000000000*((1+M5)/2)^2</f>
        <v>17.027319442995115</v>
      </c>
      <c r="BB5" s="469">
        <f t="shared" ref="BB5:BB36" si="33">L*F5^2/(2*Cout*Vout*Nps^2)*1000000000*((1+M5)/(1-M5))^2+F5*RCoutEsr</f>
        <v>3.0000000411807413E-9</v>
      </c>
      <c r="BC5" s="5">
        <f t="shared" ref="BC5:BC36" si="34">H5/Efficiency/I5*AU5/Vinripple1</f>
        <v>1.1642198830409357E-7</v>
      </c>
      <c r="BD5" s="469">
        <f t="shared" ref="BD5:BD36" si="35">((BY5/I5/Efficiency)*AU5/Cin+(BY5/I5/Efficiency)*RCinEsr)*1000</f>
        <v>8.7348070175438605E-6</v>
      </c>
      <c r="BE5" s="5"/>
      <c r="BF5" s="177">
        <f>AJ5*SQRT(AW5/3)</f>
        <v>3.2081462975785041E-2</v>
      </c>
      <c r="BG5" s="177">
        <f t="shared" ref="BG5:BG36" si="36">AJ5*Nps*SQRT((1-AW5)/3)</f>
        <v>0.70850847165012787</v>
      </c>
      <c r="BH5" s="177"/>
      <c r="BI5" s="542">
        <f t="shared" ref="BI5:BI36" si="37">Rdson*BF5^2</f>
        <v>1.1321422933333331E-4</v>
      </c>
      <c r="BJ5" s="542">
        <f t="shared" ref="BJ5:BJ36" si="38">0.5*K5*AJ5*AN5*1000*Trise</f>
        <v>1.91142E-3</v>
      </c>
      <c r="BK5" s="542">
        <f t="shared" ref="BK5:BK36" si="39">Qg*Vdd*AN5*1000</f>
        <v>5.9999999999999995E-4</v>
      </c>
      <c r="BL5" s="542">
        <f t="shared" ref="BL5:BL36" si="40">0.5*(Coss+Csw)*K5^2*AN5*1000</f>
        <v>4.07517075E-3</v>
      </c>
      <c r="BM5">
        <f t="shared" ref="BM5:BM36" si="41">I5*IQ</f>
        <v>4.3499999999999997E-3</v>
      </c>
      <c r="BN5" s="469">
        <f>SUM(BI5:BM5)*1000</f>
        <v>11.049804979333333</v>
      </c>
      <c r="BO5" s="542">
        <f>Vfwd2*F5</f>
        <v>9.000000000000001E-10</v>
      </c>
      <c r="BP5" s="542"/>
      <c r="BR5" s="469">
        <f>SUM(BO5:BQ5)*1000</f>
        <v>9.0000000000000007E-7</v>
      </c>
      <c r="BS5" s="542">
        <f t="shared" ref="BS5:BS36" si="42">Rdcr_pri*BF5^2</f>
        <v>0</v>
      </c>
      <c r="BT5" s="542">
        <f t="shared" ref="BT5:BT36" si="43">Rdcr_sec*BG5^2</f>
        <v>0</v>
      </c>
      <c r="BU5" s="542">
        <f t="shared" ref="BU5:BU36" si="44">AJ5^2.5*AN5^2.5*k_core</f>
        <v>0</v>
      </c>
      <c r="BV5" s="542">
        <f t="shared" ref="BV5:BV36" si="45">0.5*Lleak*0.000000001*AJ5^2*AN5*1000</f>
        <v>0</v>
      </c>
      <c r="BW5" s="469">
        <f>SUM(BS5:BV5)*1000</f>
        <v>0</v>
      </c>
      <c r="BX5" s="177">
        <f>SUM(BI5:BM5,BO5:BQ5,BS5:BV5)</f>
        <v>1.1049805879333333E-2</v>
      </c>
      <c r="BY5" s="5">
        <f>MIN(H5,O5)</f>
        <v>1.5000000000000002E-8</v>
      </c>
      <c r="BZ5" s="177">
        <f>BY5/(BY5+BX5)</f>
        <v>1.3574880682504776E-6</v>
      </c>
      <c r="CA5" s="5">
        <f>BZ5*100</f>
        <v>1.3574880682504776E-4</v>
      </c>
      <c r="CD5" s="576">
        <f t="shared" ref="CD5:CD36" si="46">IF(ABS(F5-Ioutmax_Vinnom)&lt;Iout/200, AN5, -50)</f>
        <v>-50</v>
      </c>
      <c r="CE5">
        <f t="shared" ref="CE5:CE36" si="47">IF(ABS(F5-Ioutmax_Vinnom)&lt;Iout/200, N5*BZ5, -50)</f>
        <v>-50</v>
      </c>
    </row>
    <row r="6" spans="2:83" x14ac:dyDescent="0.25">
      <c r="E6" s="174">
        <v>1</v>
      </c>
      <c r="F6" s="221">
        <f t="shared" ref="F6:F37" si="48">IF(PLOT_TYPE=1, E6/100*Iout_max, min_I*EXP(N6*rr/100))</f>
        <v>0.01</v>
      </c>
      <c r="G6" s="221"/>
      <c r="H6" s="221">
        <f t="shared" si="0"/>
        <v>0.15</v>
      </c>
      <c r="I6" s="555">
        <f t="shared" si="1"/>
        <v>15</v>
      </c>
      <c r="J6" s="176">
        <f t="shared" si="2"/>
        <v>23.85</v>
      </c>
      <c r="K6" s="451">
        <f t="shared" si="3"/>
        <v>38.85</v>
      </c>
      <c r="L6" s="451"/>
      <c r="M6" s="221">
        <f t="shared" si="4"/>
        <v>0.61389961389961389</v>
      </c>
      <c r="N6" s="176">
        <f t="shared" si="5"/>
        <v>17.933542471042468</v>
      </c>
      <c r="O6" s="176">
        <f t="shared" ref="O6:O69" si="49">T6*F6</f>
        <v>0.15</v>
      </c>
      <c r="P6" s="221">
        <f t="shared" si="6"/>
        <v>1.195569498069498</v>
      </c>
      <c r="Q6" s="221">
        <f t="shared" si="7"/>
        <v>15</v>
      </c>
      <c r="R6" s="221">
        <f t="shared" si="8"/>
        <v>1.2584942084942083</v>
      </c>
      <c r="S6" s="176">
        <f t="shared" si="9"/>
        <v>2911.2530904968658</v>
      </c>
      <c r="T6" s="176">
        <f t="shared" si="10"/>
        <v>15</v>
      </c>
      <c r="U6" s="221">
        <f t="shared" si="11"/>
        <v>3.4293280370738165E-2</v>
      </c>
      <c r="V6" s="221">
        <f t="shared" si="12"/>
        <v>1.6003530839677812E-2</v>
      </c>
      <c r="W6" s="221">
        <f t="shared" si="13"/>
        <v>1.0065113735646421E-2</v>
      </c>
      <c r="X6" s="201">
        <f t="shared" si="14"/>
        <v>350</v>
      </c>
      <c r="Y6" s="451">
        <f t="shared" ref="Y6:Y69" si="50">MIN(1/(V6+W6)*1000, 350)</f>
        <v>350</v>
      </c>
      <c r="AA6" s="221">
        <f t="shared" si="15"/>
        <v>3.7585690646915135</v>
      </c>
      <c r="AB6" s="177">
        <f t="shared" si="16"/>
        <v>1.1031439602868174</v>
      </c>
      <c r="AC6" s="177">
        <f t="shared" si="17"/>
        <v>1.0883887252967701</v>
      </c>
      <c r="AD6" s="177"/>
      <c r="AE6" s="177">
        <f t="shared" si="18"/>
        <v>0.24067085953878403</v>
      </c>
      <c r="AF6" s="559">
        <f t="shared" si="19"/>
        <v>67.561825444038433</v>
      </c>
      <c r="AG6" s="542">
        <f t="shared" si="20"/>
        <v>5.1804402515723262E-2</v>
      </c>
      <c r="AI6" s="177">
        <f t="shared" si="21"/>
        <v>0.36963127910384452</v>
      </c>
      <c r="AJ6" s="177">
        <f t="shared" si="22"/>
        <v>0.82</v>
      </c>
      <c r="AK6" s="177">
        <f t="shared" si="23"/>
        <v>1.0386067573965934</v>
      </c>
      <c r="AM6" s="559">
        <f t="shared" si="24"/>
        <v>10</v>
      </c>
      <c r="AN6" s="469">
        <f t="shared" si="25"/>
        <v>67.561825444038433</v>
      </c>
      <c r="AP6">
        <f t="shared" si="26"/>
        <v>10</v>
      </c>
      <c r="AQ6" s="469">
        <f t="shared" si="27"/>
        <v>67.561825444038433</v>
      </c>
      <c r="AR6" s="469"/>
      <c r="AS6" s="5">
        <f t="shared" ref="AS6:AS69" si="51">1/AN6*1000</f>
        <v>14.801257861635216</v>
      </c>
      <c r="AT6" s="5">
        <f t="shared" si="28"/>
        <v>0.3826666666666666</v>
      </c>
      <c r="AU6" s="5">
        <f t="shared" ref="AU6:AU69" si="52">AS6-AT6</f>
        <v>14.418591194968549</v>
      </c>
      <c r="AV6" s="5">
        <f t="shared" si="29"/>
        <v>0.24067085953878403</v>
      </c>
      <c r="AW6" s="177">
        <f t="shared" ref="AW6:AW69" si="53">AT6/AS6</f>
        <v>2.5853658536585368E-2</v>
      </c>
      <c r="AX6" s="177">
        <f t="shared" si="30"/>
        <v>0.15900000000000003</v>
      </c>
      <c r="AY6" s="177">
        <f t="shared" si="31"/>
        <v>0.59909999999999997</v>
      </c>
      <c r="AZ6" s="177">
        <f t="shared" ref="AZ6:AZ69" si="54">AX6/AY6</f>
        <v>0.26539809714571866</v>
      </c>
      <c r="BA6" s="469">
        <f t="shared" si="32"/>
        <v>17.027319442995115</v>
      </c>
      <c r="BB6" s="469">
        <f t="shared" si="33"/>
        <v>3.4118074074074072E-2</v>
      </c>
      <c r="BC6" s="5">
        <f t="shared" si="34"/>
        <v>0.20236619221008489</v>
      </c>
      <c r="BD6" s="469">
        <f t="shared" si="35"/>
        <v>15.20904336312479</v>
      </c>
      <c r="BE6" s="5"/>
      <c r="BF6" s="177">
        <f t="shared" ref="BF6:BF69" si="55">AJ6*SQRT(AW6/3)</f>
        <v>7.6122707956736979E-2</v>
      </c>
      <c r="BG6" s="177">
        <f t="shared" si="36"/>
        <v>0.70090084890803206</v>
      </c>
      <c r="BH6" s="177"/>
      <c r="BI6" s="542">
        <f t="shared" si="37"/>
        <v>6.3741333333333346E-4</v>
      </c>
      <c r="BJ6" s="542">
        <f t="shared" si="38"/>
        <v>1.0761585365853662E-2</v>
      </c>
      <c r="BK6" s="542">
        <f t="shared" si="39"/>
        <v>3.3780912722019218E-3</v>
      </c>
      <c r="BL6" s="542">
        <f t="shared" si="40"/>
        <v>2.2943831238845934E-2</v>
      </c>
      <c r="BM6">
        <f t="shared" si="41"/>
        <v>4.3499999999999997E-3</v>
      </c>
      <c r="BN6" s="469">
        <f t="shared" ref="BN6:BN69" si="56">SUM(BI6:BM6)*1000</f>
        <v>42.07092121023485</v>
      </c>
      <c r="BO6" s="542">
        <f t="shared" ref="BO6:BO36" si="57">Vfwd2*F6</f>
        <v>9.0000000000000011E-3</v>
      </c>
      <c r="BP6" s="542"/>
      <c r="BR6" s="469">
        <f t="shared" ref="BR6:BR69" si="58">SUM(BO6:BQ6)*1000</f>
        <v>9.0000000000000018</v>
      </c>
      <c r="BS6" s="542">
        <f t="shared" si="42"/>
        <v>0</v>
      </c>
      <c r="BT6" s="542">
        <f t="shared" si="43"/>
        <v>0</v>
      </c>
      <c r="BU6" s="542">
        <f t="shared" si="44"/>
        <v>0</v>
      </c>
      <c r="BV6" s="542">
        <f t="shared" si="45"/>
        <v>0</v>
      </c>
      <c r="BW6" s="469">
        <f t="shared" ref="BW6:BW69" si="59">SUM(BS6:BV6)*1000</f>
        <v>0</v>
      </c>
      <c r="BX6" s="177">
        <f t="shared" ref="BX6:BX69" si="60">SUM(BI6:BM6,BO6:BQ6,BS6:BV6)</f>
        <v>5.1070921210234849E-2</v>
      </c>
      <c r="BY6" s="5">
        <f t="shared" ref="BY6:BY69" si="61">MIN(H6,O6)</f>
        <v>0.15</v>
      </c>
      <c r="BZ6" s="177">
        <f t="shared" ref="BZ6:BZ69" si="62">BY6/(BY6+BX6)</f>
        <v>0.74600543478469306</v>
      </c>
      <c r="CA6" s="5">
        <f t="shared" ref="CA6:CA69" si="63">BZ6*100</f>
        <v>74.600543478469305</v>
      </c>
      <c r="CD6" s="576">
        <f t="shared" si="46"/>
        <v>-50</v>
      </c>
      <c r="CE6">
        <f t="shared" si="47"/>
        <v>-50</v>
      </c>
    </row>
    <row r="7" spans="2:83" x14ac:dyDescent="0.25">
      <c r="E7" s="174">
        <v>2</v>
      </c>
      <c r="F7" s="221">
        <f t="shared" si="48"/>
        <v>0.02</v>
      </c>
      <c r="G7" s="221"/>
      <c r="H7" s="221">
        <f t="shared" si="0"/>
        <v>0.3</v>
      </c>
      <c r="I7" s="555">
        <f t="shared" si="1"/>
        <v>15</v>
      </c>
      <c r="J7" s="176">
        <f t="shared" si="2"/>
        <v>23.85</v>
      </c>
      <c r="K7" s="451">
        <f t="shared" si="3"/>
        <v>38.85</v>
      </c>
      <c r="L7" s="451"/>
      <c r="M7" s="221">
        <f t="shared" si="4"/>
        <v>0.61389961389961389</v>
      </c>
      <c r="N7" s="176">
        <f t="shared" si="5"/>
        <v>17.933542471042468</v>
      </c>
      <c r="O7" s="176">
        <f t="shared" si="49"/>
        <v>0.3</v>
      </c>
      <c r="P7" s="221">
        <f t="shared" si="6"/>
        <v>1.195569498069498</v>
      </c>
      <c r="Q7" s="221">
        <f t="shared" si="7"/>
        <v>15</v>
      </c>
      <c r="R7" s="221">
        <f t="shared" si="8"/>
        <v>1.2584942084942083</v>
      </c>
      <c r="S7" s="176">
        <f t="shared" si="9"/>
        <v>1450.6312003489813</v>
      </c>
      <c r="T7" s="176">
        <f t="shared" si="10"/>
        <v>15</v>
      </c>
      <c r="U7" s="221">
        <f t="shared" si="11"/>
        <v>6.858656074147633E-2</v>
      </c>
      <c r="V7" s="221">
        <f t="shared" si="12"/>
        <v>3.2007061679355624E-2</v>
      </c>
      <c r="W7" s="221">
        <f t="shared" si="13"/>
        <v>2.0130227471292842E-2</v>
      </c>
      <c r="X7" s="201">
        <f t="shared" si="14"/>
        <v>350</v>
      </c>
      <c r="Y7" s="451">
        <f t="shared" si="50"/>
        <v>350</v>
      </c>
      <c r="AA7" s="221">
        <f t="shared" si="15"/>
        <v>3.7585690646915135</v>
      </c>
      <c r="AB7" s="177">
        <f t="shared" si="16"/>
        <v>1.1031439602868174</v>
      </c>
      <c r="AC7" s="177">
        <f t="shared" si="17"/>
        <v>1.0883887252967701</v>
      </c>
      <c r="AD7" s="177"/>
      <c r="AE7" s="177">
        <f t="shared" si="18"/>
        <v>0.24067085953878403</v>
      </c>
      <c r="AF7" s="559">
        <f t="shared" si="19"/>
        <v>135.12365088807687</v>
      </c>
      <c r="AG7" s="542">
        <f t="shared" si="20"/>
        <v>5.1804402515723262E-2</v>
      </c>
      <c r="AI7" s="177">
        <f t="shared" si="21"/>
        <v>0.52273756798597171</v>
      </c>
      <c r="AJ7" s="177">
        <f t="shared" si="22"/>
        <v>0.82</v>
      </c>
      <c r="AK7" s="177">
        <f t="shared" si="23"/>
        <v>1.0772135147931867</v>
      </c>
      <c r="AM7" s="559">
        <f t="shared" si="24"/>
        <v>20</v>
      </c>
      <c r="AN7" s="469">
        <f t="shared" si="25"/>
        <v>135.12365088807687</v>
      </c>
      <c r="AP7">
        <f t="shared" si="26"/>
        <v>20</v>
      </c>
      <c r="AQ7" s="469">
        <f t="shared" si="27"/>
        <v>135.12365088807687</v>
      </c>
      <c r="AR7" s="469"/>
      <c r="AS7" s="5">
        <f t="shared" si="51"/>
        <v>7.4006289308176081</v>
      </c>
      <c r="AT7" s="5">
        <f t="shared" si="28"/>
        <v>0.3826666666666666</v>
      </c>
      <c r="AU7" s="5">
        <f t="shared" si="52"/>
        <v>7.0179622641509418</v>
      </c>
      <c r="AV7" s="5">
        <f t="shared" si="29"/>
        <v>0.24067085953878403</v>
      </c>
      <c r="AW7" s="177">
        <f t="shared" si="53"/>
        <v>5.1707317073170736E-2</v>
      </c>
      <c r="AX7" s="177">
        <f t="shared" si="30"/>
        <v>0.31800000000000006</v>
      </c>
      <c r="AY7" s="177">
        <f t="shared" si="31"/>
        <v>0.58319999999999994</v>
      </c>
      <c r="AZ7" s="177">
        <f t="shared" si="54"/>
        <v>0.54526748971193428</v>
      </c>
      <c r="BA7" s="469">
        <f t="shared" si="32"/>
        <v>17.027319442995115</v>
      </c>
      <c r="BB7" s="469">
        <f t="shared" si="33"/>
        <v>7.6472296296296288E-2</v>
      </c>
      <c r="BC7" s="5">
        <f t="shared" si="34"/>
        <v>0.19699543197616678</v>
      </c>
      <c r="BD7" s="469">
        <f t="shared" si="35"/>
        <v>14.837815292949353</v>
      </c>
      <c r="BE7" s="5"/>
      <c r="BF7" s="177">
        <f t="shared" si="55"/>
        <v>0.10765376599698373</v>
      </c>
      <c r="BG7" s="177">
        <f t="shared" si="36"/>
        <v>0.69153741764274768</v>
      </c>
      <c r="BH7" s="177"/>
      <c r="BI7" s="542">
        <f t="shared" si="37"/>
        <v>1.2748266666666663E-3</v>
      </c>
      <c r="BJ7" s="542">
        <f t="shared" si="38"/>
        <v>2.1523170731707324E-2</v>
      </c>
      <c r="BK7" s="542">
        <f t="shared" si="39"/>
        <v>6.7561825444038435E-3</v>
      </c>
      <c r="BL7" s="542">
        <f t="shared" si="40"/>
        <v>4.5887662477691868E-2</v>
      </c>
      <c r="BM7">
        <f t="shared" si="41"/>
        <v>4.3499999999999997E-3</v>
      </c>
      <c r="BN7" s="469">
        <f t="shared" si="56"/>
        <v>79.791842420469692</v>
      </c>
      <c r="BO7" s="542">
        <f t="shared" si="57"/>
        <v>1.8000000000000002E-2</v>
      </c>
      <c r="BP7" s="542"/>
      <c r="BR7" s="469">
        <f t="shared" si="58"/>
        <v>18.000000000000004</v>
      </c>
      <c r="BS7" s="542">
        <f t="shared" si="42"/>
        <v>0</v>
      </c>
      <c r="BT7" s="542">
        <f t="shared" si="43"/>
        <v>0</v>
      </c>
      <c r="BU7" s="542">
        <f t="shared" si="44"/>
        <v>0</v>
      </c>
      <c r="BV7" s="542">
        <f t="shared" si="45"/>
        <v>0</v>
      </c>
      <c r="BW7" s="469">
        <f t="shared" si="59"/>
        <v>0</v>
      </c>
      <c r="BX7" s="177">
        <f t="shared" si="60"/>
        <v>9.7791842420469691E-2</v>
      </c>
      <c r="BY7" s="5">
        <f t="shared" si="61"/>
        <v>0.3</v>
      </c>
      <c r="BZ7" s="177">
        <f t="shared" si="62"/>
        <v>0.75416327839849773</v>
      </c>
      <c r="CA7" s="5">
        <f t="shared" si="63"/>
        <v>75.416327839849771</v>
      </c>
      <c r="CD7" s="576">
        <f t="shared" si="46"/>
        <v>-50</v>
      </c>
      <c r="CE7">
        <f t="shared" si="47"/>
        <v>-50</v>
      </c>
    </row>
    <row r="8" spans="2:83" x14ac:dyDescent="0.25">
      <c r="E8" s="174">
        <v>3</v>
      </c>
      <c r="F8" s="221">
        <f t="shared" si="48"/>
        <v>0.03</v>
      </c>
      <c r="G8" s="221"/>
      <c r="H8" s="221">
        <f t="shared" si="0"/>
        <v>0.44999999999999996</v>
      </c>
      <c r="I8" s="555">
        <f t="shared" si="1"/>
        <v>15</v>
      </c>
      <c r="J8" s="176">
        <f t="shared" si="2"/>
        <v>23.85</v>
      </c>
      <c r="K8" s="451">
        <f t="shared" si="3"/>
        <v>38.85</v>
      </c>
      <c r="L8" s="451"/>
      <c r="M8" s="221">
        <f t="shared" si="4"/>
        <v>0.61389961389961389</v>
      </c>
      <c r="N8" s="176">
        <f t="shared" si="5"/>
        <v>17.933542471042468</v>
      </c>
      <c r="O8" s="176">
        <f t="shared" si="49"/>
        <v>0.44999999999999996</v>
      </c>
      <c r="P8" s="221">
        <f t="shared" si="6"/>
        <v>1.195569498069498</v>
      </c>
      <c r="Q8" s="221">
        <f t="shared" si="7"/>
        <v>15</v>
      </c>
      <c r="R8" s="221">
        <f t="shared" si="8"/>
        <v>1.2584942084942083</v>
      </c>
      <c r="S8" s="176">
        <f t="shared" si="9"/>
        <v>963.75932971850546</v>
      </c>
      <c r="T8" s="176">
        <f t="shared" si="10"/>
        <v>15</v>
      </c>
      <c r="U8" s="221">
        <f t="shared" si="11"/>
        <v>0.10287984111221449</v>
      </c>
      <c r="V8" s="221">
        <f t="shared" si="12"/>
        <v>4.8010592519033432E-2</v>
      </c>
      <c r="W8" s="221">
        <f t="shared" si="13"/>
        <v>3.0195341206939261E-2</v>
      </c>
      <c r="X8" s="201">
        <f t="shared" si="14"/>
        <v>350</v>
      </c>
      <c r="Y8" s="451">
        <f t="shared" si="50"/>
        <v>350</v>
      </c>
      <c r="AA8" s="221">
        <f t="shared" si="15"/>
        <v>3.7585690646915135</v>
      </c>
      <c r="AB8" s="177">
        <f t="shared" si="16"/>
        <v>1.1031439602868174</v>
      </c>
      <c r="AC8" s="177">
        <f t="shared" si="17"/>
        <v>1.0883887252967701</v>
      </c>
      <c r="AD8" s="177"/>
      <c r="AE8" s="177">
        <f t="shared" si="18"/>
        <v>0.24067085953878403</v>
      </c>
      <c r="AF8" s="559">
        <f t="shared" si="19"/>
        <v>202.68547633211526</v>
      </c>
      <c r="AG8" s="542">
        <f t="shared" si="20"/>
        <v>5.1804402515723262E-2</v>
      </c>
      <c r="AI8" s="177">
        <f t="shared" si="21"/>
        <v>0.64022015547453093</v>
      </c>
      <c r="AJ8" s="177">
        <f t="shared" si="22"/>
        <v>0.82</v>
      </c>
      <c r="AK8" s="177">
        <f t="shared" si="23"/>
        <v>1.1158202721897801</v>
      </c>
      <c r="AM8" s="559">
        <f t="shared" si="24"/>
        <v>30</v>
      </c>
      <c r="AN8" s="469">
        <f t="shared" si="25"/>
        <v>202.68547633211526</v>
      </c>
      <c r="AP8">
        <f t="shared" si="26"/>
        <v>30</v>
      </c>
      <c r="AQ8" s="469">
        <f t="shared" si="27"/>
        <v>202.68547633211526</v>
      </c>
      <c r="AR8" s="469"/>
      <c r="AS8" s="5">
        <f t="shared" si="51"/>
        <v>4.9337526205450732</v>
      </c>
      <c r="AT8" s="5">
        <f t="shared" si="28"/>
        <v>0.3826666666666666</v>
      </c>
      <c r="AU8" s="5">
        <f t="shared" si="52"/>
        <v>4.551085953878407</v>
      </c>
      <c r="AV8" s="5">
        <f t="shared" si="29"/>
        <v>0.24067085953878403</v>
      </c>
      <c r="AW8" s="177">
        <f t="shared" si="53"/>
        <v>7.7560975609756083E-2</v>
      </c>
      <c r="AX8" s="177">
        <f t="shared" si="30"/>
        <v>0.47699999999999998</v>
      </c>
      <c r="AY8" s="177">
        <f t="shared" si="31"/>
        <v>0.56730000000000003</v>
      </c>
      <c r="AZ8" s="177">
        <f t="shared" si="54"/>
        <v>0.84082496033844523</v>
      </c>
      <c r="BA8" s="469">
        <f t="shared" si="32"/>
        <v>17.027319442995115</v>
      </c>
      <c r="BB8" s="469">
        <f t="shared" si="33"/>
        <v>0.12706266666666666</v>
      </c>
      <c r="BC8" s="5">
        <f t="shared" si="34"/>
        <v>0.19162467174224873</v>
      </c>
      <c r="BD8" s="469">
        <f t="shared" si="35"/>
        <v>14.466587222773915</v>
      </c>
      <c r="BE8" s="5"/>
      <c r="BF8" s="177">
        <f t="shared" si="55"/>
        <v>0.13184839779079605</v>
      </c>
      <c r="BG8" s="177">
        <f t="shared" si="36"/>
        <v>0.68204545303080788</v>
      </c>
      <c r="BH8" s="177"/>
      <c r="BI8" s="542">
        <f t="shared" si="37"/>
        <v>1.9122399999999993E-3</v>
      </c>
      <c r="BJ8" s="542">
        <f t="shared" si="38"/>
        <v>3.2284756097560978E-2</v>
      </c>
      <c r="BK8" s="542">
        <f t="shared" si="39"/>
        <v>1.0134273816605761E-2</v>
      </c>
      <c r="BL8" s="542">
        <f t="shared" si="40"/>
        <v>6.8831493716537795E-2</v>
      </c>
      <c r="BM8">
        <f t="shared" si="41"/>
        <v>4.3499999999999997E-3</v>
      </c>
      <c r="BN8" s="469">
        <f t="shared" si="56"/>
        <v>117.51276363070454</v>
      </c>
      <c r="BO8" s="542">
        <f t="shared" si="57"/>
        <v>2.7E-2</v>
      </c>
      <c r="BP8" s="542"/>
      <c r="BR8" s="469">
        <f t="shared" si="58"/>
        <v>27</v>
      </c>
      <c r="BS8" s="542">
        <f t="shared" si="42"/>
        <v>0</v>
      </c>
      <c r="BT8" s="542">
        <f t="shared" si="43"/>
        <v>0</v>
      </c>
      <c r="BU8" s="542">
        <f t="shared" si="44"/>
        <v>0</v>
      </c>
      <c r="BV8" s="542">
        <f t="shared" si="45"/>
        <v>0</v>
      </c>
      <c r="BW8" s="469">
        <f t="shared" si="59"/>
        <v>0</v>
      </c>
      <c r="BX8" s="177">
        <f t="shared" si="60"/>
        <v>0.14451276363070453</v>
      </c>
      <c r="BY8" s="5">
        <f t="shared" si="61"/>
        <v>0.44999999999999996</v>
      </c>
      <c r="BZ8" s="177">
        <f t="shared" si="62"/>
        <v>0.75692235310784339</v>
      </c>
      <c r="CA8" s="5">
        <f t="shared" si="63"/>
        <v>75.692235310784341</v>
      </c>
      <c r="CD8" s="576">
        <f t="shared" si="46"/>
        <v>-50</v>
      </c>
      <c r="CE8">
        <f t="shared" si="47"/>
        <v>-50</v>
      </c>
    </row>
    <row r="9" spans="2:83" x14ac:dyDescent="0.25">
      <c r="E9" s="174">
        <v>4</v>
      </c>
      <c r="F9" s="221">
        <f t="shared" si="48"/>
        <v>0.04</v>
      </c>
      <c r="G9" s="221"/>
      <c r="H9" s="221">
        <f t="shared" si="0"/>
        <v>0.6</v>
      </c>
      <c r="I9" s="555">
        <f t="shared" si="1"/>
        <v>15</v>
      </c>
      <c r="J9" s="176">
        <f t="shared" si="2"/>
        <v>23.85</v>
      </c>
      <c r="K9" s="451">
        <f t="shared" si="3"/>
        <v>38.85</v>
      </c>
      <c r="L9" s="451"/>
      <c r="M9" s="221">
        <f t="shared" si="4"/>
        <v>0.61389961389961389</v>
      </c>
      <c r="N9" s="176">
        <f t="shared" si="5"/>
        <v>17.933542471042468</v>
      </c>
      <c r="O9" s="176">
        <f t="shared" si="49"/>
        <v>0.6</v>
      </c>
      <c r="P9" s="221">
        <f t="shared" si="6"/>
        <v>1.195569498069498</v>
      </c>
      <c r="Q9" s="221">
        <f t="shared" si="7"/>
        <v>15</v>
      </c>
      <c r="R9" s="221">
        <f t="shared" si="8"/>
        <v>1.2584942084942083</v>
      </c>
      <c r="S9" s="176">
        <f t="shared" si="9"/>
        <v>720.32497876912873</v>
      </c>
      <c r="T9" s="176">
        <f t="shared" si="10"/>
        <v>15</v>
      </c>
      <c r="U9" s="221">
        <f t="shared" si="11"/>
        <v>0.13717312148295266</v>
      </c>
      <c r="V9" s="221">
        <f t="shared" si="12"/>
        <v>6.4014123358711247E-2</v>
      </c>
      <c r="W9" s="221">
        <f t="shared" si="13"/>
        <v>4.0260454942585684E-2</v>
      </c>
      <c r="X9" s="201">
        <f t="shared" si="14"/>
        <v>350</v>
      </c>
      <c r="Y9" s="451">
        <f t="shared" si="50"/>
        <v>350</v>
      </c>
      <c r="AA9" s="221">
        <f t="shared" si="15"/>
        <v>3.7585690646915135</v>
      </c>
      <c r="AB9" s="177">
        <f t="shared" si="16"/>
        <v>1.1031439602868174</v>
      </c>
      <c r="AC9" s="177">
        <f t="shared" si="17"/>
        <v>1.0883887252967701</v>
      </c>
      <c r="AD9" s="177"/>
      <c r="AE9" s="177">
        <f t="shared" si="18"/>
        <v>0.24067085953878403</v>
      </c>
      <c r="AF9" s="559">
        <f t="shared" si="19"/>
        <v>270.24730177615373</v>
      </c>
      <c r="AG9" s="542">
        <f t="shared" si="20"/>
        <v>5.1804402515723262E-2</v>
      </c>
      <c r="AI9" s="177">
        <f t="shared" si="21"/>
        <v>0.73926255820768905</v>
      </c>
      <c r="AJ9" s="177">
        <f t="shared" si="22"/>
        <v>0.82</v>
      </c>
      <c r="AK9" s="177">
        <f t="shared" si="23"/>
        <v>1.1544270295863737</v>
      </c>
      <c r="AM9" s="559">
        <f t="shared" si="24"/>
        <v>40</v>
      </c>
      <c r="AN9" s="469">
        <f t="shared" si="25"/>
        <v>270.24730177615373</v>
      </c>
      <c r="AP9">
        <f t="shared" si="26"/>
        <v>40</v>
      </c>
      <c r="AQ9" s="469">
        <f t="shared" si="27"/>
        <v>270.24730177615373</v>
      </c>
      <c r="AR9" s="469"/>
      <c r="AS9" s="5">
        <f t="shared" si="51"/>
        <v>3.700314465408804</v>
      </c>
      <c r="AT9" s="5">
        <f t="shared" si="28"/>
        <v>0.3826666666666666</v>
      </c>
      <c r="AU9" s="5">
        <f t="shared" si="52"/>
        <v>3.3176477987421373</v>
      </c>
      <c r="AV9" s="5">
        <f t="shared" si="29"/>
        <v>0.24067085953878403</v>
      </c>
      <c r="AW9" s="177">
        <f t="shared" si="53"/>
        <v>0.10341463414634147</v>
      </c>
      <c r="AX9" s="177">
        <f t="shared" si="30"/>
        <v>0.63600000000000012</v>
      </c>
      <c r="AY9" s="177">
        <f t="shared" si="31"/>
        <v>0.5514</v>
      </c>
      <c r="AZ9" s="177">
        <f t="shared" si="54"/>
        <v>1.1534276387377587</v>
      </c>
      <c r="BA9" s="469">
        <f t="shared" si="32"/>
        <v>17.027319442995115</v>
      </c>
      <c r="BB9" s="469">
        <f t="shared" si="33"/>
        <v>0.18588918518518516</v>
      </c>
      <c r="BC9" s="5">
        <f t="shared" si="34"/>
        <v>0.18625391150833051</v>
      </c>
      <c r="BD9" s="469">
        <f t="shared" si="35"/>
        <v>14.095359152598476</v>
      </c>
      <c r="BE9" s="5"/>
      <c r="BF9" s="177">
        <f t="shared" si="55"/>
        <v>0.15224541591347396</v>
      </c>
      <c r="BG9" s="177">
        <f t="shared" si="36"/>
        <v>0.67241951191202054</v>
      </c>
      <c r="BH9" s="177"/>
      <c r="BI9" s="542">
        <f t="shared" si="37"/>
        <v>2.5496533333333338E-3</v>
      </c>
      <c r="BJ9" s="542">
        <f t="shared" si="38"/>
        <v>4.3046341463414649E-2</v>
      </c>
      <c r="BK9" s="542">
        <f t="shared" si="39"/>
        <v>1.3512365088807687E-2</v>
      </c>
      <c r="BL9" s="542">
        <f t="shared" si="40"/>
        <v>9.1775324955383736E-2</v>
      </c>
      <c r="BM9">
        <f t="shared" si="41"/>
        <v>4.3499999999999997E-3</v>
      </c>
      <c r="BN9" s="469">
        <f t="shared" si="56"/>
        <v>155.23368484093939</v>
      </c>
      <c r="BO9" s="542">
        <f t="shared" si="57"/>
        <v>3.6000000000000004E-2</v>
      </c>
      <c r="BP9" s="542"/>
      <c r="BR9" s="469">
        <f t="shared" si="58"/>
        <v>36.000000000000007</v>
      </c>
      <c r="BS9" s="542">
        <f t="shared" si="42"/>
        <v>0</v>
      </c>
      <c r="BT9" s="542">
        <f t="shared" si="43"/>
        <v>0</v>
      </c>
      <c r="BU9" s="542">
        <f t="shared" si="44"/>
        <v>0</v>
      </c>
      <c r="BV9" s="542">
        <f t="shared" si="45"/>
        <v>0</v>
      </c>
      <c r="BW9" s="469">
        <f t="shared" si="59"/>
        <v>0</v>
      </c>
      <c r="BX9" s="177">
        <f t="shared" si="60"/>
        <v>0.19123368484093939</v>
      </c>
      <c r="BY9" s="5">
        <f t="shared" si="61"/>
        <v>0.6</v>
      </c>
      <c r="BZ9" s="177">
        <f t="shared" si="62"/>
        <v>0.75830947480530631</v>
      </c>
      <c r="CA9" s="5">
        <f t="shared" si="63"/>
        <v>75.830947480530625</v>
      </c>
      <c r="CD9" s="576">
        <f t="shared" si="46"/>
        <v>-50</v>
      </c>
      <c r="CE9">
        <f t="shared" si="47"/>
        <v>-50</v>
      </c>
    </row>
    <row r="10" spans="2:83" x14ac:dyDescent="0.25">
      <c r="E10" s="174">
        <v>5</v>
      </c>
      <c r="F10" s="221">
        <f t="shared" si="48"/>
        <v>0.05</v>
      </c>
      <c r="G10" s="221"/>
      <c r="H10" s="221">
        <f t="shared" si="0"/>
        <v>0.75</v>
      </c>
      <c r="I10" s="555">
        <f t="shared" si="1"/>
        <v>15</v>
      </c>
      <c r="J10" s="176">
        <f t="shared" si="2"/>
        <v>23.85</v>
      </c>
      <c r="K10" s="451">
        <f t="shared" si="3"/>
        <v>38.85</v>
      </c>
      <c r="L10" s="451"/>
      <c r="M10" s="221">
        <f t="shared" si="4"/>
        <v>0.61389961389961389</v>
      </c>
      <c r="N10" s="176">
        <f t="shared" si="5"/>
        <v>17.933542471042468</v>
      </c>
      <c r="O10" s="176">
        <f t="shared" si="49"/>
        <v>0.75</v>
      </c>
      <c r="P10" s="221">
        <f t="shared" si="6"/>
        <v>1.195569498069498</v>
      </c>
      <c r="Q10" s="221">
        <f t="shared" si="7"/>
        <v>15</v>
      </c>
      <c r="R10" s="221">
        <f t="shared" si="8"/>
        <v>1.2584942084942083</v>
      </c>
      <c r="S10" s="176">
        <f t="shared" si="9"/>
        <v>574.26564766608794</v>
      </c>
      <c r="T10" s="176">
        <f t="shared" si="10"/>
        <v>15</v>
      </c>
      <c r="U10" s="221">
        <f t="shared" si="11"/>
        <v>0.17146640185369083</v>
      </c>
      <c r="V10" s="221">
        <f t="shared" si="12"/>
        <v>8.0017654198389049E-2</v>
      </c>
      <c r="W10" s="221">
        <f t="shared" si="13"/>
        <v>5.0325568678232104E-2</v>
      </c>
      <c r="X10" s="201">
        <f t="shared" si="14"/>
        <v>350</v>
      </c>
      <c r="Y10" s="451">
        <f t="shared" si="50"/>
        <v>350</v>
      </c>
      <c r="AA10" s="221">
        <f t="shared" si="15"/>
        <v>3.7585690646915135</v>
      </c>
      <c r="AB10" s="177">
        <f t="shared" si="16"/>
        <v>1.1031439602868174</v>
      </c>
      <c r="AC10" s="177">
        <f t="shared" si="17"/>
        <v>1.0883887252967701</v>
      </c>
      <c r="AD10" s="177"/>
      <c r="AE10" s="177">
        <f t="shared" si="18"/>
        <v>0.24067085953878403</v>
      </c>
      <c r="AF10" s="559">
        <f t="shared" si="19"/>
        <v>337.80912722019218</v>
      </c>
      <c r="AG10" s="542">
        <f t="shared" si="20"/>
        <v>5.1804402515723262E-2</v>
      </c>
      <c r="AI10" s="177">
        <f t="shared" si="21"/>
        <v>0.82652066668639379</v>
      </c>
      <c r="AJ10" s="177">
        <f t="shared" si="22"/>
        <v>0.82652066668639379</v>
      </c>
      <c r="AK10" s="177">
        <f t="shared" si="23"/>
        <v>1.193033786982967</v>
      </c>
      <c r="AM10" s="559">
        <f t="shared" si="24"/>
        <v>50</v>
      </c>
      <c r="AN10" s="469">
        <f t="shared" si="25"/>
        <v>337.80912722019218</v>
      </c>
      <c r="AP10">
        <f t="shared" si="26"/>
        <v>50</v>
      </c>
      <c r="AQ10" s="469">
        <f t="shared" si="27"/>
        <v>337.80912722019218</v>
      </c>
      <c r="AR10" s="469"/>
      <c r="AS10" s="5">
        <f t="shared" si="51"/>
        <v>2.9602515723270431</v>
      </c>
      <c r="AT10" s="5">
        <f t="shared" si="28"/>
        <v>0.38570964445365047</v>
      </c>
      <c r="AU10" s="5">
        <f t="shared" si="52"/>
        <v>2.5745419278733928</v>
      </c>
      <c r="AV10" s="5">
        <f t="shared" si="29"/>
        <v>0.24258468204632103</v>
      </c>
      <c r="AW10" s="177">
        <f t="shared" si="53"/>
        <v>0.13029623835329829</v>
      </c>
      <c r="AX10" s="177">
        <f t="shared" si="30"/>
        <v>0.80769400342873032</v>
      </c>
      <c r="AY10" s="177">
        <f t="shared" si="31"/>
        <v>0.53912109967192234</v>
      </c>
      <c r="AZ10" s="177">
        <f t="shared" si="54"/>
        <v>1.4981680441003808</v>
      </c>
      <c r="BA10" s="469">
        <f t="shared" si="32"/>
        <v>17.027319442995115</v>
      </c>
      <c r="BB10" s="469">
        <f t="shared" si="33"/>
        <v>0.25295185185185187</v>
      </c>
      <c r="BC10" s="5">
        <f t="shared" si="34"/>
        <v>0.18066960897357143</v>
      </c>
      <c r="BD10" s="469">
        <f t="shared" si="35"/>
        <v>13.708115409859962</v>
      </c>
      <c r="BE10" s="5"/>
      <c r="BF10" s="177">
        <f t="shared" si="55"/>
        <v>0.17224992000546654</v>
      </c>
      <c r="BG10" s="177">
        <f t="shared" si="36"/>
        <v>0.66752882389117785</v>
      </c>
      <c r="BH10" s="177"/>
      <c r="BI10" s="542">
        <f t="shared" si="37"/>
        <v>3.2637038436078587E-3</v>
      </c>
      <c r="BJ10" s="542">
        <f t="shared" si="38"/>
        <v>5.4235809214560421E-2</v>
      </c>
      <c r="BK10" s="542">
        <f t="shared" si="39"/>
        <v>1.6890456361009609E-2</v>
      </c>
      <c r="BL10" s="542">
        <f t="shared" si="40"/>
        <v>0.11471915619422968</v>
      </c>
      <c r="BM10">
        <f t="shared" si="41"/>
        <v>4.3499999999999997E-3</v>
      </c>
      <c r="BN10" s="469">
        <f t="shared" si="56"/>
        <v>193.45912561340756</v>
      </c>
      <c r="BO10" s="542">
        <f t="shared" si="57"/>
        <v>4.5000000000000005E-2</v>
      </c>
      <c r="BP10" s="542"/>
      <c r="BR10" s="469">
        <f t="shared" si="58"/>
        <v>45.000000000000007</v>
      </c>
      <c r="BS10" s="542">
        <f t="shared" si="42"/>
        <v>0</v>
      </c>
      <c r="BT10" s="542">
        <f t="shared" si="43"/>
        <v>0</v>
      </c>
      <c r="BU10" s="542">
        <f t="shared" si="44"/>
        <v>0</v>
      </c>
      <c r="BV10" s="542">
        <f t="shared" si="45"/>
        <v>0</v>
      </c>
      <c r="BW10" s="469">
        <f t="shared" si="59"/>
        <v>0</v>
      </c>
      <c r="BX10" s="177">
        <f t="shared" si="60"/>
        <v>0.23845912561340757</v>
      </c>
      <c r="BY10" s="5">
        <f t="shared" si="61"/>
        <v>0.75</v>
      </c>
      <c r="BZ10" s="177">
        <f t="shared" si="62"/>
        <v>0.75875671594874794</v>
      </c>
      <c r="CA10" s="5">
        <f t="shared" si="63"/>
        <v>75.875671594874788</v>
      </c>
      <c r="CD10" s="576">
        <f t="shared" si="46"/>
        <v>-50</v>
      </c>
      <c r="CE10">
        <f t="shared" si="47"/>
        <v>-50</v>
      </c>
    </row>
    <row r="11" spans="2:83" x14ac:dyDescent="0.25">
      <c r="E11" s="174">
        <v>6</v>
      </c>
      <c r="F11" s="221">
        <f t="shared" si="48"/>
        <v>0.06</v>
      </c>
      <c r="G11" s="221"/>
      <c r="H11" s="221">
        <f t="shared" si="0"/>
        <v>0.89999999999999991</v>
      </c>
      <c r="I11" s="555">
        <f t="shared" si="1"/>
        <v>15</v>
      </c>
      <c r="J11" s="176">
        <f t="shared" si="2"/>
        <v>23.85</v>
      </c>
      <c r="K11" s="451">
        <f t="shared" si="3"/>
        <v>38.85</v>
      </c>
      <c r="L11" s="451"/>
      <c r="M11" s="221">
        <f t="shared" si="4"/>
        <v>0.61389961389961389</v>
      </c>
      <c r="N11" s="176">
        <f t="shared" si="5"/>
        <v>17.933542471042468</v>
      </c>
      <c r="O11" s="176">
        <f t="shared" si="49"/>
        <v>0.89999999999999991</v>
      </c>
      <c r="P11" s="221">
        <f t="shared" si="6"/>
        <v>1.195569498069498</v>
      </c>
      <c r="Q11" s="221">
        <f t="shared" si="7"/>
        <v>15</v>
      </c>
      <c r="R11" s="221">
        <f t="shared" si="8"/>
        <v>1.2584942084942083</v>
      </c>
      <c r="S11" s="176">
        <f t="shared" si="9"/>
        <v>476.89383657617782</v>
      </c>
      <c r="T11" s="176">
        <f t="shared" si="10"/>
        <v>15</v>
      </c>
      <c r="U11" s="221">
        <f t="shared" si="11"/>
        <v>0.20575968222442897</v>
      </c>
      <c r="V11" s="221">
        <f t="shared" si="12"/>
        <v>9.6021185038066864E-2</v>
      </c>
      <c r="W11" s="221">
        <f t="shared" si="13"/>
        <v>6.0390682413878523E-2</v>
      </c>
      <c r="X11" s="201">
        <f t="shared" si="14"/>
        <v>350</v>
      </c>
      <c r="Y11" s="451">
        <f t="shared" si="50"/>
        <v>350</v>
      </c>
      <c r="AA11" s="221">
        <f t="shared" si="15"/>
        <v>3.7585690646915135</v>
      </c>
      <c r="AB11" s="177">
        <f t="shared" si="16"/>
        <v>1.1031439602868174</v>
      </c>
      <c r="AC11" s="177">
        <f t="shared" si="17"/>
        <v>1.0883887252967701</v>
      </c>
      <c r="AD11" s="177"/>
      <c r="AE11" s="177">
        <f t="shared" si="18"/>
        <v>0.24067085953878403</v>
      </c>
      <c r="AF11" s="559">
        <f t="shared" si="19"/>
        <v>405.37095266423051</v>
      </c>
      <c r="AG11" s="542">
        <f t="shared" si="20"/>
        <v>5.1804402515723262E-2</v>
      </c>
      <c r="AI11" s="177">
        <f t="shared" si="21"/>
        <v>0.90540802677669319</v>
      </c>
      <c r="AJ11" s="177">
        <f t="shared" si="22"/>
        <v>0.90540802677669319</v>
      </c>
      <c r="AK11" s="177">
        <f t="shared" si="23"/>
        <v>1.2632652050197728</v>
      </c>
      <c r="AM11" s="559">
        <f t="shared" si="24"/>
        <v>60</v>
      </c>
      <c r="AN11" s="469">
        <f t="shared" si="25"/>
        <v>350</v>
      </c>
      <c r="AP11">
        <f t="shared" si="26"/>
        <v>60</v>
      </c>
      <c r="AQ11" s="469">
        <f t="shared" si="27"/>
        <v>350</v>
      </c>
      <c r="AR11" s="469"/>
      <c r="AS11" s="5">
        <f t="shared" si="51"/>
        <v>2.8571428571428572</v>
      </c>
      <c r="AT11" s="5">
        <f t="shared" si="28"/>
        <v>0.4225237458291235</v>
      </c>
      <c r="AU11" s="5">
        <f t="shared" si="52"/>
        <v>2.4346191113137339</v>
      </c>
      <c r="AV11" s="5">
        <f t="shared" si="29"/>
        <v>0.26573820492397704</v>
      </c>
      <c r="AW11" s="177">
        <f t="shared" si="53"/>
        <v>0.14788331104019323</v>
      </c>
      <c r="AX11" s="177">
        <f t="shared" si="30"/>
        <v>1.0042105263157897</v>
      </c>
      <c r="AY11" s="177">
        <f t="shared" si="31"/>
        <v>0.5786349674509409</v>
      </c>
      <c r="AZ11" s="177">
        <f t="shared" si="54"/>
        <v>1.7354819234994312</v>
      </c>
      <c r="BA11" s="469">
        <f t="shared" si="32"/>
        <v>17.027319442995115</v>
      </c>
      <c r="BB11" s="469">
        <f t="shared" si="33"/>
        <v>0.32825066666666658</v>
      </c>
      <c r="BC11" s="5">
        <f t="shared" si="34"/>
        <v>0.20502055674220918</v>
      </c>
      <c r="BD11" s="469">
        <f t="shared" si="35"/>
        <v>15.56601543987621</v>
      </c>
      <c r="BE11" s="5"/>
      <c r="BF11" s="177">
        <f t="shared" si="55"/>
        <v>0.20102186405131423</v>
      </c>
      <c r="BG11" s="177">
        <f t="shared" si="36"/>
        <v>0.72380988118687106</v>
      </c>
      <c r="BH11" s="177"/>
      <c r="BI11" s="542">
        <f t="shared" si="37"/>
        <v>4.4450768809331563E-3</v>
      </c>
      <c r="BJ11" s="542">
        <f t="shared" si="38"/>
        <v>6.1556428220480429E-2</v>
      </c>
      <c r="BK11" s="542">
        <f t="shared" si="39"/>
        <v>1.7499999999999998E-2</v>
      </c>
      <c r="BL11" s="542">
        <f t="shared" si="40"/>
        <v>0.11885914687500002</v>
      </c>
      <c r="BM11">
        <f t="shared" si="41"/>
        <v>4.3499999999999997E-3</v>
      </c>
      <c r="BN11" s="469">
        <f t="shared" si="56"/>
        <v>206.7106519764136</v>
      </c>
      <c r="BO11" s="542">
        <f t="shared" si="57"/>
        <v>5.3999999999999999E-2</v>
      </c>
      <c r="BP11" s="542"/>
      <c r="BR11" s="469">
        <f t="shared" si="58"/>
        <v>54</v>
      </c>
      <c r="BS11" s="542">
        <f t="shared" si="42"/>
        <v>0</v>
      </c>
      <c r="BT11" s="542">
        <f t="shared" si="43"/>
        <v>0</v>
      </c>
      <c r="BU11" s="542">
        <f t="shared" si="44"/>
        <v>0</v>
      </c>
      <c r="BV11" s="542">
        <f t="shared" si="45"/>
        <v>0</v>
      </c>
      <c r="BW11" s="469">
        <f t="shared" si="59"/>
        <v>0</v>
      </c>
      <c r="BX11" s="177">
        <f t="shared" si="60"/>
        <v>0.26071065197641363</v>
      </c>
      <c r="BY11" s="5">
        <f t="shared" si="61"/>
        <v>0.89999999999999991</v>
      </c>
      <c r="BZ11" s="177">
        <f t="shared" si="62"/>
        <v>0.77538704281511883</v>
      </c>
      <c r="CA11" s="5">
        <f t="shared" si="63"/>
        <v>77.538704281511883</v>
      </c>
      <c r="CD11" s="576">
        <f t="shared" si="46"/>
        <v>-50</v>
      </c>
      <c r="CE11">
        <f t="shared" si="47"/>
        <v>-50</v>
      </c>
    </row>
    <row r="12" spans="2:83" x14ac:dyDescent="0.25">
      <c r="E12" s="174">
        <v>7</v>
      </c>
      <c r="F12" s="221">
        <f t="shared" si="48"/>
        <v>7.0000000000000007E-2</v>
      </c>
      <c r="G12" s="221"/>
      <c r="H12" s="221">
        <f t="shared" si="0"/>
        <v>1.05</v>
      </c>
      <c r="I12" s="555">
        <f t="shared" si="1"/>
        <v>15</v>
      </c>
      <c r="J12" s="176">
        <f t="shared" si="2"/>
        <v>23.85</v>
      </c>
      <c r="K12" s="451">
        <f t="shared" si="3"/>
        <v>38.85</v>
      </c>
      <c r="L12" s="451"/>
      <c r="M12" s="221">
        <f t="shared" si="4"/>
        <v>0.61389961389961389</v>
      </c>
      <c r="N12" s="176">
        <f t="shared" si="5"/>
        <v>17.933542471042468</v>
      </c>
      <c r="O12" s="176">
        <f t="shared" si="49"/>
        <v>1.05</v>
      </c>
      <c r="P12" s="221">
        <f t="shared" si="6"/>
        <v>1.195569498069498</v>
      </c>
      <c r="Q12" s="221">
        <f t="shared" si="7"/>
        <v>15</v>
      </c>
      <c r="R12" s="221">
        <f t="shared" si="8"/>
        <v>1.2584942084942083</v>
      </c>
      <c r="S12" s="176">
        <f t="shared" si="9"/>
        <v>407.34347423919269</v>
      </c>
      <c r="T12" s="176">
        <f t="shared" si="10"/>
        <v>15</v>
      </c>
      <c r="U12" s="221">
        <f t="shared" si="11"/>
        <v>0.24005296259516717</v>
      </c>
      <c r="V12" s="221">
        <f t="shared" si="12"/>
        <v>0.11202471587774468</v>
      </c>
      <c r="W12" s="221">
        <f t="shared" si="13"/>
        <v>7.0455796149524963E-2</v>
      </c>
      <c r="X12" s="201">
        <f t="shared" si="14"/>
        <v>350</v>
      </c>
      <c r="Y12" s="451">
        <f t="shared" si="50"/>
        <v>350</v>
      </c>
      <c r="AA12" s="221">
        <f t="shared" si="15"/>
        <v>3.7585690646915135</v>
      </c>
      <c r="AB12" s="177">
        <f t="shared" si="16"/>
        <v>1.1031439602868174</v>
      </c>
      <c r="AC12" s="177">
        <f t="shared" si="17"/>
        <v>1.0883887252967701</v>
      </c>
      <c r="AD12" s="177"/>
      <c r="AE12" s="177">
        <f t="shared" si="18"/>
        <v>0.24067085953878403</v>
      </c>
      <c r="AF12" s="559">
        <f t="shared" si="19"/>
        <v>472.93277810826902</v>
      </c>
      <c r="AG12" s="542">
        <f t="shared" si="20"/>
        <v>5.1804402515723262E-2</v>
      </c>
      <c r="AI12" s="177">
        <f t="shared" si="21"/>
        <v>0.97795244129947823</v>
      </c>
      <c r="AJ12" s="177">
        <f t="shared" si="22"/>
        <v>0.97795244129947823</v>
      </c>
      <c r="AK12" s="177">
        <f t="shared" si="23"/>
        <v>1.3170018083699839</v>
      </c>
      <c r="AM12" s="559">
        <f t="shared" si="24"/>
        <v>70</v>
      </c>
      <c r="AN12" s="469">
        <f t="shared" si="25"/>
        <v>350</v>
      </c>
      <c r="AP12">
        <f t="shared" si="26"/>
        <v>70</v>
      </c>
      <c r="AQ12" s="469">
        <f t="shared" si="27"/>
        <v>350</v>
      </c>
      <c r="AR12" s="469"/>
      <c r="AS12" s="5">
        <f t="shared" si="51"/>
        <v>2.8571428571428572</v>
      </c>
      <c r="AT12" s="5">
        <f t="shared" si="28"/>
        <v>0.45637780593975646</v>
      </c>
      <c r="AU12" s="5">
        <f t="shared" si="52"/>
        <v>2.4007650512031007</v>
      </c>
      <c r="AV12" s="5">
        <f t="shared" si="29"/>
        <v>0.28703006662877767</v>
      </c>
      <c r="AW12" s="177">
        <f t="shared" si="53"/>
        <v>0.15973223207891477</v>
      </c>
      <c r="AX12" s="177">
        <f t="shared" si="30"/>
        <v>1.1715789473684215</v>
      </c>
      <c r="AY12" s="177">
        <f t="shared" si="31"/>
        <v>0.6163064362377666</v>
      </c>
      <c r="AZ12" s="177">
        <f t="shared" si="54"/>
        <v>1.900968217239962</v>
      </c>
      <c r="BA12" s="469">
        <f t="shared" si="32"/>
        <v>17.027319442995115</v>
      </c>
      <c r="BB12" s="469">
        <f t="shared" si="33"/>
        <v>0.41178562962962961</v>
      </c>
      <c r="BC12" s="5">
        <f t="shared" si="34"/>
        <v>0.23586463660942747</v>
      </c>
      <c r="BD12" s="469">
        <f t="shared" si="35"/>
        <v>17.910900377286008</v>
      </c>
      <c r="BE12" s="5"/>
      <c r="BF12" s="177">
        <f t="shared" si="55"/>
        <v>0.2256593786862571</v>
      </c>
      <c r="BG12" s="177">
        <f t="shared" si="36"/>
        <v>0.77634939550907434</v>
      </c>
      <c r="BH12" s="177"/>
      <c r="BI12" s="542">
        <f t="shared" si="37"/>
        <v>5.6014370707974347E-3</v>
      </c>
      <c r="BJ12" s="542">
        <f t="shared" si="38"/>
        <v>6.6488541602848283E-2</v>
      </c>
      <c r="BK12" s="542">
        <f t="shared" si="39"/>
        <v>1.7499999999999998E-2</v>
      </c>
      <c r="BL12" s="542">
        <f t="shared" si="40"/>
        <v>0.11885914687500002</v>
      </c>
      <c r="BM12">
        <f t="shared" si="41"/>
        <v>4.3499999999999997E-3</v>
      </c>
      <c r="BN12" s="469">
        <f t="shared" si="56"/>
        <v>212.79912554864575</v>
      </c>
      <c r="BO12" s="542">
        <f t="shared" si="57"/>
        <v>6.3000000000000014E-2</v>
      </c>
      <c r="BP12" s="542"/>
      <c r="BR12" s="469">
        <f t="shared" si="58"/>
        <v>63.000000000000014</v>
      </c>
      <c r="BS12" s="542">
        <f t="shared" si="42"/>
        <v>0</v>
      </c>
      <c r="BT12" s="542">
        <f t="shared" si="43"/>
        <v>0</v>
      </c>
      <c r="BU12" s="542">
        <f t="shared" si="44"/>
        <v>0</v>
      </c>
      <c r="BV12" s="542">
        <f t="shared" si="45"/>
        <v>0</v>
      </c>
      <c r="BW12" s="469">
        <f t="shared" si="59"/>
        <v>0</v>
      </c>
      <c r="BX12" s="177">
        <f t="shared" si="60"/>
        <v>0.27579912554864577</v>
      </c>
      <c r="BY12" s="5">
        <f t="shared" si="61"/>
        <v>1.05</v>
      </c>
      <c r="BZ12" s="177">
        <f t="shared" si="62"/>
        <v>0.79197517917013716</v>
      </c>
      <c r="CA12" s="5">
        <f t="shared" si="63"/>
        <v>79.197517917013712</v>
      </c>
      <c r="CD12" s="576">
        <f t="shared" si="46"/>
        <v>-50</v>
      </c>
      <c r="CE12">
        <f t="shared" si="47"/>
        <v>-50</v>
      </c>
    </row>
    <row r="13" spans="2:83" s="76" customFormat="1" x14ac:dyDescent="0.25">
      <c r="E13" s="193">
        <v>8</v>
      </c>
      <c r="F13" s="221">
        <f t="shared" si="48"/>
        <v>0.08</v>
      </c>
      <c r="G13" s="221"/>
      <c r="H13" s="221">
        <f t="shared" si="0"/>
        <v>1.2</v>
      </c>
      <c r="I13" s="555">
        <f t="shared" si="1"/>
        <v>15</v>
      </c>
      <c r="J13" s="176">
        <f t="shared" si="2"/>
        <v>23.85</v>
      </c>
      <c r="K13" s="549">
        <f t="shared" si="3"/>
        <v>38.85</v>
      </c>
      <c r="L13" s="549"/>
      <c r="M13" s="333">
        <f t="shared" si="4"/>
        <v>0.61389961389961389</v>
      </c>
      <c r="N13" s="176">
        <f t="shared" si="5"/>
        <v>17.933542471042468</v>
      </c>
      <c r="O13" s="176">
        <f t="shared" si="49"/>
        <v>1.2</v>
      </c>
      <c r="P13" s="333">
        <f t="shared" si="6"/>
        <v>1.195569498069498</v>
      </c>
      <c r="Q13" s="221">
        <f t="shared" si="7"/>
        <v>15</v>
      </c>
      <c r="R13" s="221">
        <f t="shared" si="8"/>
        <v>1.2584942084942083</v>
      </c>
      <c r="S13" s="176">
        <f t="shared" si="9"/>
        <v>355.18152511079717</v>
      </c>
      <c r="T13" s="176">
        <f t="shared" si="10"/>
        <v>15</v>
      </c>
      <c r="U13" s="221">
        <f t="shared" si="11"/>
        <v>0.27434624296590532</v>
      </c>
      <c r="V13" s="333">
        <f t="shared" si="12"/>
        <v>0.12802824671742249</v>
      </c>
      <c r="W13" s="221">
        <f t="shared" si="13"/>
        <v>8.0520909885171368E-2</v>
      </c>
      <c r="X13" s="551">
        <f t="shared" si="14"/>
        <v>350</v>
      </c>
      <c r="Y13" s="549">
        <f t="shared" si="50"/>
        <v>350</v>
      </c>
      <c r="AA13" s="333">
        <f t="shared" si="15"/>
        <v>3.7585690646915135</v>
      </c>
      <c r="AB13" s="177">
        <f t="shared" si="16"/>
        <v>1.1031439602868174</v>
      </c>
      <c r="AC13" s="552">
        <f t="shared" si="17"/>
        <v>1.0883887252967701</v>
      </c>
      <c r="AD13" s="552"/>
      <c r="AE13" s="177">
        <f t="shared" si="18"/>
        <v>0.24067085953878403</v>
      </c>
      <c r="AF13" s="559">
        <f t="shared" si="19"/>
        <v>540.49460355230747</v>
      </c>
      <c r="AG13" s="542">
        <f t="shared" si="20"/>
        <v>5.1804402515723262E-2</v>
      </c>
      <c r="AH13"/>
      <c r="AI13" s="177">
        <f t="shared" si="21"/>
        <v>1.0454751359719434</v>
      </c>
      <c r="AJ13" s="177">
        <f t="shared" si="22"/>
        <v>1.0454751359719434</v>
      </c>
      <c r="AK13" s="177">
        <f t="shared" si="23"/>
        <v>1.3670186192384766</v>
      </c>
      <c r="AM13" s="559">
        <f t="shared" si="24"/>
        <v>80</v>
      </c>
      <c r="AN13" s="469">
        <f t="shared" si="25"/>
        <v>350</v>
      </c>
      <c r="AP13">
        <f t="shared" si="26"/>
        <v>80</v>
      </c>
      <c r="AQ13" s="469">
        <f t="shared" si="27"/>
        <v>350</v>
      </c>
      <c r="AR13" s="469"/>
      <c r="AS13" s="5">
        <f t="shared" si="51"/>
        <v>2.8571428571428572</v>
      </c>
      <c r="AT13" s="5">
        <f t="shared" si="28"/>
        <v>0.48788839678690693</v>
      </c>
      <c r="AU13" s="5">
        <f t="shared" si="52"/>
        <v>2.3692544603559504</v>
      </c>
      <c r="AV13" s="5">
        <f t="shared" si="29"/>
        <v>0.30684804829365214</v>
      </c>
      <c r="AW13" s="177">
        <f t="shared" si="53"/>
        <v>0.17076093887541743</v>
      </c>
      <c r="AX13" s="177">
        <f t="shared" si="30"/>
        <v>1.3389473684210533</v>
      </c>
      <c r="AY13" s="177">
        <f t="shared" si="31"/>
        <v>0.65021161513685222</v>
      </c>
      <c r="AZ13" s="177">
        <f t="shared" si="54"/>
        <v>2.0592486157591026</v>
      </c>
      <c r="BA13" s="469">
        <f t="shared" si="32"/>
        <v>17.027319442995115</v>
      </c>
      <c r="BB13" s="469">
        <f t="shared" si="33"/>
        <v>0.50355674074074064</v>
      </c>
      <c r="BC13" s="5">
        <f t="shared" si="34"/>
        <v>0.26602155344347517</v>
      </c>
      <c r="BD13" s="469">
        <f t="shared" si="35"/>
        <v>20.204248087208008</v>
      </c>
      <c r="BE13" s="5"/>
      <c r="BF13" s="177">
        <f t="shared" si="55"/>
        <v>0.24942923129588626</v>
      </c>
      <c r="BG13" s="177">
        <f t="shared" si="36"/>
        <v>0.82448776628021447</v>
      </c>
      <c r="BH13" s="177"/>
      <c r="BI13" s="542">
        <f t="shared" si="37"/>
        <v>6.8436435567342403E-3</v>
      </c>
      <c r="BJ13" s="542">
        <f t="shared" si="38"/>
        <v>7.1079240806892513E-2</v>
      </c>
      <c r="BK13" s="542">
        <f t="shared" si="39"/>
        <v>1.7499999999999998E-2</v>
      </c>
      <c r="BL13" s="542">
        <f t="shared" si="40"/>
        <v>0.11885914687500002</v>
      </c>
      <c r="BM13">
        <f t="shared" si="41"/>
        <v>4.3499999999999997E-3</v>
      </c>
      <c r="BN13" s="469">
        <f t="shared" si="56"/>
        <v>218.63203123862675</v>
      </c>
      <c r="BO13" s="542">
        <f t="shared" si="57"/>
        <v>7.2000000000000008E-2</v>
      </c>
      <c r="BP13" s="542"/>
      <c r="BR13" s="469">
        <f t="shared" si="58"/>
        <v>72.000000000000014</v>
      </c>
      <c r="BS13" s="542">
        <f t="shared" si="42"/>
        <v>0</v>
      </c>
      <c r="BT13" s="542">
        <f t="shared" si="43"/>
        <v>0</v>
      </c>
      <c r="BU13" s="542">
        <f t="shared" si="44"/>
        <v>0</v>
      </c>
      <c r="BV13" s="542">
        <f t="shared" si="45"/>
        <v>0</v>
      </c>
      <c r="BW13" s="469">
        <f t="shared" si="59"/>
        <v>0</v>
      </c>
      <c r="BX13" s="177">
        <f t="shared" si="60"/>
        <v>0.2906320312386268</v>
      </c>
      <c r="BY13" s="5">
        <f t="shared" si="61"/>
        <v>1.2</v>
      </c>
      <c r="BZ13" s="177">
        <f t="shared" si="62"/>
        <v>0.80502764924679038</v>
      </c>
      <c r="CA13" s="5">
        <f t="shared" si="63"/>
        <v>80.502764924679042</v>
      </c>
      <c r="CD13" s="576">
        <f t="shared" si="46"/>
        <v>-50</v>
      </c>
      <c r="CE13">
        <f t="shared" si="47"/>
        <v>-50</v>
      </c>
    </row>
    <row r="14" spans="2:83" x14ac:dyDescent="0.25">
      <c r="E14" s="174">
        <v>9</v>
      </c>
      <c r="F14" s="221">
        <f t="shared" si="48"/>
        <v>0.09</v>
      </c>
      <c r="G14" s="221"/>
      <c r="H14" s="221">
        <f t="shared" si="0"/>
        <v>1.3499999999999999</v>
      </c>
      <c r="I14" s="555">
        <f t="shared" si="1"/>
        <v>15</v>
      </c>
      <c r="J14" s="176">
        <f t="shared" si="2"/>
        <v>23.85</v>
      </c>
      <c r="K14" s="451">
        <f t="shared" si="3"/>
        <v>38.85</v>
      </c>
      <c r="L14" s="451"/>
      <c r="M14" s="221">
        <f t="shared" si="4"/>
        <v>0.61389961389961389</v>
      </c>
      <c r="N14" s="176">
        <f t="shared" si="5"/>
        <v>17.933542471042468</v>
      </c>
      <c r="O14" s="176">
        <f t="shared" si="49"/>
        <v>1.3499999999999999</v>
      </c>
      <c r="P14" s="221">
        <f t="shared" si="6"/>
        <v>1.195569498069498</v>
      </c>
      <c r="Q14" s="221">
        <f t="shared" si="7"/>
        <v>15</v>
      </c>
      <c r="R14" s="221">
        <f t="shared" si="8"/>
        <v>1.2584942084942083</v>
      </c>
      <c r="S14" s="176">
        <f t="shared" si="9"/>
        <v>314.6118584101572</v>
      </c>
      <c r="T14" s="176">
        <f t="shared" si="10"/>
        <v>15</v>
      </c>
      <c r="U14" s="221">
        <f t="shared" si="11"/>
        <v>0.30863952333664346</v>
      </c>
      <c r="V14" s="221">
        <f t="shared" si="12"/>
        <v>0.14403177755710028</v>
      </c>
      <c r="W14" s="221">
        <f t="shared" si="13"/>
        <v>9.0586023620817788E-2</v>
      </c>
      <c r="X14" s="201">
        <f t="shared" si="14"/>
        <v>350</v>
      </c>
      <c r="Y14" s="451">
        <f t="shared" si="50"/>
        <v>350</v>
      </c>
      <c r="AA14" s="221">
        <f t="shared" si="15"/>
        <v>3.7585690646915135</v>
      </c>
      <c r="AB14" s="177">
        <f t="shared" si="16"/>
        <v>1.1031439602868174</v>
      </c>
      <c r="AC14" s="177">
        <f t="shared" si="17"/>
        <v>1.0883887252967701</v>
      </c>
      <c r="AD14" s="177"/>
      <c r="AE14" s="177">
        <f t="shared" si="18"/>
        <v>0.24067085953878403</v>
      </c>
      <c r="AF14" s="559">
        <f t="shared" si="19"/>
        <v>608.05642899634586</v>
      </c>
      <c r="AG14" s="542">
        <f t="shared" si="20"/>
        <v>5.1804402515723262E-2</v>
      </c>
      <c r="AI14" s="177">
        <f t="shared" si="21"/>
        <v>1.1088938373115336</v>
      </c>
      <c r="AJ14" s="177">
        <f t="shared" si="22"/>
        <v>1.1088938373115336</v>
      </c>
      <c r="AK14" s="177">
        <f t="shared" si="23"/>
        <v>1.4139954350455803</v>
      </c>
      <c r="AM14" s="559">
        <f t="shared" si="24"/>
        <v>90</v>
      </c>
      <c r="AN14" s="469">
        <f t="shared" si="25"/>
        <v>350</v>
      </c>
      <c r="AP14">
        <f t="shared" si="26"/>
        <v>90</v>
      </c>
      <c r="AQ14" s="469">
        <f t="shared" si="27"/>
        <v>350</v>
      </c>
      <c r="AR14" s="469"/>
      <c r="AS14" s="5">
        <f t="shared" si="51"/>
        <v>2.8571428571428572</v>
      </c>
      <c r="AT14" s="5">
        <f t="shared" si="28"/>
        <v>0.51748379074538231</v>
      </c>
      <c r="AU14" s="5">
        <f t="shared" si="52"/>
        <v>2.3396590663974748</v>
      </c>
      <c r="AV14" s="5">
        <f t="shared" si="29"/>
        <v>0.325461503613448</v>
      </c>
      <c r="AW14" s="177">
        <f t="shared" si="53"/>
        <v>0.1811193267608838</v>
      </c>
      <c r="AX14" s="177">
        <f t="shared" si="30"/>
        <v>1.5063157894736847</v>
      </c>
      <c r="AY14" s="177">
        <f t="shared" si="31"/>
        <v>0.68103879903628173</v>
      </c>
      <c r="AZ14" s="177">
        <f t="shared" si="54"/>
        <v>2.2117914450765928</v>
      </c>
      <c r="BA14" s="469">
        <f t="shared" si="32"/>
        <v>17.027319442995115</v>
      </c>
      <c r="BB14" s="469">
        <f t="shared" si="33"/>
        <v>0.60356399999999999</v>
      </c>
      <c r="BC14" s="5">
        <f t="shared" si="34"/>
        <v>0.29553588207125997</v>
      </c>
      <c r="BD14" s="469">
        <f t="shared" si="35"/>
        <v>22.449401681660287</v>
      </c>
      <c r="BE14" s="5"/>
      <c r="BF14" s="177">
        <f t="shared" si="55"/>
        <v>0.27246563868923007</v>
      </c>
      <c r="BG14" s="177">
        <f t="shared" si="36"/>
        <v>0.8690222823503323</v>
      </c>
      <c r="BH14" s="177"/>
      <c r="BI14" s="542">
        <f t="shared" si="37"/>
        <v>8.1661276692963081E-3</v>
      </c>
      <c r="BJ14" s="542">
        <f t="shared" si="38"/>
        <v>7.5390919764217898E-2</v>
      </c>
      <c r="BK14" s="542">
        <f t="shared" si="39"/>
        <v>1.7499999999999998E-2</v>
      </c>
      <c r="BL14" s="542">
        <f t="shared" si="40"/>
        <v>0.11885914687500002</v>
      </c>
      <c r="BM14">
        <f t="shared" si="41"/>
        <v>4.3499999999999997E-3</v>
      </c>
      <c r="BN14" s="469">
        <f t="shared" si="56"/>
        <v>224.26619430851423</v>
      </c>
      <c r="BO14" s="542">
        <f t="shared" si="57"/>
        <v>8.1000000000000003E-2</v>
      </c>
      <c r="BP14" s="542"/>
      <c r="BR14" s="469">
        <f t="shared" si="58"/>
        <v>81</v>
      </c>
      <c r="BS14" s="542">
        <f t="shared" si="42"/>
        <v>0</v>
      </c>
      <c r="BT14" s="542">
        <f t="shared" si="43"/>
        <v>0</v>
      </c>
      <c r="BU14" s="542">
        <f t="shared" si="44"/>
        <v>0</v>
      </c>
      <c r="BV14" s="542">
        <f t="shared" si="45"/>
        <v>0</v>
      </c>
      <c r="BW14" s="469">
        <f t="shared" si="59"/>
        <v>0</v>
      </c>
      <c r="BX14" s="177">
        <f t="shared" si="60"/>
        <v>0.3052661943085142</v>
      </c>
      <c r="BY14" s="5">
        <f t="shared" si="61"/>
        <v>1.3499999999999999</v>
      </c>
      <c r="BZ14" s="177">
        <f t="shared" si="62"/>
        <v>0.81557879007126166</v>
      </c>
      <c r="CA14" s="5">
        <f t="shared" si="63"/>
        <v>81.557879007126161</v>
      </c>
      <c r="CD14" s="576">
        <f t="shared" si="46"/>
        <v>-50</v>
      </c>
      <c r="CE14">
        <f t="shared" si="47"/>
        <v>-50</v>
      </c>
    </row>
    <row r="15" spans="2:83" x14ac:dyDescent="0.25">
      <c r="E15" s="174">
        <v>10</v>
      </c>
      <c r="F15" s="221">
        <f t="shared" si="48"/>
        <v>0.1</v>
      </c>
      <c r="G15" s="221"/>
      <c r="H15" s="221">
        <f t="shared" si="0"/>
        <v>1.5</v>
      </c>
      <c r="I15" s="555">
        <f t="shared" si="1"/>
        <v>15</v>
      </c>
      <c r="J15" s="176">
        <f t="shared" si="2"/>
        <v>23.85</v>
      </c>
      <c r="K15" s="451">
        <f t="shared" si="3"/>
        <v>38.85</v>
      </c>
      <c r="L15" s="451"/>
      <c r="M15" s="221">
        <f t="shared" si="4"/>
        <v>0.61389961389961389</v>
      </c>
      <c r="N15" s="176">
        <f t="shared" si="5"/>
        <v>17.933542471042468</v>
      </c>
      <c r="O15" s="176">
        <f t="shared" si="49"/>
        <v>1.5</v>
      </c>
      <c r="P15" s="221">
        <f t="shared" si="6"/>
        <v>1.195569498069498</v>
      </c>
      <c r="Q15" s="221">
        <f t="shared" si="7"/>
        <v>15</v>
      </c>
      <c r="R15" s="221">
        <f t="shared" si="8"/>
        <v>1.2584942084942083</v>
      </c>
      <c r="S15" s="176">
        <f t="shared" si="9"/>
        <v>282.15679573900172</v>
      </c>
      <c r="T15" s="176">
        <f t="shared" si="10"/>
        <v>15</v>
      </c>
      <c r="U15" s="221">
        <f t="shared" si="11"/>
        <v>0.34293280370738166</v>
      </c>
      <c r="V15" s="221">
        <f t="shared" si="12"/>
        <v>0.1600353083967781</v>
      </c>
      <c r="W15" s="221">
        <f t="shared" si="13"/>
        <v>0.10065113735646421</v>
      </c>
      <c r="X15" s="201">
        <f t="shared" si="14"/>
        <v>350</v>
      </c>
      <c r="Y15" s="451">
        <f t="shared" si="50"/>
        <v>350</v>
      </c>
      <c r="AA15" s="221">
        <f t="shared" si="15"/>
        <v>3.7585690646915135</v>
      </c>
      <c r="AB15" s="177">
        <f t="shared" si="16"/>
        <v>1.1031439602868174</v>
      </c>
      <c r="AC15" s="177">
        <f t="shared" si="17"/>
        <v>1.0883887252967701</v>
      </c>
      <c r="AD15" s="177"/>
      <c r="AE15" s="177">
        <f t="shared" si="18"/>
        <v>0.24067085953878403</v>
      </c>
      <c r="AF15" s="559">
        <f t="shared" si="19"/>
        <v>675.61825444038436</v>
      </c>
      <c r="AG15" s="542">
        <f t="shared" si="20"/>
        <v>5.1804402515723262E-2</v>
      </c>
      <c r="AI15" s="177">
        <f t="shared" si="21"/>
        <v>1.1688767364095505</v>
      </c>
      <c r="AJ15" s="177">
        <f t="shared" si="22"/>
        <v>1.1688767364095505</v>
      </c>
      <c r="AK15" s="177">
        <f t="shared" si="23"/>
        <v>1.4584272121552226</v>
      </c>
      <c r="AM15" s="559">
        <f t="shared" si="24"/>
        <v>100</v>
      </c>
      <c r="AN15" s="469">
        <f t="shared" si="25"/>
        <v>350</v>
      </c>
      <c r="AP15">
        <f t="shared" si="26"/>
        <v>100</v>
      </c>
      <c r="AQ15" s="469">
        <f t="shared" si="27"/>
        <v>350</v>
      </c>
      <c r="AR15" s="469"/>
      <c r="AS15" s="5">
        <f t="shared" si="51"/>
        <v>2.8571428571428572</v>
      </c>
      <c r="AT15" s="5">
        <f t="shared" si="28"/>
        <v>0.5454758103244568</v>
      </c>
      <c r="AU15" s="5">
        <f t="shared" si="52"/>
        <v>2.3116670468184006</v>
      </c>
      <c r="AV15" s="5">
        <f t="shared" si="29"/>
        <v>0.34306654737387221</v>
      </c>
      <c r="AW15" s="177">
        <f t="shared" si="53"/>
        <v>0.19091653361355987</v>
      </c>
      <c r="AX15" s="177">
        <f t="shared" si="30"/>
        <v>1.6736842105263161</v>
      </c>
      <c r="AY15" s="177">
        <f t="shared" si="31"/>
        <v>0.7092891312545313</v>
      </c>
      <c r="AZ15" s="177">
        <f t="shared" si="54"/>
        <v>2.3596642564732995</v>
      </c>
      <c r="BA15" s="469">
        <f t="shared" si="32"/>
        <v>17.027319442995115</v>
      </c>
      <c r="BB15" s="469">
        <f t="shared" si="33"/>
        <v>0.71180740740740744</v>
      </c>
      <c r="BC15" s="5">
        <f t="shared" si="34"/>
        <v>0.32444449779907381</v>
      </c>
      <c r="BD15" s="469">
        <f t="shared" si="35"/>
        <v>24.649126808614746</v>
      </c>
      <c r="BE15" s="5"/>
      <c r="BF15" s="177">
        <f t="shared" si="55"/>
        <v>0.29486950317274591</v>
      </c>
      <c r="BG15" s="177">
        <f t="shared" si="36"/>
        <v>0.91053367038872413</v>
      </c>
      <c r="BH15" s="177"/>
      <c r="BI15" s="542">
        <f t="shared" si="37"/>
        <v>9.5642826291476215E-3</v>
      </c>
      <c r="BJ15" s="542">
        <f t="shared" si="38"/>
        <v>7.9469007116644313E-2</v>
      </c>
      <c r="BK15" s="542">
        <f t="shared" si="39"/>
        <v>1.7499999999999998E-2</v>
      </c>
      <c r="BL15" s="542">
        <f t="shared" si="40"/>
        <v>0.11885914687500002</v>
      </c>
      <c r="BM15">
        <f t="shared" si="41"/>
        <v>4.3499999999999997E-3</v>
      </c>
      <c r="BN15" s="469">
        <f t="shared" si="56"/>
        <v>229.74243662079195</v>
      </c>
      <c r="BO15" s="542">
        <f t="shared" si="57"/>
        <v>9.0000000000000011E-2</v>
      </c>
      <c r="BP15" s="542"/>
      <c r="BR15" s="469">
        <f t="shared" si="58"/>
        <v>90.000000000000014</v>
      </c>
      <c r="BS15" s="542">
        <f t="shared" si="42"/>
        <v>0</v>
      </c>
      <c r="BT15" s="542">
        <f t="shared" si="43"/>
        <v>0</v>
      </c>
      <c r="BU15" s="542">
        <f t="shared" si="44"/>
        <v>0</v>
      </c>
      <c r="BV15" s="542">
        <f t="shared" si="45"/>
        <v>0</v>
      </c>
      <c r="BW15" s="469">
        <f t="shared" si="59"/>
        <v>0</v>
      </c>
      <c r="BX15" s="177">
        <f t="shared" si="60"/>
        <v>0.31974243662079194</v>
      </c>
      <c r="BY15" s="5">
        <f t="shared" si="61"/>
        <v>1.5</v>
      </c>
      <c r="BZ15" s="177">
        <f t="shared" si="62"/>
        <v>0.82429247667898309</v>
      </c>
      <c r="CA15" s="5">
        <f t="shared" si="63"/>
        <v>82.429247667898309</v>
      </c>
      <c r="CD15" s="576">
        <f t="shared" si="46"/>
        <v>-50</v>
      </c>
      <c r="CE15">
        <f t="shared" si="47"/>
        <v>-50</v>
      </c>
    </row>
    <row r="16" spans="2:83" x14ac:dyDescent="0.25">
      <c r="E16" s="174">
        <v>11</v>
      </c>
      <c r="F16" s="221">
        <f t="shared" si="48"/>
        <v>0.11</v>
      </c>
      <c r="G16" s="221"/>
      <c r="H16" s="221">
        <f t="shared" si="0"/>
        <v>1.65</v>
      </c>
      <c r="I16" s="555">
        <f t="shared" si="1"/>
        <v>15</v>
      </c>
      <c r="J16" s="176">
        <f t="shared" si="2"/>
        <v>23.85</v>
      </c>
      <c r="K16" s="451">
        <f t="shared" si="3"/>
        <v>38.85</v>
      </c>
      <c r="L16" s="451"/>
      <c r="M16" s="221">
        <f t="shared" si="4"/>
        <v>0.61389961389961389</v>
      </c>
      <c r="N16" s="176">
        <f t="shared" si="5"/>
        <v>17.933542471042468</v>
      </c>
      <c r="O16" s="176">
        <f t="shared" si="49"/>
        <v>1.65</v>
      </c>
      <c r="P16" s="221">
        <f t="shared" si="6"/>
        <v>1.195569498069498</v>
      </c>
      <c r="Q16" s="221">
        <f t="shared" si="7"/>
        <v>15</v>
      </c>
      <c r="R16" s="221">
        <f t="shared" si="8"/>
        <v>1.2584942084942083</v>
      </c>
      <c r="S16" s="176">
        <f t="shared" si="9"/>
        <v>255.60326909029305</v>
      </c>
      <c r="T16" s="176">
        <f t="shared" si="10"/>
        <v>15</v>
      </c>
      <c r="U16" s="221">
        <f t="shared" si="11"/>
        <v>0.37722608407811981</v>
      </c>
      <c r="V16" s="221">
        <f t="shared" si="12"/>
        <v>0.17603883923645591</v>
      </c>
      <c r="W16" s="221">
        <f t="shared" si="13"/>
        <v>0.11071625109211063</v>
      </c>
      <c r="X16" s="201">
        <f t="shared" si="14"/>
        <v>350</v>
      </c>
      <c r="Y16" s="451">
        <f t="shared" si="50"/>
        <v>350</v>
      </c>
      <c r="AA16" s="221">
        <f t="shared" si="15"/>
        <v>3.7585690646915135</v>
      </c>
      <c r="AB16" s="177">
        <f t="shared" si="16"/>
        <v>1.1031439602868174</v>
      </c>
      <c r="AC16" s="177">
        <f t="shared" si="17"/>
        <v>1.0883887252967701</v>
      </c>
      <c r="AD16" s="177"/>
      <c r="AE16" s="177">
        <f t="shared" si="18"/>
        <v>0.24067085953878403</v>
      </c>
      <c r="AF16" s="559">
        <f t="shared" si="19"/>
        <v>743.18007988442275</v>
      </c>
      <c r="AG16" s="542">
        <f t="shared" si="20"/>
        <v>5.1804402515723262E-2</v>
      </c>
      <c r="AI16" s="177">
        <f t="shared" si="21"/>
        <v>1.2259282635665865</v>
      </c>
      <c r="AJ16" s="177">
        <f t="shared" si="22"/>
        <v>1.2259282635665865</v>
      </c>
      <c r="AK16" s="177">
        <f t="shared" si="23"/>
        <v>1.5006876026419158</v>
      </c>
      <c r="AM16" s="559">
        <f t="shared" si="24"/>
        <v>110</v>
      </c>
      <c r="AN16" s="469">
        <f t="shared" si="25"/>
        <v>350</v>
      </c>
      <c r="AP16">
        <f t="shared" si="26"/>
        <v>110</v>
      </c>
      <c r="AQ16" s="469">
        <f t="shared" si="27"/>
        <v>350</v>
      </c>
      <c r="AR16" s="469"/>
      <c r="AS16" s="5">
        <f t="shared" si="51"/>
        <v>2.8571428571428572</v>
      </c>
      <c r="AT16" s="5">
        <f t="shared" si="28"/>
        <v>0.57209985633107363</v>
      </c>
      <c r="AU16" s="5">
        <f t="shared" si="52"/>
        <v>2.2850430008117835</v>
      </c>
      <c r="AV16" s="5">
        <f t="shared" si="29"/>
        <v>0.35981123039690166</v>
      </c>
      <c r="AW16" s="177">
        <f t="shared" si="53"/>
        <v>0.20023494971587577</v>
      </c>
      <c r="AX16" s="177">
        <f t="shared" si="30"/>
        <v>1.8410526315789479</v>
      </c>
      <c r="AY16" s="177">
        <f t="shared" si="31"/>
        <v>0.73534093451704508</v>
      </c>
      <c r="AZ16" s="177">
        <f t="shared" si="54"/>
        <v>2.5036721677790301</v>
      </c>
      <c r="BA16" s="469">
        <f t="shared" si="32"/>
        <v>17.027319442995115</v>
      </c>
      <c r="BB16" s="469">
        <f t="shared" si="33"/>
        <v>0.82828696296296289</v>
      </c>
      <c r="BC16" s="5">
        <f t="shared" si="34"/>
        <v>0.35277856854638062</v>
      </c>
      <c r="BD16" s="469">
        <f t="shared" si="35"/>
        <v>26.805761062031177</v>
      </c>
      <c r="BE16" s="5"/>
      <c r="BF16" s="177">
        <f t="shared" si="55"/>
        <v>0.31671918552323453</v>
      </c>
      <c r="BG16" s="177">
        <f t="shared" si="36"/>
        <v>0.94946049679905697</v>
      </c>
      <c r="BH16" s="177"/>
      <c r="BI16" s="542">
        <f t="shared" si="37"/>
        <v>1.1034214672635115E-2</v>
      </c>
      <c r="BJ16" s="542">
        <f t="shared" si="38"/>
        <v>8.3347797819233294E-2</v>
      </c>
      <c r="BK16" s="542">
        <f t="shared" si="39"/>
        <v>1.7499999999999998E-2</v>
      </c>
      <c r="BL16" s="542">
        <f t="shared" si="40"/>
        <v>0.11885914687500002</v>
      </c>
      <c r="BM16">
        <f t="shared" si="41"/>
        <v>4.3499999999999997E-3</v>
      </c>
      <c r="BN16" s="469">
        <f t="shared" si="56"/>
        <v>235.09115936686842</v>
      </c>
      <c r="BO16" s="542">
        <f t="shared" si="57"/>
        <v>9.9000000000000005E-2</v>
      </c>
      <c r="BP16" s="542"/>
      <c r="BR16" s="469">
        <f t="shared" si="58"/>
        <v>99</v>
      </c>
      <c r="BS16" s="542">
        <f t="shared" si="42"/>
        <v>0</v>
      </c>
      <c r="BT16" s="542">
        <f t="shared" si="43"/>
        <v>0</v>
      </c>
      <c r="BU16" s="542">
        <f t="shared" si="44"/>
        <v>0</v>
      </c>
      <c r="BV16" s="542">
        <f t="shared" si="45"/>
        <v>0</v>
      </c>
      <c r="BW16" s="469">
        <f t="shared" si="59"/>
        <v>0</v>
      </c>
      <c r="BX16" s="177">
        <f t="shared" si="60"/>
        <v>0.3340911593668684</v>
      </c>
      <c r="BY16" s="5">
        <f t="shared" si="61"/>
        <v>1.65</v>
      </c>
      <c r="BZ16" s="177">
        <f t="shared" si="62"/>
        <v>0.83161501537385085</v>
      </c>
      <c r="CA16" s="5">
        <f t="shared" si="63"/>
        <v>83.161501537385078</v>
      </c>
      <c r="CD16" s="576">
        <f t="shared" si="46"/>
        <v>-50</v>
      </c>
      <c r="CE16">
        <f t="shared" si="47"/>
        <v>-50</v>
      </c>
    </row>
    <row r="17" spans="5:83" x14ac:dyDescent="0.25">
      <c r="E17" s="174">
        <v>12</v>
      </c>
      <c r="F17" s="221">
        <f t="shared" si="48"/>
        <v>0.12</v>
      </c>
      <c r="G17" s="221"/>
      <c r="H17" s="221">
        <f t="shared" si="0"/>
        <v>1.7999999999999998</v>
      </c>
      <c r="I17" s="555">
        <f t="shared" si="1"/>
        <v>15</v>
      </c>
      <c r="J17" s="176">
        <f t="shared" si="2"/>
        <v>23.85</v>
      </c>
      <c r="K17" s="451">
        <f t="shared" si="3"/>
        <v>38.85</v>
      </c>
      <c r="L17" s="451"/>
      <c r="M17" s="221">
        <f t="shared" si="4"/>
        <v>0.61389961389961389</v>
      </c>
      <c r="N17" s="176">
        <f t="shared" si="5"/>
        <v>17.933542471042468</v>
      </c>
      <c r="O17" s="176">
        <f t="shared" si="49"/>
        <v>1.7999999999999998</v>
      </c>
      <c r="P17" s="221">
        <f t="shared" si="6"/>
        <v>1.195569498069498</v>
      </c>
      <c r="Q17" s="221">
        <f t="shared" si="7"/>
        <v>15</v>
      </c>
      <c r="R17" s="221">
        <f t="shared" si="8"/>
        <v>1.2584942084942083</v>
      </c>
      <c r="S17" s="176">
        <f t="shared" si="9"/>
        <v>233.47589985256872</v>
      </c>
      <c r="T17" s="176">
        <f t="shared" si="10"/>
        <v>15</v>
      </c>
      <c r="U17" s="221">
        <f t="shared" si="11"/>
        <v>0.41151936444885795</v>
      </c>
      <c r="V17" s="221">
        <f t="shared" si="12"/>
        <v>0.19204237007613373</v>
      </c>
      <c r="W17" s="221">
        <f t="shared" si="13"/>
        <v>0.12078136482775705</v>
      </c>
      <c r="X17" s="201">
        <f t="shared" si="14"/>
        <v>350</v>
      </c>
      <c r="Y17" s="451">
        <f t="shared" si="50"/>
        <v>350</v>
      </c>
      <c r="AA17" s="221">
        <f t="shared" si="15"/>
        <v>3.7585690646915135</v>
      </c>
      <c r="AB17" s="177">
        <f t="shared" si="16"/>
        <v>1.1031439602868174</v>
      </c>
      <c r="AC17" s="177">
        <f t="shared" si="17"/>
        <v>1.0883887252967701</v>
      </c>
      <c r="AD17" s="177"/>
      <c r="AE17" s="177">
        <f t="shared" si="18"/>
        <v>0.24067085953878403</v>
      </c>
      <c r="AF17" s="559">
        <f t="shared" si="19"/>
        <v>810.74190532846103</v>
      </c>
      <c r="AG17" s="542">
        <f t="shared" si="20"/>
        <v>5.1804402515723262E-2</v>
      </c>
      <c r="AI17" s="177">
        <f t="shared" si="21"/>
        <v>1.2804403109490619</v>
      </c>
      <c r="AJ17" s="177">
        <f t="shared" si="22"/>
        <v>1.2804403109490619</v>
      </c>
      <c r="AK17" s="177">
        <f t="shared" si="23"/>
        <v>1.5410668969993051</v>
      </c>
      <c r="AM17" s="559">
        <f t="shared" si="24"/>
        <v>120</v>
      </c>
      <c r="AN17" s="469">
        <f t="shared" si="25"/>
        <v>350</v>
      </c>
      <c r="AP17">
        <f t="shared" si="26"/>
        <v>120</v>
      </c>
      <c r="AQ17" s="469">
        <f t="shared" si="27"/>
        <v>350</v>
      </c>
      <c r="AR17" s="469"/>
      <c r="AS17" s="5">
        <f t="shared" si="51"/>
        <v>2.8571428571428572</v>
      </c>
      <c r="AT17" s="5">
        <f t="shared" si="28"/>
        <v>0.59753881177622892</v>
      </c>
      <c r="AU17" s="5">
        <f t="shared" si="52"/>
        <v>2.2596040453666282</v>
      </c>
      <c r="AV17" s="5">
        <f t="shared" si="29"/>
        <v>0.37581057344416907</v>
      </c>
      <c r="AW17" s="177">
        <f t="shared" si="53"/>
        <v>0.20913858412168013</v>
      </c>
      <c r="AX17" s="177">
        <f t="shared" si="30"/>
        <v>2.0084210526315793</v>
      </c>
      <c r="AY17" s="177">
        <f t="shared" si="31"/>
        <v>0.7594881279486384</v>
      </c>
      <c r="AZ17" s="177">
        <f t="shared" si="54"/>
        <v>2.6444403522886959</v>
      </c>
      <c r="BA17" s="469">
        <f t="shared" si="32"/>
        <v>17.027319442995115</v>
      </c>
      <c r="BB17" s="469">
        <f t="shared" si="33"/>
        <v>0.95300266666666644</v>
      </c>
      <c r="BC17" s="5">
        <f t="shared" si="34"/>
        <v>0.38056489185122161</v>
      </c>
      <c r="BD17" s="469">
        <f t="shared" si="35"/>
        <v>28.921314257262665</v>
      </c>
      <c r="BE17" s="5"/>
      <c r="BF17" s="177">
        <f t="shared" si="55"/>
        <v>0.33807712973673937</v>
      </c>
      <c r="BG17" s="177">
        <f t="shared" si="36"/>
        <v>0.98614360755048025</v>
      </c>
      <c r="BH17" s="177"/>
      <c r="BI17" s="542">
        <f t="shared" si="37"/>
        <v>1.2572576021613532E-2</v>
      </c>
      <c r="BJ17" s="542">
        <f t="shared" si="38"/>
        <v>8.7053935640649352E-2</v>
      </c>
      <c r="BK17" s="542">
        <f t="shared" si="39"/>
        <v>1.7499999999999998E-2</v>
      </c>
      <c r="BL17" s="542">
        <f t="shared" si="40"/>
        <v>0.11885914687500002</v>
      </c>
      <c r="BM17">
        <f t="shared" si="41"/>
        <v>4.3499999999999997E-3</v>
      </c>
      <c r="BN17" s="469">
        <f t="shared" si="56"/>
        <v>240.33565853726287</v>
      </c>
      <c r="BO17" s="542">
        <f t="shared" si="57"/>
        <v>0.108</v>
      </c>
      <c r="BP17" s="542"/>
      <c r="BR17" s="469">
        <f t="shared" si="58"/>
        <v>108</v>
      </c>
      <c r="BS17" s="542">
        <f t="shared" si="42"/>
        <v>0</v>
      </c>
      <c r="BT17" s="542">
        <f t="shared" si="43"/>
        <v>0</v>
      </c>
      <c r="BU17" s="542">
        <f t="shared" si="44"/>
        <v>0</v>
      </c>
      <c r="BV17" s="542">
        <f t="shared" si="45"/>
        <v>0</v>
      </c>
      <c r="BW17" s="469">
        <f t="shared" si="59"/>
        <v>0</v>
      </c>
      <c r="BX17" s="177">
        <f t="shared" si="60"/>
        <v>0.34833565853726289</v>
      </c>
      <c r="BY17" s="5">
        <f t="shared" si="61"/>
        <v>1.7999999999999998</v>
      </c>
      <c r="BZ17" s="177">
        <f t="shared" si="62"/>
        <v>0.83785789843732594</v>
      </c>
      <c r="CA17" s="5">
        <f t="shared" si="63"/>
        <v>83.785789843732601</v>
      </c>
      <c r="CD17" s="576">
        <f t="shared" si="46"/>
        <v>-50</v>
      </c>
      <c r="CE17">
        <f t="shared" si="47"/>
        <v>-50</v>
      </c>
    </row>
    <row r="18" spans="5:83" x14ac:dyDescent="0.25">
      <c r="E18" s="174">
        <v>13</v>
      </c>
      <c r="F18" s="221">
        <f t="shared" si="48"/>
        <v>0.13</v>
      </c>
      <c r="G18" s="221"/>
      <c r="H18" s="221">
        <f t="shared" si="0"/>
        <v>1.9500000000000002</v>
      </c>
      <c r="I18" s="555">
        <f t="shared" si="1"/>
        <v>15</v>
      </c>
      <c r="J18" s="176">
        <f t="shared" si="2"/>
        <v>23.85</v>
      </c>
      <c r="K18" s="451">
        <f t="shared" si="3"/>
        <v>38.85</v>
      </c>
      <c r="L18" s="451"/>
      <c r="M18" s="221">
        <f t="shared" si="4"/>
        <v>0.61389961389961389</v>
      </c>
      <c r="N18" s="176">
        <f t="shared" si="5"/>
        <v>17.933542471042468</v>
      </c>
      <c r="O18" s="176">
        <f t="shared" si="49"/>
        <v>1.9500000000000002</v>
      </c>
      <c r="P18" s="221">
        <f t="shared" si="6"/>
        <v>1.195569498069498</v>
      </c>
      <c r="Q18" s="221">
        <f t="shared" si="7"/>
        <v>15</v>
      </c>
      <c r="R18" s="221">
        <f t="shared" si="8"/>
        <v>1.2584942084942083</v>
      </c>
      <c r="S18" s="176">
        <f t="shared" si="9"/>
        <v>214.75327211997785</v>
      </c>
      <c r="T18" s="176">
        <f t="shared" si="10"/>
        <v>15</v>
      </c>
      <c r="U18" s="221">
        <f t="shared" si="11"/>
        <v>0.4458126448195962</v>
      </c>
      <c r="V18" s="221">
        <f t="shared" si="12"/>
        <v>0.20804590091581157</v>
      </c>
      <c r="W18" s="221">
        <f t="shared" si="13"/>
        <v>0.13084647856340348</v>
      </c>
      <c r="X18" s="201">
        <f t="shared" si="14"/>
        <v>350</v>
      </c>
      <c r="Y18" s="451">
        <f t="shared" si="50"/>
        <v>350</v>
      </c>
      <c r="AA18" s="221">
        <f t="shared" si="15"/>
        <v>3.7585690646915135</v>
      </c>
      <c r="AB18" s="177">
        <f t="shared" si="16"/>
        <v>1.1031439602868174</v>
      </c>
      <c r="AC18" s="177">
        <f t="shared" si="17"/>
        <v>1.0883887252967701</v>
      </c>
      <c r="AD18" s="177"/>
      <c r="AE18" s="177">
        <f t="shared" si="18"/>
        <v>0.24067085953878403</v>
      </c>
      <c r="AF18" s="559">
        <f t="shared" si="19"/>
        <v>878.30373077249953</v>
      </c>
      <c r="AG18" s="542">
        <f t="shared" si="20"/>
        <v>5.1804402515723262E-2</v>
      </c>
      <c r="AI18" s="177">
        <f t="shared" si="21"/>
        <v>1.3327245298242523</v>
      </c>
      <c r="AJ18" s="177">
        <f t="shared" si="22"/>
        <v>1.3327245298242523</v>
      </c>
      <c r="AK18" s="177">
        <f t="shared" si="23"/>
        <v>1.5797959480179646</v>
      </c>
      <c r="AM18" s="559">
        <f t="shared" si="24"/>
        <v>130</v>
      </c>
      <c r="AN18" s="469">
        <f t="shared" si="25"/>
        <v>350</v>
      </c>
      <c r="AP18">
        <f t="shared" si="26"/>
        <v>130</v>
      </c>
      <c r="AQ18" s="469">
        <f t="shared" si="27"/>
        <v>350</v>
      </c>
      <c r="AR18" s="469"/>
      <c r="AS18" s="5">
        <f t="shared" si="51"/>
        <v>2.8571428571428572</v>
      </c>
      <c r="AT18" s="5">
        <f t="shared" si="28"/>
        <v>0.62193811391798448</v>
      </c>
      <c r="AU18" s="5">
        <f t="shared" si="52"/>
        <v>2.2352047432248727</v>
      </c>
      <c r="AV18" s="5">
        <f t="shared" si="29"/>
        <v>0.39115604648929836</v>
      </c>
      <c r="AW18" s="177">
        <f t="shared" si="53"/>
        <v>0.21767833987129456</v>
      </c>
      <c r="AX18" s="177">
        <f t="shared" si="30"/>
        <v>2.1757894736842114</v>
      </c>
      <c r="AY18" s="177">
        <f t="shared" si="31"/>
        <v>0.781964449999768</v>
      </c>
      <c r="AZ18" s="177">
        <f t="shared" si="54"/>
        <v>2.7824659723147991</v>
      </c>
      <c r="BA18" s="469">
        <f t="shared" si="32"/>
        <v>17.027319442995115</v>
      </c>
      <c r="BB18" s="469">
        <f t="shared" si="33"/>
        <v>1.0859545185185184</v>
      </c>
      <c r="BC18" s="5">
        <f t="shared" si="34"/>
        <v>0.40782683034278383</v>
      </c>
      <c r="BD18" s="469">
        <f t="shared" si="35"/>
        <v>30.997538591498259</v>
      </c>
      <c r="BE18" s="5"/>
      <c r="BF18" s="177">
        <f t="shared" si="55"/>
        <v>0.3589941505752085</v>
      </c>
      <c r="BG18" s="177">
        <f t="shared" si="36"/>
        <v>1.0208541541107725</v>
      </c>
      <c r="BH18" s="177"/>
      <c r="BI18" s="542">
        <f t="shared" si="37"/>
        <v>1.4176448016193702E-2</v>
      </c>
      <c r="BJ18" s="542">
        <f t="shared" si="38"/>
        <v>9.0608608971426335E-2</v>
      </c>
      <c r="BK18" s="542">
        <f t="shared" si="39"/>
        <v>1.7499999999999998E-2</v>
      </c>
      <c r="BL18" s="542">
        <f t="shared" si="40"/>
        <v>0.11885914687500002</v>
      </c>
      <c r="BM18">
        <f t="shared" si="41"/>
        <v>4.3499999999999997E-3</v>
      </c>
      <c r="BN18" s="469">
        <f t="shared" si="56"/>
        <v>245.49420386262005</v>
      </c>
      <c r="BO18" s="542">
        <f t="shared" si="57"/>
        <v>0.11700000000000001</v>
      </c>
      <c r="BP18" s="542"/>
      <c r="BR18" s="469">
        <f t="shared" si="58"/>
        <v>117</v>
      </c>
      <c r="BS18" s="542">
        <f t="shared" si="42"/>
        <v>0</v>
      </c>
      <c r="BT18" s="542">
        <f t="shared" si="43"/>
        <v>0</v>
      </c>
      <c r="BU18" s="542">
        <f t="shared" si="44"/>
        <v>0</v>
      </c>
      <c r="BV18" s="542">
        <f t="shared" si="45"/>
        <v>0</v>
      </c>
      <c r="BW18" s="469">
        <f t="shared" si="59"/>
        <v>0</v>
      </c>
      <c r="BX18" s="177">
        <f t="shared" si="60"/>
        <v>0.36249420386262005</v>
      </c>
      <c r="BY18" s="5">
        <f t="shared" si="61"/>
        <v>1.9500000000000002</v>
      </c>
      <c r="BZ18" s="177">
        <f t="shared" si="62"/>
        <v>0.84324535678526835</v>
      </c>
      <c r="CA18" s="5">
        <f t="shared" si="63"/>
        <v>84.324535678526829</v>
      </c>
      <c r="CD18" s="576">
        <f t="shared" si="46"/>
        <v>-50</v>
      </c>
      <c r="CE18">
        <f t="shared" si="47"/>
        <v>-50</v>
      </c>
    </row>
    <row r="19" spans="5:83" x14ac:dyDescent="0.25">
      <c r="E19" s="174">
        <v>14</v>
      </c>
      <c r="F19" s="221">
        <f t="shared" si="48"/>
        <v>0.14000000000000001</v>
      </c>
      <c r="G19" s="221"/>
      <c r="H19" s="221">
        <f t="shared" si="0"/>
        <v>2.1</v>
      </c>
      <c r="I19" s="555">
        <f t="shared" si="1"/>
        <v>15</v>
      </c>
      <c r="J19" s="176">
        <f t="shared" si="2"/>
        <v>23.85</v>
      </c>
      <c r="K19" s="451">
        <f t="shared" si="3"/>
        <v>38.85</v>
      </c>
      <c r="L19" s="451"/>
      <c r="M19" s="221">
        <f t="shared" si="4"/>
        <v>0.61389961389961389</v>
      </c>
      <c r="N19" s="176">
        <f t="shared" si="5"/>
        <v>17.933542471042468</v>
      </c>
      <c r="O19" s="176">
        <f t="shared" si="49"/>
        <v>2.1</v>
      </c>
      <c r="P19" s="221">
        <f t="shared" si="6"/>
        <v>1.195569498069498</v>
      </c>
      <c r="Q19" s="221">
        <f t="shared" si="7"/>
        <v>15</v>
      </c>
      <c r="R19" s="221">
        <f t="shared" si="8"/>
        <v>1.2584942084942083</v>
      </c>
      <c r="S19" s="176">
        <f t="shared" si="9"/>
        <v>198.70580315516463</v>
      </c>
      <c r="T19" s="176">
        <f t="shared" si="10"/>
        <v>15</v>
      </c>
      <c r="U19" s="221">
        <f t="shared" si="11"/>
        <v>0.48010592519033435</v>
      </c>
      <c r="V19" s="221">
        <f t="shared" si="12"/>
        <v>0.22404943175548936</v>
      </c>
      <c r="W19" s="221">
        <f t="shared" si="13"/>
        <v>0.14091159229904993</v>
      </c>
      <c r="X19" s="201">
        <f t="shared" si="14"/>
        <v>350</v>
      </c>
      <c r="Y19" s="451">
        <f t="shared" si="50"/>
        <v>350</v>
      </c>
      <c r="AA19" s="221">
        <f t="shared" si="15"/>
        <v>3.7585690646915135</v>
      </c>
      <c r="AB19" s="177">
        <f t="shared" si="16"/>
        <v>1.1031439602868174</v>
      </c>
      <c r="AC19" s="177">
        <f t="shared" si="17"/>
        <v>1.0883887252967701</v>
      </c>
      <c r="AD19" s="177"/>
      <c r="AE19" s="177">
        <f t="shared" si="18"/>
        <v>0.24067085953878403</v>
      </c>
      <c r="AF19" s="559">
        <f t="shared" si="19"/>
        <v>945.86555621653804</v>
      </c>
      <c r="AG19" s="542">
        <f t="shared" si="20"/>
        <v>5.1804402515723262E-2</v>
      </c>
      <c r="AI19" s="177">
        <f t="shared" si="21"/>
        <v>1.3830336058416002</v>
      </c>
      <c r="AJ19" s="177">
        <f t="shared" si="22"/>
        <v>1.3830336058416002</v>
      </c>
      <c r="AK19" s="177">
        <f t="shared" si="23"/>
        <v>1.6170619302530371</v>
      </c>
      <c r="AM19" s="559">
        <f t="shared" si="24"/>
        <v>140</v>
      </c>
      <c r="AN19" s="469">
        <f t="shared" si="25"/>
        <v>350</v>
      </c>
      <c r="AP19">
        <f t="shared" si="26"/>
        <v>140</v>
      </c>
      <c r="AQ19" s="469">
        <f t="shared" si="27"/>
        <v>350</v>
      </c>
      <c r="AR19" s="469"/>
      <c r="AS19" s="5">
        <f t="shared" si="51"/>
        <v>2.8571428571428572</v>
      </c>
      <c r="AT19" s="5">
        <f t="shared" si="28"/>
        <v>0.64541568272608008</v>
      </c>
      <c r="AU19" s="5">
        <f t="shared" si="52"/>
        <v>2.2117271744167772</v>
      </c>
      <c r="AV19" s="5">
        <f t="shared" si="29"/>
        <v>0.40592181303527042</v>
      </c>
      <c r="AW19" s="177">
        <f t="shared" si="53"/>
        <v>0.22589548895412803</v>
      </c>
      <c r="AX19" s="177">
        <f t="shared" si="30"/>
        <v>2.3431578947368426</v>
      </c>
      <c r="AY19" s="177">
        <f t="shared" si="31"/>
        <v>0.80295941490751588</v>
      </c>
      <c r="AZ19" s="177">
        <f t="shared" si="54"/>
        <v>2.9181523390029933</v>
      </c>
      <c r="BA19" s="469">
        <f t="shared" si="32"/>
        <v>17.027319442995115</v>
      </c>
      <c r="BB19" s="469">
        <f t="shared" si="33"/>
        <v>1.2271425185185185</v>
      </c>
      <c r="BC19" s="5">
        <f t="shared" si="34"/>
        <v>0.43458498865733169</v>
      </c>
      <c r="BD19" s="469">
        <f t="shared" si="35"/>
        <v>33.035979412457777</v>
      </c>
      <c r="BE19" s="5"/>
      <c r="BF19" s="177">
        <f t="shared" si="55"/>
        <v>0.37951232521130818</v>
      </c>
      <c r="BG19" s="177">
        <f t="shared" si="36"/>
        <v>1.0538120586442363</v>
      </c>
      <c r="BH19" s="177"/>
      <c r="BI19" s="542">
        <f t="shared" si="37"/>
        <v>1.5843256548602313E-2</v>
      </c>
      <c r="BJ19" s="542">
        <f t="shared" si="38"/>
        <v>9.4028997277155801E-2</v>
      </c>
      <c r="BK19" s="542">
        <f t="shared" si="39"/>
        <v>1.7499999999999998E-2</v>
      </c>
      <c r="BL19" s="542">
        <f t="shared" si="40"/>
        <v>0.11885914687500002</v>
      </c>
      <c r="BM19">
        <f t="shared" si="41"/>
        <v>4.3499999999999997E-3</v>
      </c>
      <c r="BN19" s="469">
        <f t="shared" si="56"/>
        <v>250.58140070075814</v>
      </c>
      <c r="BO19" s="542">
        <f t="shared" si="57"/>
        <v>0.12600000000000003</v>
      </c>
      <c r="BP19" s="542"/>
      <c r="BR19" s="469">
        <f t="shared" si="58"/>
        <v>126.00000000000003</v>
      </c>
      <c r="BS19" s="542">
        <f t="shared" si="42"/>
        <v>0</v>
      </c>
      <c r="BT19" s="542">
        <f t="shared" si="43"/>
        <v>0</v>
      </c>
      <c r="BU19" s="542">
        <f t="shared" si="44"/>
        <v>0</v>
      </c>
      <c r="BV19" s="542">
        <f t="shared" si="45"/>
        <v>0</v>
      </c>
      <c r="BW19" s="469">
        <f t="shared" si="59"/>
        <v>0</v>
      </c>
      <c r="BX19" s="177">
        <f t="shared" si="60"/>
        <v>0.37658140070075818</v>
      </c>
      <c r="BY19" s="5">
        <f t="shared" si="61"/>
        <v>2.1</v>
      </c>
      <c r="BZ19" s="177">
        <f t="shared" si="62"/>
        <v>0.84794305545773585</v>
      </c>
      <c r="CA19" s="5">
        <f t="shared" si="63"/>
        <v>84.794305545773582</v>
      </c>
      <c r="CD19" s="576">
        <f t="shared" si="46"/>
        <v>-50</v>
      </c>
      <c r="CE19">
        <f t="shared" si="47"/>
        <v>-50</v>
      </c>
    </row>
    <row r="20" spans="5:83" x14ac:dyDescent="0.25">
      <c r="E20" s="174">
        <v>15</v>
      </c>
      <c r="F20" s="221">
        <f t="shared" si="48"/>
        <v>0.15</v>
      </c>
      <c r="G20" s="221"/>
      <c r="H20" s="221">
        <f t="shared" si="0"/>
        <v>2.25</v>
      </c>
      <c r="I20" s="555">
        <f t="shared" si="1"/>
        <v>15</v>
      </c>
      <c r="J20" s="176">
        <f t="shared" si="2"/>
        <v>23.85</v>
      </c>
      <c r="K20" s="451">
        <f t="shared" si="3"/>
        <v>38.85</v>
      </c>
      <c r="L20" s="451"/>
      <c r="M20" s="221">
        <f t="shared" si="4"/>
        <v>0.61389961389961389</v>
      </c>
      <c r="N20" s="176">
        <f t="shared" si="5"/>
        <v>17.933542471042468</v>
      </c>
      <c r="O20" s="176">
        <f t="shared" si="49"/>
        <v>2.25</v>
      </c>
      <c r="P20" s="221">
        <f t="shared" si="6"/>
        <v>1.195569498069498</v>
      </c>
      <c r="Q20" s="221">
        <f t="shared" si="7"/>
        <v>15</v>
      </c>
      <c r="R20" s="221">
        <f t="shared" si="8"/>
        <v>1.2584942084942083</v>
      </c>
      <c r="S20" s="176">
        <f t="shared" si="9"/>
        <v>184.79846566700309</v>
      </c>
      <c r="T20" s="176">
        <f t="shared" si="10"/>
        <v>15</v>
      </c>
      <c r="U20" s="221">
        <f t="shared" si="11"/>
        <v>0.51439920556107255</v>
      </c>
      <c r="V20" s="221">
        <f t="shared" si="12"/>
        <v>0.2400529625951672</v>
      </c>
      <c r="W20" s="221">
        <f t="shared" si="13"/>
        <v>0.15097670603469632</v>
      </c>
      <c r="X20" s="201">
        <f t="shared" si="14"/>
        <v>350</v>
      </c>
      <c r="Y20" s="451">
        <f t="shared" si="50"/>
        <v>350</v>
      </c>
      <c r="AA20" s="221">
        <f t="shared" si="15"/>
        <v>3.7585690646915135</v>
      </c>
      <c r="AB20" s="177">
        <f t="shared" si="16"/>
        <v>1.1031439602868174</v>
      </c>
      <c r="AC20" s="177">
        <f t="shared" si="17"/>
        <v>1.0883887252967701</v>
      </c>
      <c r="AD20" s="177"/>
      <c r="AE20" s="177">
        <f t="shared" si="18"/>
        <v>0.24067085953878403</v>
      </c>
      <c r="AF20" s="559">
        <f t="shared" si="19"/>
        <v>1013.4273816605763</v>
      </c>
      <c r="AG20" s="542">
        <f t="shared" si="20"/>
        <v>5.1804402515723262E-2</v>
      </c>
      <c r="AI20" s="177">
        <f t="shared" si="21"/>
        <v>1.4315757882065352</v>
      </c>
      <c r="AJ20" s="177">
        <f t="shared" si="22"/>
        <v>1.4315757882065352</v>
      </c>
      <c r="AK20" s="177">
        <f t="shared" si="23"/>
        <v>1.6530191023752112</v>
      </c>
      <c r="AM20" s="559">
        <f t="shared" si="24"/>
        <v>150</v>
      </c>
      <c r="AN20" s="469">
        <f t="shared" si="25"/>
        <v>350</v>
      </c>
      <c r="AP20">
        <f t="shared" si="26"/>
        <v>150</v>
      </c>
      <c r="AQ20" s="469">
        <f t="shared" si="27"/>
        <v>350</v>
      </c>
      <c r="AR20" s="469"/>
      <c r="AS20" s="5">
        <f t="shared" si="51"/>
        <v>2.8571428571428572</v>
      </c>
      <c r="AT20" s="5">
        <f t="shared" si="28"/>
        <v>0.66806870116304973</v>
      </c>
      <c r="AU20" s="5">
        <f t="shared" si="52"/>
        <v>2.1890741559798075</v>
      </c>
      <c r="AV20" s="5">
        <f t="shared" si="29"/>
        <v>0.4201689944421696</v>
      </c>
      <c r="AW20" s="177">
        <f t="shared" si="53"/>
        <v>0.23382404540706739</v>
      </c>
      <c r="AX20" s="177">
        <f t="shared" si="30"/>
        <v>2.5105263157894737</v>
      </c>
      <c r="AY20" s="177">
        <f t="shared" si="31"/>
        <v>0.82262920957595409</v>
      </c>
      <c r="AZ20" s="177">
        <f t="shared" si="54"/>
        <v>3.0518322064974943</v>
      </c>
      <c r="BA20" s="469">
        <f t="shared" si="32"/>
        <v>17.027319442995115</v>
      </c>
      <c r="BB20" s="469">
        <f t="shared" si="33"/>
        <v>1.3765666666666665</v>
      </c>
      <c r="BC20" s="5">
        <f t="shared" si="34"/>
        <v>0.46085771704838058</v>
      </c>
      <c r="BD20" s="469">
        <f t="shared" si="35"/>
        <v>35.038012989154858</v>
      </c>
      <c r="BE20" s="5"/>
      <c r="BF20" s="177">
        <f t="shared" si="55"/>
        <v>0.39966701080549905</v>
      </c>
      <c r="BG20" s="177">
        <f t="shared" si="36"/>
        <v>1.0851986265658538</v>
      </c>
      <c r="BH20" s="177"/>
      <c r="BI20" s="542">
        <f t="shared" si="37"/>
        <v>1.7570709147882318E-2</v>
      </c>
      <c r="BJ20" s="542">
        <f t="shared" si="38"/>
        <v>9.7329258900691829E-2</v>
      </c>
      <c r="BK20" s="542">
        <f t="shared" si="39"/>
        <v>1.7499999999999998E-2</v>
      </c>
      <c r="BL20" s="542">
        <f t="shared" si="40"/>
        <v>0.11885914687500002</v>
      </c>
      <c r="BM20">
        <f t="shared" si="41"/>
        <v>4.3499999999999997E-3</v>
      </c>
      <c r="BN20" s="469">
        <f t="shared" si="56"/>
        <v>255.6091149235742</v>
      </c>
      <c r="BO20" s="542">
        <f t="shared" si="57"/>
        <v>0.13500000000000001</v>
      </c>
      <c r="BP20" s="542"/>
      <c r="BR20" s="469">
        <f t="shared" si="58"/>
        <v>135</v>
      </c>
      <c r="BS20" s="542">
        <f t="shared" si="42"/>
        <v>0</v>
      </c>
      <c r="BT20" s="542">
        <f t="shared" si="43"/>
        <v>0</v>
      </c>
      <c r="BU20" s="542">
        <f t="shared" si="44"/>
        <v>0</v>
      </c>
      <c r="BV20" s="542">
        <f t="shared" si="45"/>
        <v>0</v>
      </c>
      <c r="BW20" s="469">
        <f t="shared" si="59"/>
        <v>0</v>
      </c>
      <c r="BX20" s="177">
        <f t="shared" si="60"/>
        <v>0.3906091149235742</v>
      </c>
      <c r="BY20" s="5">
        <f t="shared" si="61"/>
        <v>2.25</v>
      </c>
      <c r="BZ20" s="177">
        <f t="shared" si="62"/>
        <v>0.85207613170914942</v>
      </c>
      <c r="CA20" s="5">
        <f t="shared" si="63"/>
        <v>85.207613170914939</v>
      </c>
      <c r="CD20" s="576">
        <f t="shared" si="46"/>
        <v>-50</v>
      </c>
      <c r="CE20">
        <f t="shared" si="47"/>
        <v>-50</v>
      </c>
    </row>
    <row r="21" spans="5:83" s="76" customFormat="1" x14ac:dyDescent="0.25">
      <c r="E21" s="193">
        <v>16</v>
      </c>
      <c r="F21" s="333">
        <f t="shared" si="48"/>
        <v>0.16</v>
      </c>
      <c r="G21" s="221"/>
      <c r="H21" s="221">
        <f t="shared" si="0"/>
        <v>2.4</v>
      </c>
      <c r="I21" s="555">
        <f t="shared" si="1"/>
        <v>15</v>
      </c>
      <c r="J21" s="176">
        <f t="shared" si="2"/>
        <v>23.85</v>
      </c>
      <c r="K21" s="549">
        <f t="shared" si="3"/>
        <v>38.85</v>
      </c>
      <c r="L21" s="549"/>
      <c r="M21" s="333">
        <f t="shared" si="4"/>
        <v>0.61389961389961389</v>
      </c>
      <c r="N21" s="176">
        <f t="shared" si="5"/>
        <v>17.933542471042468</v>
      </c>
      <c r="O21" s="176">
        <f t="shared" si="49"/>
        <v>2.4</v>
      </c>
      <c r="P21" s="333">
        <f t="shared" si="6"/>
        <v>1.195569498069498</v>
      </c>
      <c r="Q21" s="221">
        <f t="shared" si="7"/>
        <v>15</v>
      </c>
      <c r="R21" s="221">
        <f t="shared" si="8"/>
        <v>1.2584942084942083</v>
      </c>
      <c r="S21" s="176">
        <f t="shared" si="9"/>
        <v>172.62998923418633</v>
      </c>
      <c r="T21" s="176">
        <f t="shared" si="10"/>
        <v>15</v>
      </c>
      <c r="U21" s="221">
        <f t="shared" si="11"/>
        <v>0.54869248593181064</v>
      </c>
      <c r="V21" s="333">
        <f t="shared" si="12"/>
        <v>0.25605649343484499</v>
      </c>
      <c r="W21" s="221">
        <f t="shared" si="13"/>
        <v>0.16104181977034274</v>
      </c>
      <c r="X21" s="551">
        <f t="shared" si="14"/>
        <v>350</v>
      </c>
      <c r="Y21" s="549">
        <f t="shared" si="50"/>
        <v>350</v>
      </c>
      <c r="AA21" s="333">
        <f t="shared" si="15"/>
        <v>3.7585690646915135</v>
      </c>
      <c r="AB21" s="177">
        <f t="shared" si="16"/>
        <v>1.1031439602868174</v>
      </c>
      <c r="AC21" s="552">
        <f t="shared" si="17"/>
        <v>1.0883887252967701</v>
      </c>
      <c r="AD21" s="552"/>
      <c r="AE21" s="177">
        <f t="shared" si="18"/>
        <v>0.24067085953878403</v>
      </c>
      <c r="AF21" s="559">
        <f t="shared" si="19"/>
        <v>1080.9892071046149</v>
      </c>
      <c r="AG21" s="542">
        <f t="shared" si="20"/>
        <v>5.1804402515723262E-2</v>
      </c>
      <c r="AH21"/>
      <c r="AI21" s="177">
        <f t="shared" si="21"/>
        <v>1.4785251164153781</v>
      </c>
      <c r="AJ21" s="177">
        <f t="shared" si="22"/>
        <v>1.4785251164153781</v>
      </c>
      <c r="AK21" s="177">
        <f t="shared" si="23"/>
        <v>1.6877963825299096</v>
      </c>
      <c r="AM21" s="559">
        <f t="shared" si="24"/>
        <v>160</v>
      </c>
      <c r="AN21" s="469">
        <f t="shared" si="25"/>
        <v>350</v>
      </c>
      <c r="AP21">
        <f t="shared" si="26"/>
        <v>160</v>
      </c>
      <c r="AQ21" s="469">
        <f t="shared" si="27"/>
        <v>350</v>
      </c>
      <c r="AR21" s="469"/>
      <c r="AS21" s="5">
        <f t="shared" si="51"/>
        <v>2.8571428571428572</v>
      </c>
      <c r="AT21" s="5">
        <f t="shared" si="28"/>
        <v>0.68997838766050978</v>
      </c>
      <c r="AU21" s="5">
        <f t="shared" si="52"/>
        <v>2.1671644694823473</v>
      </c>
      <c r="AV21" s="5">
        <f t="shared" si="29"/>
        <v>0.43394867148459726</v>
      </c>
      <c r="AW21" s="177">
        <f t="shared" si="53"/>
        <v>0.24149243568117842</v>
      </c>
      <c r="AX21" s="177">
        <f t="shared" si="30"/>
        <v>2.6778947368421067</v>
      </c>
      <c r="AY21" s="177">
        <f t="shared" si="31"/>
        <v>0.84110436362732299</v>
      </c>
      <c r="AZ21" s="177">
        <f t="shared" si="54"/>
        <v>3.1837841445661907</v>
      </c>
      <c r="BA21" s="469">
        <f t="shared" si="32"/>
        <v>17.027319442995115</v>
      </c>
      <c r="BB21" s="469">
        <f t="shared" si="33"/>
        <v>1.5342269629629628</v>
      </c>
      <c r="BC21" s="5">
        <f t="shared" si="34"/>
        <v>0.48666149490129906</v>
      </c>
      <c r="BD21" s="469">
        <f t="shared" si="35"/>
        <v>37.004875275492168</v>
      </c>
      <c r="BE21" s="5"/>
      <c r="BF21" s="177">
        <f t="shared" si="55"/>
        <v>0.41948829291240081</v>
      </c>
      <c r="BG21" s="177">
        <f t="shared" si="36"/>
        <v>1.1151654259120349</v>
      </c>
      <c r="BH21" s="177"/>
      <c r="BI21" s="542">
        <f t="shared" si="37"/>
        <v>1.935674706796162E-2</v>
      </c>
      <c r="BJ21" s="542">
        <f t="shared" si="38"/>
        <v>0.10052122635229054</v>
      </c>
      <c r="BK21" s="542">
        <f t="shared" si="39"/>
        <v>1.7499999999999998E-2</v>
      </c>
      <c r="BL21" s="542">
        <f t="shared" si="40"/>
        <v>0.11885914687500002</v>
      </c>
      <c r="BM21">
        <f t="shared" si="41"/>
        <v>4.3499999999999997E-3</v>
      </c>
      <c r="BN21" s="469">
        <f t="shared" si="56"/>
        <v>260.58712029525213</v>
      </c>
      <c r="BO21" s="542">
        <f t="shared" si="57"/>
        <v>0.14400000000000002</v>
      </c>
      <c r="BP21" s="542"/>
      <c r="BR21" s="469">
        <f t="shared" si="58"/>
        <v>144.00000000000003</v>
      </c>
      <c r="BS21" s="542">
        <f t="shared" si="42"/>
        <v>0</v>
      </c>
      <c r="BT21" s="542">
        <f t="shared" si="43"/>
        <v>0</v>
      </c>
      <c r="BU21" s="542">
        <f t="shared" si="44"/>
        <v>0</v>
      </c>
      <c r="BV21" s="542">
        <f t="shared" si="45"/>
        <v>0</v>
      </c>
      <c r="BW21" s="469">
        <f t="shared" si="59"/>
        <v>0</v>
      </c>
      <c r="BX21" s="177">
        <f t="shared" si="60"/>
        <v>0.40458712029525218</v>
      </c>
      <c r="BY21" s="5">
        <f t="shared" si="61"/>
        <v>2.4</v>
      </c>
      <c r="BZ21" s="177">
        <f t="shared" si="62"/>
        <v>0.85574093335611578</v>
      </c>
      <c r="CA21" s="5">
        <f t="shared" si="63"/>
        <v>85.574093335611579</v>
      </c>
      <c r="CD21" s="576">
        <f t="shared" si="46"/>
        <v>-50</v>
      </c>
      <c r="CE21">
        <f t="shared" si="47"/>
        <v>-50</v>
      </c>
    </row>
    <row r="22" spans="5:83" x14ac:dyDescent="0.25">
      <c r="E22" s="174">
        <v>17</v>
      </c>
      <c r="F22" s="221">
        <f t="shared" si="48"/>
        <v>0.17</v>
      </c>
      <c r="G22" s="221"/>
      <c r="H22" s="221">
        <f t="shared" si="0"/>
        <v>2.5500000000000003</v>
      </c>
      <c r="I22" s="555">
        <f t="shared" si="1"/>
        <v>15</v>
      </c>
      <c r="J22" s="176">
        <f t="shared" si="2"/>
        <v>23.85</v>
      </c>
      <c r="K22" s="451">
        <f t="shared" si="3"/>
        <v>38.85</v>
      </c>
      <c r="L22" s="451"/>
      <c r="M22" s="221">
        <f t="shared" si="4"/>
        <v>0.61389961389961389</v>
      </c>
      <c r="N22" s="176">
        <f t="shared" si="5"/>
        <v>17.933542471042468</v>
      </c>
      <c r="O22" s="176">
        <f t="shared" si="49"/>
        <v>2.5500000000000003</v>
      </c>
      <c r="P22" s="221">
        <f t="shared" si="6"/>
        <v>1.195569498069498</v>
      </c>
      <c r="Q22" s="221">
        <f t="shared" si="7"/>
        <v>15</v>
      </c>
      <c r="R22" s="221">
        <f t="shared" si="8"/>
        <v>1.2584942084942083</v>
      </c>
      <c r="S22" s="176">
        <f t="shared" si="9"/>
        <v>161.89352004990664</v>
      </c>
      <c r="T22" s="176">
        <f t="shared" si="10"/>
        <v>15</v>
      </c>
      <c r="U22" s="221">
        <f t="shared" si="11"/>
        <v>0.58298576630254895</v>
      </c>
      <c r="V22" s="221">
        <f t="shared" si="12"/>
        <v>0.27206002427452286</v>
      </c>
      <c r="W22" s="221">
        <f t="shared" si="13"/>
        <v>0.17110693350598921</v>
      </c>
      <c r="X22" s="201">
        <f t="shared" si="14"/>
        <v>350</v>
      </c>
      <c r="Y22" s="451">
        <f t="shared" si="50"/>
        <v>350</v>
      </c>
      <c r="AA22" s="221">
        <f t="shared" si="15"/>
        <v>3.7585690646915135</v>
      </c>
      <c r="AB22" s="177">
        <f t="shared" si="16"/>
        <v>1.1031439602868174</v>
      </c>
      <c r="AC22" s="177">
        <f t="shared" si="17"/>
        <v>1.0883887252967701</v>
      </c>
      <c r="AD22" s="177"/>
      <c r="AE22" s="177">
        <f t="shared" si="18"/>
        <v>0.24067085953878403</v>
      </c>
      <c r="AF22" s="559">
        <f t="shared" si="19"/>
        <v>1148.5510325486532</v>
      </c>
      <c r="AG22" s="542">
        <f t="shared" si="20"/>
        <v>5.1804402515723262E-2</v>
      </c>
      <c r="AI22" s="177">
        <f t="shared" si="21"/>
        <v>1.5240288062773129</v>
      </c>
      <c r="AJ22" s="177">
        <f t="shared" si="22"/>
        <v>1.5240288062773129</v>
      </c>
      <c r="AK22" s="177">
        <f t="shared" si="23"/>
        <v>1.7215028194646762</v>
      </c>
      <c r="AM22" s="559">
        <f t="shared" si="24"/>
        <v>170</v>
      </c>
      <c r="AN22" s="469">
        <f t="shared" si="25"/>
        <v>350</v>
      </c>
      <c r="AP22">
        <f t="shared" si="26"/>
        <v>170</v>
      </c>
      <c r="AQ22" s="469">
        <f t="shared" si="27"/>
        <v>350</v>
      </c>
      <c r="AR22" s="469"/>
      <c r="AS22" s="5">
        <f t="shared" si="51"/>
        <v>2.8571428571428572</v>
      </c>
      <c r="AT22" s="5">
        <f t="shared" si="28"/>
        <v>0.71121344292941269</v>
      </c>
      <c r="AU22" s="5">
        <f t="shared" si="52"/>
        <v>2.1459294142134446</v>
      </c>
      <c r="AV22" s="5">
        <f t="shared" si="29"/>
        <v>0.4473040521568632</v>
      </c>
      <c r="AW22" s="177">
        <f t="shared" si="53"/>
        <v>0.24892470502529443</v>
      </c>
      <c r="AX22" s="177">
        <f t="shared" si="30"/>
        <v>2.8452631578947374</v>
      </c>
      <c r="AY22" s="177">
        <f t="shared" si="31"/>
        <v>0.8584952889185109</v>
      </c>
      <c r="AZ22" s="177">
        <f t="shared" si="54"/>
        <v>3.3142443466161082</v>
      </c>
      <c r="BA22" s="469">
        <f t="shared" si="32"/>
        <v>17.027319442995115</v>
      </c>
      <c r="BB22" s="469">
        <f t="shared" si="33"/>
        <v>1.7001234074074074</v>
      </c>
      <c r="BC22" s="5">
        <f t="shared" si="34"/>
        <v>0.51201122865443593</v>
      </c>
      <c r="BD22" s="469">
        <f t="shared" si="35"/>
        <v>38.937684254345854</v>
      </c>
      <c r="BE22" s="5"/>
      <c r="BF22" s="177">
        <f t="shared" si="55"/>
        <v>0.4390020508213871</v>
      </c>
      <c r="BG22" s="177">
        <f t="shared" si="36"/>
        <v>1.143840701481275</v>
      </c>
      <c r="BH22" s="177"/>
      <c r="BI22" s="542">
        <f t="shared" si="37"/>
        <v>2.119950806879221E-2</v>
      </c>
      <c r="BJ22" s="542">
        <f t="shared" si="38"/>
        <v>0.10361490846677882</v>
      </c>
      <c r="BK22" s="542">
        <f t="shared" si="39"/>
        <v>1.7499999999999998E-2</v>
      </c>
      <c r="BL22" s="542">
        <f t="shared" si="40"/>
        <v>0.11885914687500002</v>
      </c>
      <c r="BM22">
        <f t="shared" si="41"/>
        <v>4.3499999999999997E-3</v>
      </c>
      <c r="BN22" s="469">
        <f t="shared" si="56"/>
        <v>265.52356341057111</v>
      </c>
      <c r="BO22" s="542">
        <f t="shared" si="57"/>
        <v>0.15300000000000002</v>
      </c>
      <c r="BP22" s="542"/>
      <c r="BR22" s="469">
        <f t="shared" si="58"/>
        <v>153.00000000000003</v>
      </c>
      <c r="BS22" s="542">
        <f t="shared" si="42"/>
        <v>0</v>
      </c>
      <c r="BT22" s="542">
        <f t="shared" si="43"/>
        <v>0</v>
      </c>
      <c r="BU22" s="542">
        <f t="shared" si="44"/>
        <v>0</v>
      </c>
      <c r="BV22" s="542">
        <f t="shared" si="45"/>
        <v>0</v>
      </c>
      <c r="BW22" s="469">
        <f t="shared" si="59"/>
        <v>0</v>
      </c>
      <c r="BX22" s="177">
        <f t="shared" si="60"/>
        <v>0.41852356341057112</v>
      </c>
      <c r="BY22" s="5">
        <f t="shared" si="61"/>
        <v>2.5500000000000003</v>
      </c>
      <c r="BZ22" s="177">
        <f t="shared" si="62"/>
        <v>0.85901288823534738</v>
      </c>
      <c r="CA22" s="5">
        <f t="shared" si="63"/>
        <v>85.901288823534742</v>
      </c>
      <c r="CD22" s="576">
        <f t="shared" si="46"/>
        <v>-50</v>
      </c>
      <c r="CE22">
        <f t="shared" si="47"/>
        <v>-50</v>
      </c>
    </row>
    <row r="23" spans="5:83" x14ac:dyDescent="0.25">
      <c r="E23" s="174">
        <v>18</v>
      </c>
      <c r="F23" s="221">
        <f t="shared" si="48"/>
        <v>0.18</v>
      </c>
      <c r="G23" s="221"/>
      <c r="H23" s="221">
        <f t="shared" si="0"/>
        <v>2.6999999999999997</v>
      </c>
      <c r="I23" s="555">
        <f t="shared" si="1"/>
        <v>15</v>
      </c>
      <c r="J23" s="176">
        <f t="shared" si="2"/>
        <v>23.85</v>
      </c>
      <c r="K23" s="451">
        <f t="shared" si="3"/>
        <v>38.85</v>
      </c>
      <c r="L23" s="451"/>
      <c r="M23" s="221">
        <f t="shared" si="4"/>
        <v>0.61389961389961389</v>
      </c>
      <c r="N23" s="176">
        <f t="shared" si="5"/>
        <v>17.933542471042468</v>
      </c>
      <c r="O23" s="176">
        <f t="shared" si="49"/>
        <v>2.6999999999999997</v>
      </c>
      <c r="P23" s="221">
        <f t="shared" si="6"/>
        <v>1.195569498069498</v>
      </c>
      <c r="Q23" s="221">
        <f t="shared" si="7"/>
        <v>15</v>
      </c>
      <c r="R23" s="221">
        <f t="shared" si="8"/>
        <v>1.2584942084942083</v>
      </c>
      <c r="S23" s="176">
        <f t="shared" si="9"/>
        <v>152.35039408497926</v>
      </c>
      <c r="T23" s="176">
        <f t="shared" si="10"/>
        <v>15</v>
      </c>
      <c r="U23" s="221">
        <f t="shared" si="11"/>
        <v>0.61727904667328692</v>
      </c>
      <c r="V23" s="221">
        <f t="shared" si="12"/>
        <v>0.28806355511420056</v>
      </c>
      <c r="W23" s="221">
        <f t="shared" si="13"/>
        <v>0.18117204724163558</v>
      </c>
      <c r="X23" s="201">
        <f t="shared" si="14"/>
        <v>350</v>
      </c>
      <c r="Y23" s="451">
        <f t="shared" si="50"/>
        <v>350</v>
      </c>
      <c r="AA23" s="221">
        <f t="shared" si="15"/>
        <v>3.7585690646915135</v>
      </c>
      <c r="AB23" s="177">
        <f t="shared" si="16"/>
        <v>1.1031439602868174</v>
      </c>
      <c r="AC23" s="177">
        <f t="shared" si="17"/>
        <v>1.0883887252967701</v>
      </c>
      <c r="AD23" s="177"/>
      <c r="AE23" s="177">
        <f t="shared" si="18"/>
        <v>0.24067085953878403</v>
      </c>
      <c r="AF23" s="559">
        <f t="shared" si="19"/>
        <v>1216.1128579926917</v>
      </c>
      <c r="AG23" s="542">
        <f t="shared" si="20"/>
        <v>5.1804402515723262E-2</v>
      </c>
      <c r="AI23" s="177">
        <f t="shared" si="21"/>
        <v>1.568212703957915</v>
      </c>
      <c r="AJ23" s="177">
        <f t="shared" si="22"/>
        <v>1.568212703957915</v>
      </c>
      <c r="AK23" s="177">
        <f t="shared" si="23"/>
        <v>1.7542316325614185</v>
      </c>
      <c r="AM23" s="559">
        <f t="shared" si="24"/>
        <v>180</v>
      </c>
      <c r="AN23" s="469">
        <f t="shared" si="25"/>
        <v>350</v>
      </c>
      <c r="AP23">
        <f t="shared" si="26"/>
        <v>180</v>
      </c>
      <c r="AQ23" s="469">
        <f t="shared" si="27"/>
        <v>350</v>
      </c>
      <c r="AR23" s="469"/>
      <c r="AS23" s="5">
        <f t="shared" si="51"/>
        <v>2.8571428571428572</v>
      </c>
      <c r="AT23" s="5">
        <f t="shared" si="28"/>
        <v>0.73183259518036037</v>
      </c>
      <c r="AU23" s="5">
        <f t="shared" si="52"/>
        <v>2.1253102619624968</v>
      </c>
      <c r="AV23" s="5">
        <f t="shared" si="29"/>
        <v>0.46027207244047819</v>
      </c>
      <c r="AW23" s="177">
        <f t="shared" si="53"/>
        <v>0.2561414083131261</v>
      </c>
      <c r="AX23" s="177">
        <f t="shared" si="30"/>
        <v>3.012631578947369</v>
      </c>
      <c r="AY23" s="177">
        <f t="shared" si="31"/>
        <v>0.87489637007369936</v>
      </c>
      <c r="AZ23" s="177">
        <f t="shared" si="54"/>
        <v>3.44341533694281</v>
      </c>
      <c r="BA23" s="469">
        <f t="shared" si="32"/>
        <v>17.027319442995115</v>
      </c>
      <c r="BB23" s="469">
        <f t="shared" si="33"/>
        <v>1.8742559999999999</v>
      </c>
      <c r="BC23" s="5">
        <f t="shared" si="34"/>
        <v>0.53692048723263086</v>
      </c>
      <c r="BD23" s="469">
        <f t="shared" si="35"/>
        <v>40.837457595078888</v>
      </c>
      <c r="BE23" s="5"/>
      <c r="BF23" s="177">
        <f t="shared" si="55"/>
        <v>0.45823075770717464</v>
      </c>
      <c r="BG23" s="177">
        <f t="shared" si="36"/>
        <v>1.1713341121115874</v>
      </c>
      <c r="BH23" s="177"/>
      <c r="BI23" s="542">
        <f t="shared" si="37"/>
        <v>2.3097297003978053E-2</v>
      </c>
      <c r="BJ23" s="542">
        <f t="shared" si="38"/>
        <v>0.10661886121033877</v>
      </c>
      <c r="BK23" s="542">
        <f t="shared" si="39"/>
        <v>1.7499999999999998E-2</v>
      </c>
      <c r="BL23" s="542">
        <f t="shared" si="40"/>
        <v>0.11885914687500002</v>
      </c>
      <c r="BM23">
        <f t="shared" si="41"/>
        <v>4.3499999999999997E-3</v>
      </c>
      <c r="BN23" s="469">
        <f t="shared" si="56"/>
        <v>270.42530508931685</v>
      </c>
      <c r="BO23" s="542">
        <f t="shared" si="57"/>
        <v>0.16200000000000001</v>
      </c>
      <c r="BP23" s="542"/>
      <c r="BR23" s="469">
        <f t="shared" si="58"/>
        <v>162</v>
      </c>
      <c r="BS23" s="542">
        <f t="shared" si="42"/>
        <v>0</v>
      </c>
      <c r="BT23" s="542">
        <f t="shared" si="43"/>
        <v>0</v>
      </c>
      <c r="BU23" s="542">
        <f t="shared" si="44"/>
        <v>0</v>
      </c>
      <c r="BV23" s="542">
        <f t="shared" si="45"/>
        <v>0</v>
      </c>
      <c r="BW23" s="469">
        <f t="shared" si="59"/>
        <v>0</v>
      </c>
      <c r="BX23" s="177">
        <f t="shared" si="60"/>
        <v>0.43242530508931687</v>
      </c>
      <c r="BY23" s="5">
        <f t="shared" si="61"/>
        <v>2.6999999999999997</v>
      </c>
      <c r="BZ23" s="177">
        <f t="shared" si="62"/>
        <v>0.86195191809147165</v>
      </c>
      <c r="CA23" s="5">
        <f t="shared" si="63"/>
        <v>86.195191809147161</v>
      </c>
      <c r="CD23" s="576">
        <f t="shared" si="46"/>
        <v>-50</v>
      </c>
      <c r="CE23">
        <f t="shared" si="47"/>
        <v>-50</v>
      </c>
    </row>
    <row r="24" spans="5:83" x14ac:dyDescent="0.25">
      <c r="E24" s="174">
        <v>19</v>
      </c>
      <c r="F24" s="221">
        <f t="shared" si="48"/>
        <v>0.19</v>
      </c>
      <c r="G24" s="221"/>
      <c r="H24" s="221">
        <f t="shared" si="0"/>
        <v>2.85</v>
      </c>
      <c r="I24" s="555">
        <f t="shared" si="1"/>
        <v>15</v>
      </c>
      <c r="J24" s="176">
        <f t="shared" si="2"/>
        <v>23.85</v>
      </c>
      <c r="K24" s="451">
        <f t="shared" si="3"/>
        <v>38.85</v>
      </c>
      <c r="L24" s="451"/>
      <c r="M24" s="221">
        <f t="shared" si="4"/>
        <v>0.61389961389961389</v>
      </c>
      <c r="N24" s="176">
        <f t="shared" si="5"/>
        <v>17.933542471042468</v>
      </c>
      <c r="O24" s="176">
        <f t="shared" si="49"/>
        <v>2.85</v>
      </c>
      <c r="P24" s="221">
        <f t="shared" si="6"/>
        <v>1.195569498069498</v>
      </c>
      <c r="Q24" s="221">
        <f t="shared" si="7"/>
        <v>15</v>
      </c>
      <c r="R24" s="221">
        <f t="shared" si="8"/>
        <v>1.2584942084942083</v>
      </c>
      <c r="S24" s="176">
        <f t="shared" si="9"/>
        <v>143.81219240998365</v>
      </c>
      <c r="T24" s="176">
        <f t="shared" si="10"/>
        <v>15</v>
      </c>
      <c r="U24" s="221">
        <f t="shared" si="11"/>
        <v>0.65157232704402523</v>
      </c>
      <c r="V24" s="221">
        <f t="shared" si="12"/>
        <v>0.30406708595387844</v>
      </c>
      <c r="W24" s="221">
        <f t="shared" si="13"/>
        <v>0.19123716097728199</v>
      </c>
      <c r="X24" s="201">
        <f t="shared" si="14"/>
        <v>350</v>
      </c>
      <c r="Y24" s="451">
        <f t="shared" si="50"/>
        <v>350</v>
      </c>
      <c r="AA24" s="221">
        <f t="shared" si="15"/>
        <v>3.7585690646915135</v>
      </c>
      <c r="AB24" s="177">
        <f t="shared" si="16"/>
        <v>1.1031439602868174</v>
      </c>
      <c r="AC24" s="177">
        <f t="shared" si="17"/>
        <v>1.0883887252967701</v>
      </c>
      <c r="AD24" s="177"/>
      <c r="AE24" s="177">
        <f t="shared" si="18"/>
        <v>0.24067085953878403</v>
      </c>
      <c r="AF24" s="559">
        <f t="shared" si="19"/>
        <v>1283.6746834367302</v>
      </c>
      <c r="AG24" s="542">
        <f t="shared" si="20"/>
        <v>5.1804402515723262E-2</v>
      </c>
      <c r="AI24" s="177">
        <f t="shared" si="21"/>
        <v>1.6111853919853356</v>
      </c>
      <c r="AJ24" s="177">
        <f t="shared" si="22"/>
        <v>1.6111853919853356</v>
      </c>
      <c r="AK24" s="177">
        <f t="shared" si="23"/>
        <v>1.7860632533224707</v>
      </c>
      <c r="AM24" s="559">
        <f t="shared" si="24"/>
        <v>190</v>
      </c>
      <c r="AN24" s="469">
        <f t="shared" si="25"/>
        <v>350</v>
      </c>
      <c r="AP24">
        <f t="shared" si="26"/>
        <v>190</v>
      </c>
      <c r="AQ24" s="469">
        <f t="shared" si="27"/>
        <v>350</v>
      </c>
      <c r="AR24" s="469"/>
      <c r="AS24" s="5">
        <f t="shared" si="51"/>
        <v>2.8571428571428572</v>
      </c>
      <c r="AT24" s="5">
        <f t="shared" si="28"/>
        <v>0.75188651625982317</v>
      </c>
      <c r="AU24" s="5">
        <f t="shared" si="52"/>
        <v>2.105256340883034</v>
      </c>
      <c r="AV24" s="5">
        <f t="shared" si="29"/>
        <v>0.47288460142127248</v>
      </c>
      <c r="AW24" s="177">
        <f t="shared" si="53"/>
        <v>0.26316028069093811</v>
      </c>
      <c r="AX24" s="177">
        <f t="shared" si="30"/>
        <v>3.1800000000000015</v>
      </c>
      <c r="AY24" s="177">
        <f t="shared" si="31"/>
        <v>0.89038904398900165</v>
      </c>
      <c r="AZ24" s="177">
        <f t="shared" si="54"/>
        <v>3.5714725169498851</v>
      </c>
      <c r="BA24" s="469">
        <f t="shared" si="32"/>
        <v>17.027319442995115</v>
      </c>
      <c r="BB24" s="469">
        <f t="shared" si="33"/>
        <v>2.0566247407407405</v>
      </c>
      <c r="BC24" s="5">
        <f t="shared" si="34"/>
        <v>0.56140169090214254</v>
      </c>
      <c r="BD24" s="469">
        <f t="shared" si="35"/>
        <v>42.705126817660684</v>
      </c>
      <c r="BE24" s="5"/>
      <c r="BF24" s="177">
        <f t="shared" si="55"/>
        <v>0.47719409265754825</v>
      </c>
      <c r="BG24" s="177">
        <f t="shared" si="36"/>
        <v>1.197740297751924</v>
      </c>
      <c r="BH24" s="177"/>
      <c r="BI24" s="542">
        <f t="shared" si="37"/>
        <v>2.5048562227398683E-2</v>
      </c>
      <c r="BJ24" s="542">
        <f t="shared" si="38"/>
        <v>0.10954046683760302</v>
      </c>
      <c r="BK24" s="542">
        <f t="shared" si="39"/>
        <v>1.7499999999999998E-2</v>
      </c>
      <c r="BL24" s="542">
        <f t="shared" si="40"/>
        <v>0.11885914687500002</v>
      </c>
      <c r="BM24">
        <f t="shared" si="41"/>
        <v>4.3499999999999997E-3</v>
      </c>
      <c r="BN24" s="469">
        <f t="shared" si="56"/>
        <v>275.29817594000173</v>
      </c>
      <c r="BO24" s="542">
        <f t="shared" si="57"/>
        <v>0.17100000000000001</v>
      </c>
      <c r="BP24" s="542"/>
      <c r="BR24" s="469">
        <f t="shared" si="58"/>
        <v>171</v>
      </c>
      <c r="BS24" s="542">
        <f t="shared" si="42"/>
        <v>0</v>
      </c>
      <c r="BT24" s="542">
        <f t="shared" si="43"/>
        <v>0</v>
      </c>
      <c r="BU24" s="542">
        <f t="shared" si="44"/>
        <v>0</v>
      </c>
      <c r="BV24" s="542">
        <f t="shared" si="45"/>
        <v>0</v>
      </c>
      <c r="BW24" s="469">
        <f t="shared" si="59"/>
        <v>0</v>
      </c>
      <c r="BX24" s="177">
        <f t="shared" si="60"/>
        <v>0.44629817594000176</v>
      </c>
      <c r="BY24" s="5">
        <f t="shared" si="61"/>
        <v>2.85</v>
      </c>
      <c r="BZ24" s="177">
        <f t="shared" si="62"/>
        <v>0.86460624854948642</v>
      </c>
      <c r="CA24" s="5">
        <f t="shared" si="63"/>
        <v>86.460624854948648</v>
      </c>
      <c r="CD24" s="576">
        <f t="shared" si="46"/>
        <v>-50</v>
      </c>
      <c r="CE24">
        <f t="shared" si="47"/>
        <v>-50</v>
      </c>
    </row>
    <row r="25" spans="5:83" x14ac:dyDescent="0.25">
      <c r="E25" s="174">
        <v>20</v>
      </c>
      <c r="F25" s="221">
        <f t="shared" si="48"/>
        <v>0.2</v>
      </c>
      <c r="G25" s="221"/>
      <c r="H25" s="221">
        <f t="shared" si="0"/>
        <v>3</v>
      </c>
      <c r="I25" s="555">
        <f t="shared" si="1"/>
        <v>15</v>
      </c>
      <c r="J25" s="176">
        <f t="shared" si="2"/>
        <v>23.85</v>
      </c>
      <c r="K25" s="451">
        <f t="shared" si="3"/>
        <v>38.85</v>
      </c>
      <c r="L25" s="451"/>
      <c r="M25" s="221">
        <f t="shared" si="4"/>
        <v>0.61389961389961389</v>
      </c>
      <c r="N25" s="176">
        <f t="shared" si="5"/>
        <v>17.933542471042468</v>
      </c>
      <c r="O25" s="176">
        <f t="shared" si="49"/>
        <v>3</v>
      </c>
      <c r="P25" s="221">
        <f t="shared" si="6"/>
        <v>1.195569498069498</v>
      </c>
      <c r="Q25" s="221">
        <f t="shared" si="7"/>
        <v>15</v>
      </c>
      <c r="R25" s="221">
        <f t="shared" si="8"/>
        <v>1.2584942084942083</v>
      </c>
      <c r="S25" s="176">
        <f t="shared" si="9"/>
        <v>136.12817992076668</v>
      </c>
      <c r="T25" s="176">
        <f t="shared" si="10"/>
        <v>15</v>
      </c>
      <c r="U25" s="221">
        <f t="shared" si="11"/>
        <v>0.68586560741476332</v>
      </c>
      <c r="V25" s="221">
        <f t="shared" si="12"/>
        <v>0.3200706167935562</v>
      </c>
      <c r="W25" s="221">
        <f t="shared" si="13"/>
        <v>0.20130227471292841</v>
      </c>
      <c r="X25" s="201">
        <f t="shared" si="14"/>
        <v>350</v>
      </c>
      <c r="Y25" s="451">
        <f t="shared" si="50"/>
        <v>350</v>
      </c>
      <c r="AA25" s="221">
        <f t="shared" si="15"/>
        <v>3.7585690646915135</v>
      </c>
      <c r="AB25" s="177">
        <f t="shared" si="16"/>
        <v>1.1031439602868174</v>
      </c>
      <c r="AC25" s="177">
        <f t="shared" si="17"/>
        <v>1.0883887252967701</v>
      </c>
      <c r="AD25" s="177"/>
      <c r="AE25" s="177">
        <f t="shared" si="18"/>
        <v>0.24067085953878403</v>
      </c>
      <c r="AF25" s="559">
        <f t="shared" si="19"/>
        <v>1351.2365088807687</v>
      </c>
      <c r="AG25" s="542">
        <f t="shared" si="20"/>
        <v>5.1804402515723262E-2</v>
      </c>
      <c r="AI25" s="177">
        <f t="shared" si="21"/>
        <v>1.6530413333727876</v>
      </c>
      <c r="AJ25" s="177">
        <f t="shared" si="22"/>
        <v>1.6530413333727876</v>
      </c>
      <c r="AK25" s="177">
        <f t="shared" si="23"/>
        <v>1.8170676543502129</v>
      </c>
      <c r="AM25" s="559">
        <f t="shared" si="24"/>
        <v>200</v>
      </c>
      <c r="AN25" s="469">
        <f t="shared" si="25"/>
        <v>350</v>
      </c>
      <c r="AP25">
        <f t="shared" si="26"/>
        <v>200</v>
      </c>
      <c r="AQ25" s="469">
        <f t="shared" si="27"/>
        <v>350</v>
      </c>
      <c r="AR25" s="469"/>
      <c r="AS25" s="5">
        <f t="shared" si="51"/>
        <v>2.8571428571428572</v>
      </c>
      <c r="AT25" s="5">
        <f t="shared" si="28"/>
        <v>0.77141928890730094</v>
      </c>
      <c r="AU25" s="5">
        <f t="shared" si="52"/>
        <v>2.0857235682355562</v>
      </c>
      <c r="AV25" s="5">
        <f t="shared" si="29"/>
        <v>0.48516936409264205</v>
      </c>
      <c r="AW25" s="177">
        <f t="shared" si="53"/>
        <v>0.26999675111755533</v>
      </c>
      <c r="AX25" s="177">
        <f t="shared" si="30"/>
        <v>3.3473684210526322</v>
      </c>
      <c r="AY25" s="177">
        <f t="shared" si="31"/>
        <v>0.90504415792432746</v>
      </c>
      <c r="AZ25" s="177">
        <f t="shared" si="54"/>
        <v>3.6985691711768527</v>
      </c>
      <c r="BA25" s="469">
        <f t="shared" si="32"/>
        <v>17.027319442995115</v>
      </c>
      <c r="BB25" s="469">
        <f t="shared" si="33"/>
        <v>2.2472296296296301</v>
      </c>
      <c r="BC25" s="5">
        <f t="shared" si="34"/>
        <v>0.58546626476787544</v>
      </c>
      <c r="BD25" s="469">
        <f t="shared" si="35"/>
        <v>44.541548804959078</v>
      </c>
      <c r="BE25" s="5"/>
      <c r="BF25" s="177">
        <f t="shared" si="55"/>
        <v>0.49590941637121172</v>
      </c>
      <c r="BG25" s="177">
        <f t="shared" si="36"/>
        <v>1.2231416114156537</v>
      </c>
      <c r="BH25" s="177"/>
      <c r="BI25" s="542">
        <f t="shared" si="37"/>
        <v>2.7051876417019942E-2</v>
      </c>
      <c r="BJ25" s="542">
        <f t="shared" si="38"/>
        <v>0.1123861476526824</v>
      </c>
      <c r="BK25" s="542">
        <f t="shared" si="39"/>
        <v>1.7499999999999998E-2</v>
      </c>
      <c r="BL25" s="542">
        <f t="shared" si="40"/>
        <v>0.11885914687500002</v>
      </c>
      <c r="BM25">
        <f t="shared" si="41"/>
        <v>4.3499999999999997E-3</v>
      </c>
      <c r="BN25" s="469">
        <f t="shared" si="56"/>
        <v>280.1471709447024</v>
      </c>
      <c r="BO25" s="542">
        <f t="shared" si="57"/>
        <v>0.18000000000000002</v>
      </c>
      <c r="BP25" s="542"/>
      <c r="BR25" s="469">
        <f t="shared" si="58"/>
        <v>180.00000000000003</v>
      </c>
      <c r="BS25" s="542">
        <f t="shared" si="42"/>
        <v>0</v>
      </c>
      <c r="BT25" s="542">
        <f t="shared" si="43"/>
        <v>0</v>
      </c>
      <c r="BU25" s="542">
        <f t="shared" si="44"/>
        <v>0</v>
      </c>
      <c r="BV25" s="542">
        <f t="shared" si="45"/>
        <v>0</v>
      </c>
      <c r="BW25" s="469">
        <f t="shared" si="59"/>
        <v>0</v>
      </c>
      <c r="BX25" s="177">
        <f t="shared" si="60"/>
        <v>0.46014717094470237</v>
      </c>
      <c r="BY25" s="5">
        <f t="shared" si="61"/>
        <v>3</v>
      </c>
      <c r="BZ25" s="177">
        <f t="shared" si="62"/>
        <v>0.86701514467112351</v>
      </c>
      <c r="CA25" s="5">
        <f t="shared" si="63"/>
        <v>86.701514467112347</v>
      </c>
      <c r="CD25" s="576">
        <f t="shared" si="46"/>
        <v>-50</v>
      </c>
      <c r="CE25">
        <f t="shared" si="47"/>
        <v>-50</v>
      </c>
    </row>
    <row r="26" spans="5:83" x14ac:dyDescent="0.25">
      <c r="E26" s="174">
        <v>21</v>
      </c>
      <c r="F26" s="221">
        <f t="shared" si="48"/>
        <v>0.21</v>
      </c>
      <c r="G26" s="221"/>
      <c r="H26" s="221">
        <f t="shared" si="0"/>
        <v>3.15</v>
      </c>
      <c r="I26" s="555">
        <f t="shared" si="1"/>
        <v>15</v>
      </c>
      <c r="J26" s="176">
        <f t="shared" si="2"/>
        <v>23.85</v>
      </c>
      <c r="K26" s="451">
        <f t="shared" si="3"/>
        <v>38.85</v>
      </c>
      <c r="L26" s="451"/>
      <c r="M26" s="221">
        <f t="shared" si="4"/>
        <v>0.61389961389961389</v>
      </c>
      <c r="N26" s="176">
        <f t="shared" si="5"/>
        <v>17.933542471042468</v>
      </c>
      <c r="O26" s="176">
        <f t="shared" si="49"/>
        <v>3.15</v>
      </c>
      <c r="P26" s="221">
        <f t="shared" si="6"/>
        <v>1.195569498069498</v>
      </c>
      <c r="Q26" s="221">
        <f t="shared" si="7"/>
        <v>15</v>
      </c>
      <c r="R26" s="221">
        <f t="shared" si="8"/>
        <v>1.2584942084942083</v>
      </c>
      <c r="S26" s="176">
        <f t="shared" si="9"/>
        <v>129.17633299951899</v>
      </c>
      <c r="T26" s="176">
        <f t="shared" si="10"/>
        <v>15</v>
      </c>
      <c r="U26" s="221">
        <f t="shared" si="11"/>
        <v>0.72015888778550152</v>
      </c>
      <c r="V26" s="221">
        <f t="shared" si="12"/>
        <v>0.33607414763323401</v>
      </c>
      <c r="W26" s="221">
        <f t="shared" si="13"/>
        <v>0.21136738844857486</v>
      </c>
      <c r="X26" s="201">
        <f t="shared" si="14"/>
        <v>350</v>
      </c>
      <c r="Y26" s="451">
        <f t="shared" si="50"/>
        <v>350</v>
      </c>
      <c r="AA26" s="221">
        <f t="shared" si="15"/>
        <v>3.7585690646915135</v>
      </c>
      <c r="AB26" s="177">
        <f t="shared" si="16"/>
        <v>1.1031439602868174</v>
      </c>
      <c r="AC26" s="177">
        <f t="shared" si="17"/>
        <v>1.0883887252967701</v>
      </c>
      <c r="AD26" s="177"/>
      <c r="AE26" s="177">
        <f t="shared" si="18"/>
        <v>0.24067085953878403</v>
      </c>
      <c r="AF26" s="559">
        <f t="shared" si="19"/>
        <v>1418.798334324807</v>
      </c>
      <c r="AG26" s="542">
        <f t="shared" si="20"/>
        <v>5.1804402515723262E-2</v>
      </c>
      <c r="AI26" s="177">
        <f t="shared" si="21"/>
        <v>1.6938633157167162</v>
      </c>
      <c r="AJ26" s="177">
        <f t="shared" si="22"/>
        <v>1.6938633157167162</v>
      </c>
      <c r="AK26" s="177">
        <f t="shared" si="23"/>
        <v>1.8473061597901601</v>
      </c>
      <c r="AM26" s="559">
        <f t="shared" si="24"/>
        <v>210</v>
      </c>
      <c r="AN26" s="469">
        <f t="shared" si="25"/>
        <v>350</v>
      </c>
      <c r="AP26">
        <f t="shared" si="26"/>
        <v>210</v>
      </c>
      <c r="AQ26" s="469">
        <f t="shared" si="27"/>
        <v>350</v>
      </c>
      <c r="AR26" s="469"/>
      <c r="AS26" s="5">
        <f t="shared" si="51"/>
        <v>2.8571428571428572</v>
      </c>
      <c r="AT26" s="5">
        <f t="shared" si="28"/>
        <v>0.7904695473344675</v>
      </c>
      <c r="AU26" s="5">
        <f t="shared" si="52"/>
        <v>2.0666733098083898</v>
      </c>
      <c r="AV26" s="5">
        <f t="shared" si="29"/>
        <v>0.49715065870092295</v>
      </c>
      <c r="AW26" s="177">
        <f t="shared" si="53"/>
        <v>0.2766643415670636</v>
      </c>
      <c r="AX26" s="177">
        <f t="shared" si="30"/>
        <v>3.5147368421052643</v>
      </c>
      <c r="AY26" s="177">
        <f t="shared" si="31"/>
        <v>0.9189238025770109</v>
      </c>
      <c r="AZ26" s="177">
        <f t="shared" si="54"/>
        <v>3.8248403537361955</v>
      </c>
      <c r="BA26" s="469">
        <f t="shared" si="32"/>
        <v>17.027319442995115</v>
      </c>
      <c r="BB26" s="469">
        <f t="shared" si="33"/>
        <v>2.4460706666666661</v>
      </c>
      <c r="BC26" s="5">
        <f t="shared" si="34"/>
        <v>0.60912476499615698</v>
      </c>
      <c r="BD26" s="469">
        <f t="shared" si="35"/>
        <v>46.347515269448621</v>
      </c>
      <c r="BE26" s="5"/>
      <c r="BF26" s="177">
        <f t="shared" si="55"/>
        <v>0.51439214618335349</v>
      </c>
      <c r="BG26" s="177">
        <f t="shared" si="36"/>
        <v>1.2476102432747611</v>
      </c>
      <c r="BH26" s="177"/>
      <c r="BI26" s="542">
        <f t="shared" si="37"/>
        <v>2.9105920806062818E-2</v>
      </c>
      <c r="BJ26" s="542">
        <f t="shared" si="38"/>
        <v>0.11516153217729024</v>
      </c>
      <c r="BK26" s="542">
        <f t="shared" si="39"/>
        <v>1.7499999999999998E-2</v>
      </c>
      <c r="BL26" s="542">
        <f t="shared" si="40"/>
        <v>0.11885914687500002</v>
      </c>
      <c r="BM26">
        <f t="shared" si="41"/>
        <v>4.3499999999999997E-3</v>
      </c>
      <c r="BN26" s="469">
        <f t="shared" si="56"/>
        <v>284.97659985835304</v>
      </c>
      <c r="BO26" s="542">
        <f t="shared" si="57"/>
        <v>0.189</v>
      </c>
      <c r="BP26" s="542"/>
      <c r="BR26" s="469">
        <f t="shared" si="58"/>
        <v>189</v>
      </c>
      <c r="BS26" s="542">
        <f t="shared" si="42"/>
        <v>0</v>
      </c>
      <c r="BT26" s="542">
        <f t="shared" si="43"/>
        <v>0</v>
      </c>
      <c r="BU26" s="542">
        <f t="shared" si="44"/>
        <v>0</v>
      </c>
      <c r="BV26" s="542">
        <f t="shared" si="45"/>
        <v>0</v>
      </c>
      <c r="BW26" s="469">
        <f t="shared" si="59"/>
        <v>0</v>
      </c>
      <c r="BX26" s="177">
        <f t="shared" si="60"/>
        <v>0.47397659985835305</v>
      </c>
      <c r="BY26" s="5">
        <f t="shared" si="61"/>
        <v>3.15</v>
      </c>
      <c r="BZ26" s="177">
        <f t="shared" si="62"/>
        <v>0.86921091050177335</v>
      </c>
      <c r="CA26" s="5">
        <f t="shared" si="63"/>
        <v>86.921091050177338</v>
      </c>
      <c r="CD26" s="576">
        <f t="shared" si="46"/>
        <v>-50</v>
      </c>
      <c r="CE26">
        <f t="shared" si="47"/>
        <v>-50</v>
      </c>
    </row>
    <row r="27" spans="5:83" x14ac:dyDescent="0.25">
      <c r="E27" s="174">
        <v>22</v>
      </c>
      <c r="F27" s="221">
        <f t="shared" si="48"/>
        <v>0.22</v>
      </c>
      <c r="G27" s="221"/>
      <c r="H27" s="221">
        <f t="shared" si="0"/>
        <v>3.3</v>
      </c>
      <c r="I27" s="555">
        <f t="shared" si="1"/>
        <v>15</v>
      </c>
      <c r="J27" s="176">
        <f t="shared" si="2"/>
        <v>23.85</v>
      </c>
      <c r="K27" s="451">
        <f t="shared" si="3"/>
        <v>38.85</v>
      </c>
      <c r="L27" s="451"/>
      <c r="M27" s="221">
        <f t="shared" si="4"/>
        <v>0.61389961389961389</v>
      </c>
      <c r="N27" s="176">
        <f t="shared" si="5"/>
        <v>17.933542471042468</v>
      </c>
      <c r="O27" s="176">
        <f t="shared" si="49"/>
        <v>3.3</v>
      </c>
      <c r="P27" s="221">
        <f t="shared" si="6"/>
        <v>1.195569498069498</v>
      </c>
      <c r="Q27" s="221">
        <f t="shared" si="7"/>
        <v>15</v>
      </c>
      <c r="R27" s="221">
        <f t="shared" si="8"/>
        <v>1.2584942084942083</v>
      </c>
      <c r="S27" s="176">
        <f t="shared" si="9"/>
        <v>122.8568141773798</v>
      </c>
      <c r="T27" s="176">
        <f t="shared" si="10"/>
        <v>15</v>
      </c>
      <c r="U27" s="221">
        <f t="shared" si="11"/>
        <v>0.75445216815623961</v>
      </c>
      <c r="V27" s="221">
        <f t="shared" si="12"/>
        <v>0.35207767847291183</v>
      </c>
      <c r="W27" s="221">
        <f t="shared" si="13"/>
        <v>0.22143250218422125</v>
      </c>
      <c r="X27" s="201">
        <f t="shared" si="14"/>
        <v>350</v>
      </c>
      <c r="Y27" s="451">
        <f t="shared" si="50"/>
        <v>350</v>
      </c>
      <c r="AA27" s="221">
        <f t="shared" si="15"/>
        <v>3.7585690646915135</v>
      </c>
      <c r="AB27" s="177">
        <f t="shared" si="16"/>
        <v>1.1031439602868174</v>
      </c>
      <c r="AC27" s="177">
        <f t="shared" si="17"/>
        <v>1.0883887252967701</v>
      </c>
      <c r="AD27" s="177"/>
      <c r="AE27" s="177">
        <f t="shared" si="18"/>
        <v>0.24067085953878403</v>
      </c>
      <c r="AF27" s="559">
        <f t="shared" si="19"/>
        <v>1486.3601597688455</v>
      </c>
      <c r="AG27" s="542">
        <f t="shared" si="20"/>
        <v>5.1804402515723262E-2</v>
      </c>
      <c r="AI27" s="177">
        <f t="shared" si="21"/>
        <v>1.7337243768323649</v>
      </c>
      <c r="AJ27" s="177">
        <f t="shared" si="22"/>
        <v>1.7337243768323649</v>
      </c>
      <c r="AK27" s="177">
        <f t="shared" si="23"/>
        <v>1.8768328717276777</v>
      </c>
      <c r="AM27" s="559">
        <f t="shared" si="24"/>
        <v>220</v>
      </c>
      <c r="AN27" s="469">
        <f t="shared" si="25"/>
        <v>350</v>
      </c>
      <c r="AP27">
        <f t="shared" si="26"/>
        <v>220</v>
      </c>
      <c r="AQ27" s="469">
        <f t="shared" si="27"/>
        <v>350</v>
      </c>
      <c r="AR27" s="469"/>
      <c r="AS27" s="5">
        <f t="shared" si="51"/>
        <v>2.8571428571428572</v>
      </c>
      <c r="AT27" s="5">
        <f t="shared" si="28"/>
        <v>0.80907137585510358</v>
      </c>
      <c r="AU27" s="5">
        <f t="shared" si="52"/>
        <v>2.0480714812877538</v>
      </c>
      <c r="AV27" s="5">
        <f t="shared" si="29"/>
        <v>0.50884992192144884</v>
      </c>
      <c r="AW27" s="177">
        <f t="shared" si="53"/>
        <v>0.28317498154928622</v>
      </c>
      <c r="AX27" s="177">
        <f t="shared" si="30"/>
        <v>3.6821052631578963</v>
      </c>
      <c r="AY27" s="177">
        <f t="shared" si="31"/>
        <v>0.93208275630848414</v>
      </c>
      <c r="AZ27" s="177">
        <f t="shared" si="54"/>
        <v>3.9504059465072419</v>
      </c>
      <c r="BA27" s="469">
        <f t="shared" si="32"/>
        <v>17.027319442995115</v>
      </c>
      <c r="BB27" s="469">
        <f t="shared" si="33"/>
        <v>2.6531478518518514</v>
      </c>
      <c r="BC27" s="5">
        <f t="shared" si="34"/>
        <v>0.63238698369586788</v>
      </c>
      <c r="BD27" s="469">
        <f t="shared" si="35"/>
        <v>48.123760619295354</v>
      </c>
      <c r="BE27" s="5"/>
      <c r="BF27" s="177">
        <f t="shared" si="55"/>
        <v>0.53265605549712813</v>
      </c>
      <c r="BG27" s="177">
        <f t="shared" si="36"/>
        <v>1.2712098944852184</v>
      </c>
      <c r="BH27" s="177"/>
      <c r="BI27" s="542">
        <f t="shared" si="37"/>
        <v>3.1209472080353559E-2</v>
      </c>
      <c r="BJ27" s="542">
        <f t="shared" si="38"/>
        <v>0.11787158606989041</v>
      </c>
      <c r="BK27" s="542">
        <f t="shared" si="39"/>
        <v>1.7499999999999998E-2</v>
      </c>
      <c r="BL27" s="542">
        <f t="shared" si="40"/>
        <v>0.11885914687500002</v>
      </c>
      <c r="BM27">
        <f t="shared" si="41"/>
        <v>4.3499999999999997E-3</v>
      </c>
      <c r="BN27" s="469">
        <f t="shared" si="56"/>
        <v>289.79020502524401</v>
      </c>
      <c r="BO27" s="542">
        <f t="shared" si="57"/>
        <v>0.19800000000000001</v>
      </c>
      <c r="BP27" s="542"/>
      <c r="BR27" s="469">
        <f t="shared" si="58"/>
        <v>198</v>
      </c>
      <c r="BS27" s="542">
        <f t="shared" si="42"/>
        <v>0</v>
      </c>
      <c r="BT27" s="542">
        <f t="shared" si="43"/>
        <v>0</v>
      </c>
      <c r="BU27" s="542">
        <f t="shared" si="44"/>
        <v>0</v>
      </c>
      <c r="BV27" s="542">
        <f t="shared" si="45"/>
        <v>0</v>
      </c>
      <c r="BW27" s="469">
        <f t="shared" si="59"/>
        <v>0</v>
      </c>
      <c r="BX27" s="177">
        <f t="shared" si="60"/>
        <v>0.48779020502524401</v>
      </c>
      <c r="BY27" s="5">
        <f t="shared" si="61"/>
        <v>3.3</v>
      </c>
      <c r="BZ27" s="177">
        <f t="shared" si="62"/>
        <v>0.87122037424931964</v>
      </c>
      <c r="CA27" s="5">
        <f t="shared" si="63"/>
        <v>87.12203742493196</v>
      </c>
      <c r="CD27" s="576">
        <f t="shared" si="46"/>
        <v>-50</v>
      </c>
      <c r="CE27">
        <f t="shared" si="47"/>
        <v>-50</v>
      </c>
    </row>
    <row r="28" spans="5:83" x14ac:dyDescent="0.25">
      <c r="E28" s="174">
        <v>23</v>
      </c>
      <c r="F28" s="221">
        <f t="shared" si="48"/>
        <v>0.23</v>
      </c>
      <c r="G28" s="221"/>
      <c r="H28" s="221">
        <f t="shared" si="0"/>
        <v>3.45</v>
      </c>
      <c r="I28" s="555">
        <f t="shared" si="1"/>
        <v>15</v>
      </c>
      <c r="J28" s="176">
        <f t="shared" si="2"/>
        <v>23.85</v>
      </c>
      <c r="K28" s="451">
        <f t="shared" si="3"/>
        <v>38.85</v>
      </c>
      <c r="L28" s="451"/>
      <c r="M28" s="221">
        <f t="shared" si="4"/>
        <v>0.61389961389961389</v>
      </c>
      <c r="N28" s="176">
        <f t="shared" si="5"/>
        <v>17.933542471042468</v>
      </c>
      <c r="O28" s="176">
        <f t="shared" si="49"/>
        <v>3.45</v>
      </c>
      <c r="P28" s="221">
        <f t="shared" si="6"/>
        <v>1.195569498069498</v>
      </c>
      <c r="Q28" s="221">
        <f t="shared" si="7"/>
        <v>15</v>
      </c>
      <c r="R28" s="221">
        <f t="shared" si="8"/>
        <v>1.2584942084942083</v>
      </c>
      <c r="S28" s="176">
        <f t="shared" si="9"/>
        <v>117.08714905897395</v>
      </c>
      <c r="T28" s="176">
        <f t="shared" si="10"/>
        <v>15</v>
      </c>
      <c r="U28" s="221">
        <f t="shared" si="11"/>
        <v>0.78874544852697792</v>
      </c>
      <c r="V28" s="221">
        <f t="shared" si="12"/>
        <v>0.3680812093125897</v>
      </c>
      <c r="W28" s="221">
        <f t="shared" si="13"/>
        <v>0.23149761591986773</v>
      </c>
      <c r="X28" s="201">
        <f t="shared" si="14"/>
        <v>350</v>
      </c>
      <c r="Y28" s="451">
        <f t="shared" si="50"/>
        <v>350</v>
      </c>
      <c r="AA28" s="221">
        <f t="shared" si="15"/>
        <v>3.7585690646915135</v>
      </c>
      <c r="AB28" s="177">
        <f t="shared" si="16"/>
        <v>1.1031439602868174</v>
      </c>
      <c r="AC28" s="177">
        <f t="shared" si="17"/>
        <v>1.0883887252967701</v>
      </c>
      <c r="AD28" s="177"/>
      <c r="AE28" s="177">
        <f t="shared" si="18"/>
        <v>0.24067085953878403</v>
      </c>
      <c r="AF28" s="559">
        <f t="shared" si="19"/>
        <v>1553.921985212884</v>
      </c>
      <c r="AG28" s="542">
        <f t="shared" si="20"/>
        <v>5.1804402515723262E-2</v>
      </c>
      <c r="AI28" s="177">
        <f t="shared" si="21"/>
        <v>1.7726893403286197</v>
      </c>
      <c r="AJ28" s="177">
        <f t="shared" si="22"/>
        <v>1.7726893403286197</v>
      </c>
      <c r="AK28" s="177">
        <f t="shared" si="23"/>
        <v>1.9056958076508295</v>
      </c>
      <c r="AM28" s="559">
        <f t="shared" si="24"/>
        <v>230</v>
      </c>
      <c r="AN28" s="469">
        <f t="shared" si="25"/>
        <v>350</v>
      </c>
      <c r="AP28">
        <f t="shared" si="26"/>
        <v>230</v>
      </c>
      <c r="AQ28" s="469">
        <f t="shared" si="27"/>
        <v>350</v>
      </c>
      <c r="AR28" s="469"/>
      <c r="AS28" s="5">
        <f t="shared" si="51"/>
        <v>2.8571428571428572</v>
      </c>
      <c r="AT28" s="5">
        <f t="shared" si="28"/>
        <v>0.82725502548668917</v>
      </c>
      <c r="AU28" s="5">
        <f t="shared" si="52"/>
        <v>2.0298878316561679</v>
      </c>
      <c r="AV28" s="5">
        <f t="shared" si="29"/>
        <v>0.52028617955137679</v>
      </c>
      <c r="AW28" s="177">
        <f t="shared" si="53"/>
        <v>0.28953925892034121</v>
      </c>
      <c r="AX28" s="177">
        <f t="shared" si="30"/>
        <v>3.8494736842105284</v>
      </c>
      <c r="AY28" s="177">
        <f t="shared" si="31"/>
        <v>0.94456963682541195</v>
      </c>
      <c r="AZ28" s="177">
        <f t="shared" si="54"/>
        <v>4.0753730949347036</v>
      </c>
      <c r="BA28" s="469">
        <f t="shared" si="32"/>
        <v>17.027319442995115</v>
      </c>
      <c r="BB28" s="469">
        <f t="shared" si="33"/>
        <v>2.8684611851851849</v>
      </c>
      <c r="BC28" s="5">
        <f t="shared" si="34"/>
        <v>0.65526203688549989</v>
      </c>
      <c r="BD28" s="469">
        <f t="shared" si="35"/>
        <v>49.870968555886179</v>
      </c>
      <c r="BE28" s="5"/>
      <c r="BF28" s="177">
        <f t="shared" si="55"/>
        <v>0.55071351559693471</v>
      </c>
      <c r="BG28" s="177">
        <f t="shared" si="36"/>
        <v>1.2939971122063925</v>
      </c>
      <c r="BH28" s="177"/>
      <c r="BI28" s="542">
        <f t="shared" si="37"/>
        <v>3.3361391388724883E-2</v>
      </c>
      <c r="BJ28" s="542">
        <f t="shared" si="38"/>
        <v>0.12052071652559204</v>
      </c>
      <c r="BK28" s="542">
        <f t="shared" si="39"/>
        <v>1.7499999999999998E-2</v>
      </c>
      <c r="BL28" s="542">
        <f t="shared" si="40"/>
        <v>0.11885914687500002</v>
      </c>
      <c r="BM28">
        <f t="shared" si="41"/>
        <v>4.3499999999999997E-3</v>
      </c>
      <c r="BN28" s="469">
        <f t="shared" si="56"/>
        <v>294.59125478931696</v>
      </c>
      <c r="BO28" s="542">
        <f t="shared" si="57"/>
        <v>0.20700000000000002</v>
      </c>
      <c r="BP28" s="542"/>
      <c r="BR28" s="469">
        <f t="shared" si="58"/>
        <v>207.00000000000003</v>
      </c>
      <c r="BS28" s="542">
        <f t="shared" si="42"/>
        <v>0</v>
      </c>
      <c r="BT28" s="542">
        <f t="shared" si="43"/>
        <v>0</v>
      </c>
      <c r="BU28" s="542">
        <f t="shared" si="44"/>
        <v>0</v>
      </c>
      <c r="BV28" s="542">
        <f t="shared" si="45"/>
        <v>0</v>
      </c>
      <c r="BW28" s="469">
        <f t="shared" si="59"/>
        <v>0</v>
      </c>
      <c r="BX28" s="177">
        <f t="shared" si="60"/>
        <v>0.50159125478931699</v>
      </c>
      <c r="BY28" s="5">
        <f t="shared" si="61"/>
        <v>3.45</v>
      </c>
      <c r="BZ28" s="177">
        <f t="shared" si="62"/>
        <v>0.87306600747701579</v>
      </c>
      <c r="CA28" s="5">
        <f t="shared" si="63"/>
        <v>87.30660074770158</v>
      </c>
      <c r="CD28" s="576">
        <f t="shared" si="46"/>
        <v>-50</v>
      </c>
      <c r="CE28">
        <f t="shared" si="47"/>
        <v>-50</v>
      </c>
    </row>
    <row r="29" spans="5:83" x14ac:dyDescent="0.25">
      <c r="E29" s="174">
        <v>24</v>
      </c>
      <c r="F29" s="221">
        <f t="shared" si="48"/>
        <v>0.24</v>
      </c>
      <c r="G29" s="221"/>
      <c r="H29" s="221">
        <f t="shared" si="0"/>
        <v>3.5999999999999996</v>
      </c>
      <c r="I29" s="555">
        <f t="shared" si="1"/>
        <v>15</v>
      </c>
      <c r="J29" s="176">
        <f t="shared" si="2"/>
        <v>23.85</v>
      </c>
      <c r="K29" s="451">
        <f t="shared" si="3"/>
        <v>38.85</v>
      </c>
      <c r="L29" s="451"/>
      <c r="M29" s="221">
        <f t="shared" si="4"/>
        <v>0.61389961389961389</v>
      </c>
      <c r="N29" s="176">
        <f t="shared" si="5"/>
        <v>17.933542471042468</v>
      </c>
      <c r="O29" s="176">
        <f t="shared" si="49"/>
        <v>3.5999999999999996</v>
      </c>
      <c r="P29" s="221">
        <f t="shared" si="6"/>
        <v>1.195569498069498</v>
      </c>
      <c r="Q29" s="221">
        <f t="shared" si="7"/>
        <v>15</v>
      </c>
      <c r="R29" s="221">
        <f t="shared" si="8"/>
        <v>1.2584942084942083</v>
      </c>
      <c r="S29" s="176">
        <f t="shared" si="9"/>
        <v>111.79860901581745</v>
      </c>
      <c r="T29" s="176">
        <f t="shared" si="10"/>
        <v>15</v>
      </c>
      <c r="U29" s="221">
        <f t="shared" si="11"/>
        <v>0.8230387288977159</v>
      </c>
      <c r="V29" s="221">
        <f t="shared" si="12"/>
        <v>0.38408474015226746</v>
      </c>
      <c r="W29" s="221">
        <f t="shared" si="13"/>
        <v>0.24156272965551409</v>
      </c>
      <c r="X29" s="201">
        <f t="shared" si="14"/>
        <v>350</v>
      </c>
      <c r="Y29" s="451">
        <f t="shared" si="50"/>
        <v>350</v>
      </c>
      <c r="AA29" s="221">
        <f t="shared" si="15"/>
        <v>3.7585690646915135</v>
      </c>
      <c r="AB29" s="177">
        <f t="shared" si="16"/>
        <v>1.1031439602868174</v>
      </c>
      <c r="AC29" s="177">
        <f t="shared" si="17"/>
        <v>1.0883887252967701</v>
      </c>
      <c r="AD29" s="177"/>
      <c r="AE29" s="177">
        <f t="shared" si="18"/>
        <v>0.24067085953878403</v>
      </c>
      <c r="AF29" s="559">
        <f t="shared" si="19"/>
        <v>1621.4838106569221</v>
      </c>
      <c r="AG29" s="542">
        <f t="shared" si="20"/>
        <v>5.1804402515723262E-2</v>
      </c>
      <c r="AI29" s="177">
        <f t="shared" si="21"/>
        <v>1.8108160535533864</v>
      </c>
      <c r="AJ29" s="177">
        <f t="shared" si="22"/>
        <v>1.8108160535533864</v>
      </c>
      <c r="AK29" s="177">
        <f t="shared" si="23"/>
        <v>1.9339378174469528</v>
      </c>
      <c r="AM29" s="559">
        <f t="shared" si="24"/>
        <v>240</v>
      </c>
      <c r="AN29" s="469">
        <f t="shared" si="25"/>
        <v>350</v>
      </c>
      <c r="AP29">
        <f t="shared" si="26"/>
        <v>240</v>
      </c>
      <c r="AQ29" s="469">
        <f t="shared" si="27"/>
        <v>350</v>
      </c>
      <c r="AR29" s="469"/>
      <c r="AS29" s="5">
        <f t="shared" si="51"/>
        <v>2.8571428571428572</v>
      </c>
      <c r="AT29" s="5">
        <f t="shared" si="28"/>
        <v>0.845047491658247</v>
      </c>
      <c r="AU29" s="5">
        <f t="shared" si="52"/>
        <v>2.0120953654846101</v>
      </c>
      <c r="AV29" s="5">
        <f t="shared" si="29"/>
        <v>0.53147640984795408</v>
      </c>
      <c r="AW29" s="177">
        <f t="shared" si="53"/>
        <v>0.29576662208038645</v>
      </c>
      <c r="AX29" s="177">
        <f t="shared" si="30"/>
        <v>4.0168421052631587</v>
      </c>
      <c r="AY29" s="177">
        <f t="shared" si="31"/>
        <v>0.95642782963872375</v>
      </c>
      <c r="AZ29" s="177">
        <f t="shared" si="54"/>
        <v>4.199838169473237</v>
      </c>
      <c r="BA29" s="469">
        <f t="shared" si="32"/>
        <v>17.027319442995115</v>
      </c>
      <c r="BB29" s="469">
        <f t="shared" si="33"/>
        <v>3.092010666666666</v>
      </c>
      <c r="BC29" s="5">
        <f t="shared" si="34"/>
        <v>0.67775843890007925</v>
      </c>
      <c r="BD29" s="469">
        <f t="shared" si="35"/>
        <v>51.58977765434804</v>
      </c>
      <c r="BE29" s="5"/>
      <c r="BF29" s="177">
        <f t="shared" si="55"/>
        <v>0.56857569294977828</v>
      </c>
      <c r="BG29" s="177">
        <f t="shared" si="36"/>
        <v>1.3160223660618477</v>
      </c>
      <c r="BH29" s="177"/>
      <c r="BI29" s="542">
        <f t="shared" si="37"/>
        <v>3.5560615047465265E-2</v>
      </c>
      <c r="BJ29" s="542">
        <f t="shared" si="38"/>
        <v>0.12311285644096086</v>
      </c>
      <c r="BK29" s="542">
        <f t="shared" si="39"/>
        <v>1.7499999999999998E-2</v>
      </c>
      <c r="BL29" s="542">
        <f t="shared" si="40"/>
        <v>0.11885914687500002</v>
      </c>
      <c r="BM29">
        <f t="shared" si="41"/>
        <v>4.3499999999999997E-3</v>
      </c>
      <c r="BN29" s="469">
        <f t="shared" si="56"/>
        <v>299.3826183634261</v>
      </c>
      <c r="BO29" s="542">
        <f t="shared" si="57"/>
        <v>0.216</v>
      </c>
      <c r="BP29" s="542"/>
      <c r="BR29" s="469">
        <f t="shared" si="58"/>
        <v>216</v>
      </c>
      <c r="BS29" s="542">
        <f t="shared" si="42"/>
        <v>0</v>
      </c>
      <c r="BT29" s="542">
        <f t="shared" si="43"/>
        <v>0</v>
      </c>
      <c r="BU29" s="542">
        <f t="shared" si="44"/>
        <v>0</v>
      </c>
      <c r="BV29" s="542">
        <f t="shared" si="45"/>
        <v>0</v>
      </c>
      <c r="BW29" s="469">
        <f t="shared" si="59"/>
        <v>0</v>
      </c>
      <c r="BX29" s="177">
        <f t="shared" si="60"/>
        <v>0.51538261836342614</v>
      </c>
      <c r="BY29" s="5">
        <f t="shared" si="61"/>
        <v>3.5999999999999996</v>
      </c>
      <c r="BZ29" s="177">
        <f t="shared" si="62"/>
        <v>0.87476677962731453</v>
      </c>
      <c r="CA29" s="5">
        <f t="shared" si="63"/>
        <v>87.476677962731458</v>
      </c>
      <c r="CD29" s="576">
        <f t="shared" si="46"/>
        <v>-50</v>
      </c>
      <c r="CE29">
        <f t="shared" si="47"/>
        <v>-50</v>
      </c>
    </row>
    <row r="30" spans="5:83" x14ac:dyDescent="0.25">
      <c r="E30" s="174">
        <v>25</v>
      </c>
      <c r="F30" s="221">
        <f t="shared" si="48"/>
        <v>0.25</v>
      </c>
      <c r="G30" s="221"/>
      <c r="H30" s="221">
        <f t="shared" si="0"/>
        <v>3.75</v>
      </c>
      <c r="I30" s="555">
        <f t="shared" si="1"/>
        <v>15</v>
      </c>
      <c r="J30" s="176">
        <f t="shared" si="2"/>
        <v>23.85</v>
      </c>
      <c r="K30" s="451">
        <f t="shared" si="3"/>
        <v>38.85</v>
      </c>
      <c r="L30" s="451"/>
      <c r="M30" s="221">
        <f t="shared" si="4"/>
        <v>0.61389961389961389</v>
      </c>
      <c r="N30" s="176">
        <f t="shared" si="5"/>
        <v>17.933542471042468</v>
      </c>
      <c r="O30" s="176">
        <f t="shared" si="49"/>
        <v>3.75</v>
      </c>
      <c r="P30" s="221">
        <f t="shared" si="6"/>
        <v>1.195569498069498</v>
      </c>
      <c r="Q30" s="221">
        <f t="shared" si="7"/>
        <v>15</v>
      </c>
      <c r="R30" s="221">
        <f t="shared" si="8"/>
        <v>1.2584942084942083</v>
      </c>
      <c r="S30" s="176">
        <f t="shared" si="9"/>
        <v>106.93346203330854</v>
      </c>
      <c r="T30" s="176">
        <f t="shared" si="10"/>
        <v>15</v>
      </c>
      <c r="U30" s="221">
        <f t="shared" si="11"/>
        <v>0.85733200926845421</v>
      </c>
      <c r="V30" s="221">
        <f t="shared" si="12"/>
        <v>0.40008827099194533</v>
      </c>
      <c r="W30" s="221">
        <f t="shared" si="13"/>
        <v>0.25162784339116057</v>
      </c>
      <c r="X30" s="201">
        <f t="shared" si="14"/>
        <v>350</v>
      </c>
      <c r="Y30" s="451">
        <f t="shared" si="50"/>
        <v>350</v>
      </c>
      <c r="AA30" s="221">
        <f t="shared" si="15"/>
        <v>3.7585690646915135</v>
      </c>
      <c r="AB30" s="177">
        <f t="shared" si="16"/>
        <v>1.1031439602868174</v>
      </c>
      <c r="AC30" s="177">
        <f t="shared" si="17"/>
        <v>1.0883887252967701</v>
      </c>
      <c r="AD30" s="177"/>
      <c r="AE30" s="177">
        <f t="shared" si="18"/>
        <v>0.24067085953878403</v>
      </c>
      <c r="AF30" s="559">
        <f t="shared" si="19"/>
        <v>1689.0456361009606</v>
      </c>
      <c r="AG30" s="542">
        <f t="shared" si="20"/>
        <v>5.1804402515723262E-2</v>
      </c>
      <c r="AI30" s="177">
        <f t="shared" si="21"/>
        <v>1.8481563955192224</v>
      </c>
      <c r="AJ30" s="177">
        <f t="shared" si="22"/>
        <v>1.8481563955192224</v>
      </c>
      <c r="AK30" s="177">
        <f t="shared" si="23"/>
        <v>1.9615973300142386</v>
      </c>
      <c r="AM30" s="559">
        <f t="shared" si="24"/>
        <v>250</v>
      </c>
      <c r="AN30" s="469">
        <f t="shared" si="25"/>
        <v>350</v>
      </c>
      <c r="AP30">
        <f t="shared" si="26"/>
        <v>250</v>
      </c>
      <c r="AQ30" s="469">
        <f t="shared" si="27"/>
        <v>350</v>
      </c>
      <c r="AR30" s="469"/>
      <c r="AS30" s="5">
        <f t="shared" si="51"/>
        <v>2.8571428571428572</v>
      </c>
      <c r="AT30" s="5">
        <f t="shared" si="28"/>
        <v>0.86247298457563704</v>
      </c>
      <c r="AU30" s="5">
        <f t="shared" si="52"/>
        <v>1.9946698725672203</v>
      </c>
      <c r="AV30" s="5">
        <f t="shared" si="29"/>
        <v>0.54243583935574657</v>
      </c>
      <c r="AW30" s="177">
        <f t="shared" si="53"/>
        <v>0.30186554460147297</v>
      </c>
      <c r="AX30" s="177">
        <f t="shared" si="30"/>
        <v>4.1842105263157903</v>
      </c>
      <c r="AY30" s="177">
        <f t="shared" si="31"/>
        <v>0.96769624400783782</v>
      </c>
      <c r="AZ30" s="177">
        <f t="shared" si="54"/>
        <v>4.3238883608624405</v>
      </c>
      <c r="BA30" s="469">
        <f t="shared" si="32"/>
        <v>17.027319442995115</v>
      </c>
      <c r="BB30" s="469">
        <f t="shared" si="33"/>
        <v>3.3237962962962957</v>
      </c>
      <c r="BC30" s="5">
        <f t="shared" si="34"/>
        <v>0.69988416581305979</v>
      </c>
      <c r="BD30" s="469">
        <f t="shared" si="35"/>
        <v>53.280786120190001</v>
      </c>
      <c r="BE30" s="5"/>
      <c r="BF30" s="177">
        <f t="shared" si="55"/>
        <v>0.58625271169841953</v>
      </c>
      <c r="BG30" s="177">
        <f t="shared" si="36"/>
        <v>1.3373309247463827</v>
      </c>
      <c r="BH30" s="177"/>
      <c r="BI30" s="542">
        <f t="shared" si="37"/>
        <v>3.780614661711252E-2</v>
      </c>
      <c r="BJ30" s="542">
        <f t="shared" si="38"/>
        <v>0.12565153294036313</v>
      </c>
      <c r="BK30" s="542">
        <f t="shared" si="39"/>
        <v>1.7499999999999998E-2</v>
      </c>
      <c r="BL30" s="542">
        <f t="shared" si="40"/>
        <v>0.11885914687500002</v>
      </c>
      <c r="BM30">
        <f t="shared" si="41"/>
        <v>4.3499999999999997E-3</v>
      </c>
      <c r="BN30" s="469">
        <f t="shared" si="56"/>
        <v>304.16682643247566</v>
      </c>
      <c r="BO30" s="542">
        <f t="shared" si="57"/>
        <v>0.22500000000000001</v>
      </c>
      <c r="BP30" s="542"/>
      <c r="BR30" s="469">
        <f t="shared" si="58"/>
        <v>225</v>
      </c>
      <c r="BS30" s="542">
        <f t="shared" si="42"/>
        <v>0</v>
      </c>
      <c r="BT30" s="542">
        <f t="shared" si="43"/>
        <v>0</v>
      </c>
      <c r="BU30" s="542">
        <f t="shared" si="44"/>
        <v>0</v>
      </c>
      <c r="BV30" s="542">
        <f t="shared" si="45"/>
        <v>0</v>
      </c>
      <c r="BW30" s="469">
        <f t="shared" si="59"/>
        <v>0</v>
      </c>
      <c r="BX30" s="177">
        <f t="shared" si="60"/>
        <v>0.5291668264324757</v>
      </c>
      <c r="BY30" s="5">
        <f t="shared" si="61"/>
        <v>3.75</v>
      </c>
      <c r="BZ30" s="177">
        <f t="shared" si="62"/>
        <v>0.87633881830364635</v>
      </c>
      <c r="CA30" s="5">
        <f t="shared" si="63"/>
        <v>87.633881830364629</v>
      </c>
      <c r="CD30" s="576">
        <f t="shared" si="46"/>
        <v>-50</v>
      </c>
      <c r="CE30">
        <f t="shared" si="47"/>
        <v>-50</v>
      </c>
    </row>
    <row r="31" spans="5:83" x14ac:dyDescent="0.25">
      <c r="E31" s="174">
        <v>26</v>
      </c>
      <c r="F31" s="221">
        <f t="shared" si="48"/>
        <v>0.26</v>
      </c>
      <c r="G31" s="221"/>
      <c r="H31" s="221">
        <f t="shared" si="0"/>
        <v>3.9000000000000004</v>
      </c>
      <c r="I31" s="555">
        <f t="shared" si="1"/>
        <v>15</v>
      </c>
      <c r="J31" s="176">
        <f t="shared" si="2"/>
        <v>23.85</v>
      </c>
      <c r="K31" s="451">
        <f t="shared" si="3"/>
        <v>38.85</v>
      </c>
      <c r="L31" s="451"/>
      <c r="M31" s="221">
        <f t="shared" si="4"/>
        <v>0.61389961389961389</v>
      </c>
      <c r="N31" s="176">
        <f t="shared" si="5"/>
        <v>17.933542471042468</v>
      </c>
      <c r="O31" s="176">
        <f t="shared" si="49"/>
        <v>3.9000000000000004</v>
      </c>
      <c r="P31" s="221">
        <f t="shared" si="6"/>
        <v>1.195569498069498</v>
      </c>
      <c r="Q31" s="221">
        <f t="shared" si="7"/>
        <v>15</v>
      </c>
      <c r="R31" s="221">
        <f t="shared" si="8"/>
        <v>1.2584942084942083</v>
      </c>
      <c r="S31" s="176">
        <f t="shared" si="9"/>
        <v>102.4428579776466</v>
      </c>
      <c r="T31" s="176">
        <f t="shared" si="10"/>
        <v>15</v>
      </c>
      <c r="U31" s="221">
        <f t="shared" si="11"/>
        <v>0.89162528963919241</v>
      </c>
      <c r="V31" s="221">
        <f t="shared" si="12"/>
        <v>0.41609180183162314</v>
      </c>
      <c r="W31" s="221">
        <f t="shared" si="13"/>
        <v>0.26169295712680696</v>
      </c>
      <c r="X31" s="201">
        <f t="shared" si="14"/>
        <v>350</v>
      </c>
      <c r="Y31" s="451">
        <f t="shared" si="50"/>
        <v>350</v>
      </c>
      <c r="AA31" s="221">
        <f t="shared" si="15"/>
        <v>3.7585690646915135</v>
      </c>
      <c r="AB31" s="177">
        <f t="shared" si="16"/>
        <v>1.1031439602868174</v>
      </c>
      <c r="AC31" s="177">
        <f t="shared" si="17"/>
        <v>1.0883887252967701</v>
      </c>
      <c r="AD31" s="177"/>
      <c r="AE31" s="177">
        <f t="shared" si="18"/>
        <v>0.24067085953878403</v>
      </c>
      <c r="AF31" s="559">
        <f t="shared" si="19"/>
        <v>1756.6074615449991</v>
      </c>
      <c r="AG31" s="542">
        <f t="shared" si="20"/>
        <v>5.1804402515723262E-2</v>
      </c>
      <c r="AI31" s="177">
        <f t="shared" si="21"/>
        <v>1.884757104984764</v>
      </c>
      <c r="AJ31" s="177">
        <f t="shared" si="22"/>
        <v>1.884757104984764</v>
      </c>
      <c r="AK31" s="177">
        <f t="shared" si="23"/>
        <v>1.9887089666553808</v>
      </c>
      <c r="AM31" s="559">
        <f t="shared" si="24"/>
        <v>260</v>
      </c>
      <c r="AN31" s="469">
        <f t="shared" si="25"/>
        <v>350</v>
      </c>
      <c r="AP31">
        <f t="shared" si="26"/>
        <v>260</v>
      </c>
      <c r="AQ31" s="469">
        <f t="shared" si="27"/>
        <v>350</v>
      </c>
      <c r="AR31" s="469"/>
      <c r="AS31" s="5">
        <f t="shared" si="51"/>
        <v>2.8571428571428572</v>
      </c>
      <c r="AT31" s="5">
        <f t="shared" si="28"/>
        <v>0.87955331565955641</v>
      </c>
      <c r="AU31" s="5">
        <f t="shared" si="52"/>
        <v>1.9775895414833009</v>
      </c>
      <c r="AV31" s="5">
        <f t="shared" si="29"/>
        <v>0.55317818594940649</v>
      </c>
      <c r="AW31" s="177">
        <f t="shared" si="53"/>
        <v>0.30784366048084472</v>
      </c>
      <c r="AX31" s="177">
        <f t="shared" si="30"/>
        <v>4.3515789473684228</v>
      </c>
      <c r="AY31" s="177">
        <f t="shared" si="31"/>
        <v>0.97840993400173071</v>
      </c>
      <c r="AZ31" s="177">
        <f t="shared" si="54"/>
        <v>4.4476029894446318</v>
      </c>
      <c r="BA31" s="469">
        <f t="shared" si="32"/>
        <v>17.027319442995115</v>
      </c>
      <c r="BB31" s="469">
        <f t="shared" si="33"/>
        <v>3.5638180740740735</v>
      </c>
      <c r="BC31" s="5">
        <f t="shared" si="34"/>
        <v>0.72164670987460811</v>
      </c>
      <c r="BD31" s="469">
        <f t="shared" si="35"/>
        <v>54.944555872174547</v>
      </c>
      <c r="BE31" s="5"/>
      <c r="BF31" s="177">
        <f t="shared" si="55"/>
        <v>0.60375378863148998</v>
      </c>
      <c r="BG31" s="177">
        <f t="shared" si="36"/>
        <v>1.3579635763515294</v>
      </c>
      <c r="BH31" s="177"/>
      <c r="BI31" s="542">
        <f t="shared" si="37"/>
        <v>4.0097050101556571E-2</v>
      </c>
      <c r="BJ31" s="542">
        <f t="shared" si="38"/>
        <v>0.12813992367515165</v>
      </c>
      <c r="BK31" s="542">
        <f t="shared" si="39"/>
        <v>1.7499999999999998E-2</v>
      </c>
      <c r="BL31" s="542">
        <f t="shared" si="40"/>
        <v>0.11885914687500002</v>
      </c>
      <c r="BM31">
        <f t="shared" si="41"/>
        <v>4.3499999999999997E-3</v>
      </c>
      <c r="BN31" s="469">
        <f t="shared" si="56"/>
        <v>308.94612065170821</v>
      </c>
      <c r="BO31" s="542">
        <f t="shared" si="57"/>
        <v>0.23400000000000001</v>
      </c>
      <c r="BP31" s="542"/>
      <c r="BR31" s="469">
        <f t="shared" si="58"/>
        <v>234</v>
      </c>
      <c r="BS31" s="542">
        <f t="shared" si="42"/>
        <v>0</v>
      </c>
      <c r="BT31" s="542">
        <f t="shared" si="43"/>
        <v>0</v>
      </c>
      <c r="BU31" s="542">
        <f t="shared" si="44"/>
        <v>0</v>
      </c>
      <c r="BV31" s="542">
        <f t="shared" si="45"/>
        <v>0</v>
      </c>
      <c r="BW31" s="469">
        <f t="shared" si="59"/>
        <v>0</v>
      </c>
      <c r="BX31" s="177">
        <f t="shared" si="60"/>
        <v>0.54294612065170822</v>
      </c>
      <c r="BY31" s="5">
        <f t="shared" si="61"/>
        <v>3.9000000000000004</v>
      </c>
      <c r="BZ31" s="177">
        <f t="shared" si="62"/>
        <v>0.87779592506693138</v>
      </c>
      <c r="CA31" s="5">
        <f t="shared" si="63"/>
        <v>87.779592506693135</v>
      </c>
      <c r="CD31" s="576">
        <f t="shared" si="46"/>
        <v>-50</v>
      </c>
      <c r="CE31">
        <f t="shared" si="47"/>
        <v>-50</v>
      </c>
    </row>
    <row r="32" spans="5:83" x14ac:dyDescent="0.25">
      <c r="E32" s="174">
        <v>27</v>
      </c>
      <c r="F32" s="221">
        <f t="shared" si="48"/>
        <v>0.27</v>
      </c>
      <c r="G32" s="221"/>
      <c r="H32" s="221">
        <f t="shared" si="0"/>
        <v>4.0500000000000007</v>
      </c>
      <c r="I32" s="555">
        <f t="shared" si="1"/>
        <v>15</v>
      </c>
      <c r="J32" s="176">
        <f t="shared" si="2"/>
        <v>23.85</v>
      </c>
      <c r="K32" s="451">
        <f t="shared" si="3"/>
        <v>38.85</v>
      </c>
      <c r="L32" s="451"/>
      <c r="M32" s="221">
        <f t="shared" si="4"/>
        <v>0.61389961389961389</v>
      </c>
      <c r="N32" s="176">
        <f t="shared" si="5"/>
        <v>17.933542471042468</v>
      </c>
      <c r="O32" s="176">
        <f t="shared" si="49"/>
        <v>4.0500000000000007</v>
      </c>
      <c r="P32" s="221">
        <f t="shared" si="6"/>
        <v>1.195569498069498</v>
      </c>
      <c r="Q32" s="221">
        <f t="shared" si="7"/>
        <v>15</v>
      </c>
      <c r="R32" s="221">
        <f t="shared" si="8"/>
        <v>1.2584942084942083</v>
      </c>
      <c r="S32" s="176">
        <f t="shared" si="9"/>
        <v>98.285183803438144</v>
      </c>
      <c r="T32" s="176">
        <f t="shared" si="10"/>
        <v>15</v>
      </c>
      <c r="U32" s="221">
        <f t="shared" si="11"/>
        <v>0.92591857000993072</v>
      </c>
      <c r="V32" s="221">
        <f t="shared" si="12"/>
        <v>0.43209533267130101</v>
      </c>
      <c r="W32" s="221">
        <f t="shared" si="13"/>
        <v>0.2717580708624534</v>
      </c>
      <c r="X32" s="201">
        <f t="shared" si="14"/>
        <v>350</v>
      </c>
      <c r="Y32" s="451">
        <f t="shared" si="50"/>
        <v>350</v>
      </c>
      <c r="AA32" s="221">
        <f t="shared" si="15"/>
        <v>3.7585690646915135</v>
      </c>
      <c r="AB32" s="177">
        <f t="shared" si="16"/>
        <v>1.1031439602868174</v>
      </c>
      <c r="AC32" s="177">
        <f t="shared" si="17"/>
        <v>1.0883887252967701</v>
      </c>
      <c r="AD32" s="177"/>
      <c r="AE32" s="177">
        <f t="shared" si="18"/>
        <v>0.24067085953878403</v>
      </c>
      <c r="AF32" s="559">
        <f t="shared" si="19"/>
        <v>1824.1692869890376</v>
      </c>
      <c r="AG32" s="542">
        <f t="shared" si="20"/>
        <v>5.1804402515723262E-2</v>
      </c>
      <c r="AI32" s="177">
        <f t="shared" si="21"/>
        <v>1.9206604664235929</v>
      </c>
      <c r="AJ32" s="177">
        <f t="shared" si="22"/>
        <v>1.9206604664235929</v>
      </c>
      <c r="AK32" s="177">
        <f t="shared" si="23"/>
        <v>2.0153040492026615</v>
      </c>
      <c r="AM32" s="559">
        <f t="shared" si="24"/>
        <v>270</v>
      </c>
      <c r="AN32" s="469">
        <f t="shared" si="25"/>
        <v>350</v>
      </c>
      <c r="AP32">
        <f t="shared" si="26"/>
        <v>270</v>
      </c>
      <c r="AQ32" s="469">
        <f t="shared" si="27"/>
        <v>350</v>
      </c>
      <c r="AR32" s="469"/>
      <c r="AS32" s="5">
        <f t="shared" si="51"/>
        <v>2.8571428571428572</v>
      </c>
      <c r="AT32" s="5">
        <f t="shared" si="28"/>
        <v>0.89630821766434332</v>
      </c>
      <c r="AU32" s="5">
        <f t="shared" si="52"/>
        <v>1.9608346394785139</v>
      </c>
      <c r="AV32" s="5">
        <f t="shared" si="29"/>
        <v>0.56371586016625364</v>
      </c>
      <c r="AW32" s="177">
        <f t="shared" si="53"/>
        <v>0.31370787618252016</v>
      </c>
      <c r="AX32" s="177">
        <f t="shared" si="30"/>
        <v>4.5189473684210544</v>
      </c>
      <c r="AY32" s="177">
        <f t="shared" si="31"/>
        <v>0.98860061297558921</v>
      </c>
      <c r="AZ32" s="177">
        <f t="shared" si="54"/>
        <v>4.5710545887883622</v>
      </c>
      <c r="BA32" s="469">
        <f t="shared" si="32"/>
        <v>17.027319442995115</v>
      </c>
      <c r="BB32" s="469">
        <f t="shared" si="33"/>
        <v>3.8120759999999998</v>
      </c>
      <c r="BC32" s="5">
        <f t="shared" si="34"/>
        <v>0.74305312653922651</v>
      </c>
      <c r="BD32" s="469">
        <f t="shared" si="35"/>
        <v>56.581616069389355</v>
      </c>
      <c r="BE32" s="5"/>
      <c r="BF32" s="177">
        <f t="shared" si="55"/>
        <v>0.62108734616979056</v>
      </c>
      <c r="BG32" s="177">
        <f t="shared" si="36"/>
        <v>1.3779572251794847</v>
      </c>
      <c r="BH32" s="177"/>
      <c r="BI32" s="542">
        <f t="shared" si="37"/>
        <v>4.2432444072945656E-2</v>
      </c>
      <c r="BJ32" s="542">
        <f t="shared" si="38"/>
        <v>0.13058090346097403</v>
      </c>
      <c r="BK32" s="542">
        <f t="shared" si="39"/>
        <v>1.7499999999999998E-2</v>
      </c>
      <c r="BL32" s="542">
        <f t="shared" si="40"/>
        <v>0.11885914687500002</v>
      </c>
      <c r="BM32">
        <f t="shared" si="41"/>
        <v>4.3499999999999997E-3</v>
      </c>
      <c r="BN32" s="469">
        <f t="shared" si="56"/>
        <v>313.72249440891972</v>
      </c>
      <c r="BO32" s="542">
        <f t="shared" si="57"/>
        <v>0.24300000000000002</v>
      </c>
      <c r="BP32" s="542"/>
      <c r="BR32" s="469">
        <f t="shared" si="58"/>
        <v>243.00000000000003</v>
      </c>
      <c r="BS32" s="542">
        <f t="shared" si="42"/>
        <v>0</v>
      </c>
      <c r="BT32" s="542">
        <f t="shared" si="43"/>
        <v>0</v>
      </c>
      <c r="BU32" s="542">
        <f t="shared" si="44"/>
        <v>0</v>
      </c>
      <c r="BV32" s="542">
        <f t="shared" si="45"/>
        <v>0</v>
      </c>
      <c r="BW32" s="469">
        <f t="shared" si="59"/>
        <v>0</v>
      </c>
      <c r="BX32" s="177">
        <f t="shared" si="60"/>
        <v>0.55672249440891974</v>
      </c>
      <c r="BY32" s="5">
        <f t="shared" si="61"/>
        <v>4.0500000000000007</v>
      </c>
      <c r="BZ32" s="177">
        <f t="shared" si="62"/>
        <v>0.8791499824257698</v>
      </c>
      <c r="CA32" s="5">
        <f t="shared" si="63"/>
        <v>87.914998242576985</v>
      </c>
      <c r="CD32" s="576">
        <f t="shared" si="46"/>
        <v>-50</v>
      </c>
      <c r="CE32">
        <f t="shared" si="47"/>
        <v>-50</v>
      </c>
    </row>
    <row r="33" spans="5:83" x14ac:dyDescent="0.25">
      <c r="E33" s="174">
        <v>28</v>
      </c>
      <c r="F33" s="221">
        <f t="shared" si="48"/>
        <v>0.28000000000000003</v>
      </c>
      <c r="G33" s="221"/>
      <c r="H33" s="221">
        <f t="shared" si="0"/>
        <v>4.2</v>
      </c>
      <c r="I33" s="555">
        <f t="shared" si="1"/>
        <v>15</v>
      </c>
      <c r="J33" s="176">
        <f t="shared" si="2"/>
        <v>23.85</v>
      </c>
      <c r="K33" s="451">
        <f t="shared" si="3"/>
        <v>38.85</v>
      </c>
      <c r="L33" s="451"/>
      <c r="M33" s="221">
        <f t="shared" si="4"/>
        <v>0.61389961389961389</v>
      </c>
      <c r="N33" s="176">
        <f t="shared" si="5"/>
        <v>17.933542471042468</v>
      </c>
      <c r="O33" s="176">
        <f t="shared" si="49"/>
        <v>4.2</v>
      </c>
      <c r="P33" s="221">
        <f t="shared" si="6"/>
        <v>1.195569498069498</v>
      </c>
      <c r="Q33" s="221">
        <f t="shared" si="7"/>
        <v>15</v>
      </c>
      <c r="R33" s="221">
        <f t="shared" si="8"/>
        <v>1.2584942084942083</v>
      </c>
      <c r="S33" s="176">
        <f t="shared" si="9"/>
        <v>94.424771216818328</v>
      </c>
      <c r="T33" s="176">
        <f t="shared" si="10"/>
        <v>15</v>
      </c>
      <c r="U33" s="221">
        <f t="shared" si="11"/>
        <v>0.9602118503806687</v>
      </c>
      <c r="V33" s="221">
        <f t="shared" si="12"/>
        <v>0.44809886351097872</v>
      </c>
      <c r="W33" s="221">
        <f t="shared" si="13"/>
        <v>0.28182318459809985</v>
      </c>
      <c r="X33" s="201">
        <f t="shared" si="14"/>
        <v>350</v>
      </c>
      <c r="Y33" s="451">
        <f t="shared" si="50"/>
        <v>350</v>
      </c>
      <c r="AA33" s="221">
        <f t="shared" si="15"/>
        <v>3.7585690646915135</v>
      </c>
      <c r="AB33" s="177">
        <f t="shared" si="16"/>
        <v>1.1031439602868174</v>
      </c>
      <c r="AC33" s="177">
        <f t="shared" si="17"/>
        <v>1.0883887252967701</v>
      </c>
      <c r="AD33" s="177"/>
      <c r="AE33" s="177">
        <f t="shared" si="18"/>
        <v>0.24067085953878403</v>
      </c>
      <c r="AF33" s="559">
        <f t="shared" si="19"/>
        <v>1891.7311124330761</v>
      </c>
      <c r="AG33" s="542">
        <f t="shared" si="20"/>
        <v>5.1804402515723262E-2</v>
      </c>
      <c r="AI33" s="177">
        <f t="shared" si="21"/>
        <v>1.9559048825989565</v>
      </c>
      <c r="AJ33" s="177">
        <f t="shared" si="22"/>
        <v>1.9559048825989565</v>
      </c>
      <c r="AK33" s="177">
        <f t="shared" si="23"/>
        <v>2.0414110241473753</v>
      </c>
      <c r="AM33" s="559">
        <f t="shared" si="24"/>
        <v>280</v>
      </c>
      <c r="AN33" s="469">
        <f t="shared" si="25"/>
        <v>350</v>
      </c>
      <c r="AP33">
        <f t="shared" si="26"/>
        <v>280</v>
      </c>
      <c r="AQ33" s="469">
        <f t="shared" si="27"/>
        <v>350</v>
      </c>
      <c r="AR33" s="469"/>
      <c r="AS33" s="5">
        <f t="shared" si="51"/>
        <v>2.8571428571428572</v>
      </c>
      <c r="AT33" s="5">
        <f t="shared" si="28"/>
        <v>0.91275561187951293</v>
      </c>
      <c r="AU33" s="5">
        <f t="shared" si="52"/>
        <v>1.9443872452633442</v>
      </c>
      <c r="AV33" s="5">
        <f t="shared" si="29"/>
        <v>0.57406013325755534</v>
      </c>
      <c r="AW33" s="177">
        <f t="shared" si="53"/>
        <v>0.31946446415782953</v>
      </c>
      <c r="AX33" s="177">
        <f t="shared" si="30"/>
        <v>4.686315789473686</v>
      </c>
      <c r="AY33" s="177">
        <f t="shared" si="31"/>
        <v>0.99829708300184894</v>
      </c>
      <c r="AZ33" s="177">
        <f t="shared" si="54"/>
        <v>4.6943098094427738</v>
      </c>
      <c r="BA33" s="469">
        <f t="shared" si="32"/>
        <v>17.027319442995115</v>
      </c>
      <c r="BB33" s="469">
        <f t="shared" si="33"/>
        <v>4.0685700740740742</v>
      </c>
      <c r="BC33" s="5">
        <f t="shared" si="34"/>
        <v>0.76411007533155983</v>
      </c>
      <c r="BD33" s="469">
        <f t="shared" si="35"/>
        <v>58.192466176182783</v>
      </c>
      <c r="BE33" s="5"/>
      <c r="BF33" s="177">
        <f t="shared" si="55"/>
        <v>0.63826110762958188</v>
      </c>
      <c r="BG33" s="177">
        <f t="shared" si="36"/>
        <v>1.3973453899904678</v>
      </c>
      <c r="BH33" s="177"/>
      <c r="BI33" s="542">
        <f t="shared" si="37"/>
        <v>4.4811496566379484E-2</v>
      </c>
      <c r="BJ33" s="542">
        <f t="shared" si="38"/>
        <v>0.13297708320569657</v>
      </c>
      <c r="BK33" s="542">
        <f t="shared" si="39"/>
        <v>1.7499999999999998E-2</v>
      </c>
      <c r="BL33" s="542">
        <f t="shared" si="40"/>
        <v>0.11885914687500002</v>
      </c>
      <c r="BM33">
        <f t="shared" si="41"/>
        <v>4.3499999999999997E-3</v>
      </c>
      <c r="BN33" s="469">
        <f t="shared" si="56"/>
        <v>318.49772664707604</v>
      </c>
      <c r="BO33" s="542">
        <f t="shared" si="57"/>
        <v>0.25200000000000006</v>
      </c>
      <c r="BP33" s="542"/>
      <c r="BR33" s="469">
        <f t="shared" si="58"/>
        <v>252.00000000000006</v>
      </c>
      <c r="BS33" s="542">
        <f t="shared" si="42"/>
        <v>0</v>
      </c>
      <c r="BT33" s="542">
        <f t="shared" si="43"/>
        <v>0</v>
      </c>
      <c r="BU33" s="542">
        <f t="shared" si="44"/>
        <v>0</v>
      </c>
      <c r="BV33" s="542">
        <f t="shared" si="45"/>
        <v>0</v>
      </c>
      <c r="BW33" s="469">
        <f t="shared" si="59"/>
        <v>0</v>
      </c>
      <c r="BX33" s="177">
        <f t="shared" si="60"/>
        <v>0.5704977266470761</v>
      </c>
      <c r="BY33" s="5">
        <f t="shared" si="61"/>
        <v>4.2</v>
      </c>
      <c r="BZ33" s="177">
        <f t="shared" si="62"/>
        <v>0.88041127795525687</v>
      </c>
      <c r="CA33" s="5">
        <f t="shared" si="63"/>
        <v>88.041127795525682</v>
      </c>
      <c r="CD33" s="576">
        <f t="shared" si="46"/>
        <v>-50</v>
      </c>
      <c r="CE33">
        <f t="shared" si="47"/>
        <v>-50</v>
      </c>
    </row>
    <row r="34" spans="5:83" x14ac:dyDescent="0.25">
      <c r="E34" s="174">
        <v>29</v>
      </c>
      <c r="F34" s="221">
        <f t="shared" si="48"/>
        <v>0.28999999999999998</v>
      </c>
      <c r="G34" s="221"/>
      <c r="H34" s="221">
        <f t="shared" si="0"/>
        <v>4.3499999999999996</v>
      </c>
      <c r="I34" s="555">
        <f t="shared" si="1"/>
        <v>15</v>
      </c>
      <c r="J34" s="176">
        <f t="shared" si="2"/>
        <v>23.85</v>
      </c>
      <c r="K34" s="451">
        <f t="shared" si="3"/>
        <v>38.85</v>
      </c>
      <c r="L34" s="451"/>
      <c r="M34" s="221">
        <f t="shared" si="4"/>
        <v>0.61389961389961389</v>
      </c>
      <c r="N34" s="176">
        <f t="shared" si="5"/>
        <v>17.933542471042468</v>
      </c>
      <c r="O34" s="176">
        <f t="shared" si="49"/>
        <v>4.3499999999999996</v>
      </c>
      <c r="P34" s="221">
        <f t="shared" si="6"/>
        <v>1.195569498069498</v>
      </c>
      <c r="Q34" s="221">
        <f t="shared" si="7"/>
        <v>15</v>
      </c>
      <c r="R34" s="221">
        <f t="shared" si="8"/>
        <v>1.2584942084942083</v>
      </c>
      <c r="S34" s="176">
        <f t="shared" si="9"/>
        <v>90.830871718618198</v>
      </c>
      <c r="T34" s="176">
        <f t="shared" si="10"/>
        <v>15</v>
      </c>
      <c r="U34" s="221">
        <f t="shared" si="11"/>
        <v>0.99450513075140679</v>
      </c>
      <c r="V34" s="221">
        <f t="shared" si="12"/>
        <v>0.46410239435065653</v>
      </c>
      <c r="W34" s="221">
        <f t="shared" si="13"/>
        <v>0.29188829833374619</v>
      </c>
      <c r="X34" s="201">
        <f t="shared" si="14"/>
        <v>350</v>
      </c>
      <c r="Y34" s="451">
        <f t="shared" si="50"/>
        <v>350</v>
      </c>
      <c r="AA34" s="221">
        <f t="shared" si="15"/>
        <v>3.7585690646915135</v>
      </c>
      <c r="AB34" s="177">
        <f t="shared" si="16"/>
        <v>1.1031439602868174</v>
      </c>
      <c r="AC34" s="177">
        <f t="shared" si="17"/>
        <v>1.0883887252967701</v>
      </c>
      <c r="AD34" s="177"/>
      <c r="AE34" s="177">
        <f t="shared" si="18"/>
        <v>0.24067085953878403</v>
      </c>
      <c r="AF34" s="559">
        <f t="shared" si="19"/>
        <v>1959.2929378771141</v>
      </c>
      <c r="AG34" s="542">
        <f t="shared" si="20"/>
        <v>5.1804402515723262E-2</v>
      </c>
      <c r="AI34" s="177">
        <f t="shared" si="21"/>
        <v>1.9905253558461347</v>
      </c>
      <c r="AJ34" s="177">
        <f t="shared" si="22"/>
        <v>1.9905253558461347</v>
      </c>
      <c r="AK34" s="177">
        <f t="shared" si="23"/>
        <v>2.0670558191452848</v>
      </c>
      <c r="AM34" s="559">
        <f t="shared" si="24"/>
        <v>290</v>
      </c>
      <c r="AN34" s="469">
        <f t="shared" si="25"/>
        <v>350</v>
      </c>
      <c r="AP34">
        <f t="shared" si="26"/>
        <v>290</v>
      </c>
      <c r="AQ34" s="469">
        <f t="shared" si="27"/>
        <v>350</v>
      </c>
      <c r="AR34" s="469"/>
      <c r="AS34" s="5">
        <f t="shared" si="51"/>
        <v>2.8571428571428572</v>
      </c>
      <c r="AT34" s="5">
        <f t="shared" si="28"/>
        <v>0.92891183272819622</v>
      </c>
      <c r="AU34" s="5">
        <f t="shared" si="52"/>
        <v>1.928231024414661</v>
      </c>
      <c r="AV34" s="5">
        <f t="shared" si="29"/>
        <v>0.58422127844540639</v>
      </c>
      <c r="AW34" s="177">
        <f t="shared" si="53"/>
        <v>0.32511914145486864</v>
      </c>
      <c r="AX34" s="177">
        <f t="shared" si="30"/>
        <v>4.8536842105263167</v>
      </c>
      <c r="AY34" s="177">
        <f t="shared" si="31"/>
        <v>1.0075255958319693</v>
      </c>
      <c r="AZ34" s="177">
        <f t="shared" si="54"/>
        <v>4.8174301780575242</v>
      </c>
      <c r="BA34" s="469">
        <f t="shared" si="32"/>
        <v>17.027319442995115</v>
      </c>
      <c r="BB34" s="469">
        <f t="shared" si="33"/>
        <v>4.3333002962962954</v>
      </c>
      <c r="BC34" s="5">
        <f t="shared" si="34"/>
        <v>0.78482385555123024</v>
      </c>
      <c r="BD34" s="469">
        <f t="shared" si="35"/>
        <v>59.777578640026498</v>
      </c>
      <c r="BE34" s="5"/>
      <c r="BF34" s="177">
        <f t="shared" si="55"/>
        <v>0.65528217807539169</v>
      </c>
      <c r="BG34" s="177">
        <f t="shared" si="36"/>
        <v>1.4161586228835807</v>
      </c>
      <c r="BH34" s="177"/>
      <c r="BI34" s="542">
        <f t="shared" si="37"/>
        <v>4.7233420619355225E-2</v>
      </c>
      <c r="BJ34" s="542">
        <f t="shared" si="38"/>
        <v>0.13533084263058906</v>
      </c>
      <c r="BK34" s="542">
        <f t="shared" si="39"/>
        <v>1.7499999999999998E-2</v>
      </c>
      <c r="BL34" s="542">
        <f t="shared" si="40"/>
        <v>0.11885914687500002</v>
      </c>
      <c r="BM34">
        <f t="shared" si="41"/>
        <v>4.3499999999999997E-3</v>
      </c>
      <c r="BN34" s="469">
        <f t="shared" si="56"/>
        <v>323.27341012494429</v>
      </c>
      <c r="BO34" s="542">
        <f t="shared" si="57"/>
        <v>0.26100000000000001</v>
      </c>
      <c r="BP34" s="542"/>
      <c r="BR34" s="469">
        <f t="shared" si="58"/>
        <v>261</v>
      </c>
      <c r="BS34" s="542">
        <f t="shared" si="42"/>
        <v>0</v>
      </c>
      <c r="BT34" s="542">
        <f t="shared" si="43"/>
        <v>0</v>
      </c>
      <c r="BU34" s="542">
        <f t="shared" si="44"/>
        <v>0</v>
      </c>
      <c r="BV34" s="542">
        <f t="shared" si="45"/>
        <v>0</v>
      </c>
      <c r="BW34" s="469">
        <f t="shared" si="59"/>
        <v>0</v>
      </c>
      <c r="BX34" s="177">
        <f t="shared" si="60"/>
        <v>0.58427341012494427</v>
      </c>
      <c r="BY34" s="5">
        <f t="shared" si="61"/>
        <v>4.3499999999999996</v>
      </c>
      <c r="BZ34" s="177">
        <f t="shared" si="62"/>
        <v>0.88158876463431535</v>
      </c>
      <c r="CA34" s="5">
        <f t="shared" si="63"/>
        <v>88.15887646343154</v>
      </c>
      <c r="CD34" s="576">
        <f t="shared" si="46"/>
        <v>-50</v>
      </c>
      <c r="CE34">
        <f t="shared" si="47"/>
        <v>-50</v>
      </c>
    </row>
    <row r="35" spans="5:83" x14ac:dyDescent="0.25">
      <c r="E35" s="174">
        <v>30</v>
      </c>
      <c r="F35" s="221">
        <f t="shared" si="48"/>
        <v>0.3</v>
      </c>
      <c r="G35" s="221"/>
      <c r="H35" s="221">
        <f t="shared" si="0"/>
        <v>4.5</v>
      </c>
      <c r="I35" s="555">
        <f t="shared" si="1"/>
        <v>15</v>
      </c>
      <c r="J35" s="176">
        <f t="shared" si="2"/>
        <v>23.85</v>
      </c>
      <c r="K35" s="451">
        <f t="shared" si="3"/>
        <v>38.85</v>
      </c>
      <c r="L35" s="451"/>
      <c r="M35" s="221">
        <f t="shared" si="4"/>
        <v>0.61389961389961389</v>
      </c>
      <c r="N35" s="176">
        <f t="shared" si="5"/>
        <v>17.933542471042468</v>
      </c>
      <c r="O35" s="176">
        <f t="shared" si="49"/>
        <v>4.5</v>
      </c>
      <c r="P35" s="221">
        <f t="shared" si="6"/>
        <v>1.195569498069498</v>
      </c>
      <c r="Q35" s="221">
        <f t="shared" si="7"/>
        <v>15</v>
      </c>
      <c r="R35" s="221">
        <f t="shared" si="8"/>
        <v>1.2584942084942083</v>
      </c>
      <c r="S35" s="176">
        <f t="shared" si="9"/>
        <v>87.476836638900892</v>
      </c>
      <c r="T35" s="176">
        <f t="shared" si="10"/>
        <v>15</v>
      </c>
      <c r="U35" s="221">
        <f t="shared" si="11"/>
        <v>1.0287984111221451</v>
      </c>
      <c r="V35" s="221">
        <f t="shared" si="12"/>
        <v>0.4801059251903344</v>
      </c>
      <c r="W35" s="221">
        <f t="shared" si="13"/>
        <v>0.30195341206939263</v>
      </c>
      <c r="X35" s="201">
        <f t="shared" si="14"/>
        <v>350</v>
      </c>
      <c r="Y35" s="451">
        <f t="shared" si="50"/>
        <v>350</v>
      </c>
      <c r="AA35" s="221">
        <f t="shared" si="15"/>
        <v>3.7585690646915135</v>
      </c>
      <c r="AB35" s="177">
        <f t="shared" si="16"/>
        <v>1.1031439602868174</v>
      </c>
      <c r="AC35" s="177">
        <f t="shared" si="17"/>
        <v>1.0883887252967701</v>
      </c>
      <c r="AD35" s="177"/>
      <c r="AE35" s="177">
        <f t="shared" si="18"/>
        <v>0.24067085953878403</v>
      </c>
      <c r="AF35" s="559">
        <f t="shared" si="19"/>
        <v>2026.8547633211526</v>
      </c>
      <c r="AG35" s="542">
        <f t="shared" si="20"/>
        <v>5.1804402515723262E-2</v>
      </c>
      <c r="AI35" s="177">
        <f t="shared" si="21"/>
        <v>2.0245538952466355</v>
      </c>
      <c r="AJ35" s="177">
        <f t="shared" si="22"/>
        <v>2.0245538952466355</v>
      </c>
      <c r="AK35" s="177">
        <f t="shared" si="23"/>
        <v>2.0922621446271377</v>
      </c>
      <c r="AM35" s="559">
        <f t="shared" si="24"/>
        <v>300</v>
      </c>
      <c r="AN35" s="469">
        <f t="shared" si="25"/>
        <v>350</v>
      </c>
      <c r="AP35">
        <f t="shared" si="26"/>
        <v>300</v>
      </c>
      <c r="AQ35" s="469">
        <f t="shared" si="27"/>
        <v>350</v>
      </c>
      <c r="AR35" s="469"/>
      <c r="AS35" s="5">
        <f t="shared" si="51"/>
        <v>2.8571428571428572</v>
      </c>
      <c r="AT35" s="5">
        <f t="shared" si="28"/>
        <v>0.94479181778176313</v>
      </c>
      <c r="AU35" s="5">
        <f t="shared" si="52"/>
        <v>1.9123510393610941</v>
      </c>
      <c r="AV35" s="5">
        <f t="shared" si="29"/>
        <v>0.59420869042878188</v>
      </c>
      <c r="AW35" s="177">
        <f t="shared" si="53"/>
        <v>0.33067713622361711</v>
      </c>
      <c r="AX35" s="177">
        <f t="shared" si="30"/>
        <v>5.0210526315789474</v>
      </c>
      <c r="AY35" s="177">
        <f t="shared" si="31"/>
        <v>1.0163101582770819</v>
      </c>
      <c r="AZ35" s="177">
        <f t="shared" si="54"/>
        <v>4.9404727392383609</v>
      </c>
      <c r="BA35" s="469">
        <f t="shared" si="32"/>
        <v>17.027319442995115</v>
      </c>
      <c r="BB35" s="469">
        <f t="shared" si="33"/>
        <v>4.6062666666666665</v>
      </c>
      <c r="BC35" s="5">
        <f t="shared" si="34"/>
        <v>0.80520043762572391</v>
      </c>
      <c r="BD35" s="469">
        <f t="shared" si="35"/>
        <v>61.337401242981919</v>
      </c>
      <c r="BE35" s="5"/>
      <c r="BF35" s="177">
        <f t="shared" si="55"/>
        <v>0.67215711336302342</v>
      </c>
      <c r="BG35" s="177">
        <f t="shared" si="36"/>
        <v>1.4344248637410713</v>
      </c>
      <c r="BH35" s="177"/>
      <c r="BI35" s="542">
        <f t="shared" si="37"/>
        <v>4.9697470354896356E-2</v>
      </c>
      <c r="BJ35" s="542">
        <f t="shared" si="38"/>
        <v>0.13764435795308064</v>
      </c>
      <c r="BK35" s="542">
        <f t="shared" si="39"/>
        <v>1.7499999999999998E-2</v>
      </c>
      <c r="BL35" s="542">
        <f t="shared" si="40"/>
        <v>0.11885914687500002</v>
      </c>
      <c r="BM35">
        <f t="shared" si="41"/>
        <v>4.3499999999999997E-3</v>
      </c>
      <c r="BN35" s="469">
        <f t="shared" si="56"/>
        <v>328.05097518297703</v>
      </c>
      <c r="BO35" s="542">
        <f t="shared" si="57"/>
        <v>0.27</v>
      </c>
      <c r="BP35" s="542"/>
      <c r="BR35" s="469">
        <f t="shared" si="58"/>
        <v>270</v>
      </c>
      <c r="BS35" s="542">
        <f t="shared" si="42"/>
        <v>0</v>
      </c>
      <c r="BT35" s="542">
        <f t="shared" si="43"/>
        <v>0</v>
      </c>
      <c r="BU35" s="542">
        <f t="shared" si="44"/>
        <v>0</v>
      </c>
      <c r="BV35" s="542">
        <f t="shared" si="45"/>
        <v>0</v>
      </c>
      <c r="BW35" s="469">
        <f t="shared" si="59"/>
        <v>0</v>
      </c>
      <c r="BX35" s="177">
        <f t="shared" si="60"/>
        <v>0.59805097518297701</v>
      </c>
      <c r="BY35" s="5">
        <f t="shared" si="61"/>
        <v>4.5</v>
      </c>
      <c r="BZ35" s="177">
        <f t="shared" si="62"/>
        <v>0.88269027161669134</v>
      </c>
      <c r="CA35" s="5">
        <f t="shared" si="63"/>
        <v>88.269027161669129</v>
      </c>
      <c r="CD35" s="576">
        <f t="shared" si="46"/>
        <v>-50</v>
      </c>
      <c r="CE35">
        <f t="shared" si="47"/>
        <v>-50</v>
      </c>
    </row>
    <row r="36" spans="5:83" x14ac:dyDescent="0.25">
      <c r="E36" s="174">
        <v>31</v>
      </c>
      <c r="F36" s="221">
        <f t="shared" si="48"/>
        <v>0.31</v>
      </c>
      <c r="G36" s="221"/>
      <c r="H36" s="221">
        <f t="shared" si="0"/>
        <v>4.6500000000000004</v>
      </c>
      <c r="I36" s="555">
        <f t="shared" si="1"/>
        <v>15</v>
      </c>
      <c r="J36" s="176">
        <f t="shared" si="2"/>
        <v>23.85</v>
      </c>
      <c r="K36" s="451">
        <f t="shared" si="3"/>
        <v>38.85</v>
      </c>
      <c r="L36" s="451"/>
      <c r="M36" s="221">
        <f t="shared" si="4"/>
        <v>0.61389961389961389</v>
      </c>
      <c r="N36" s="176">
        <f t="shared" si="5"/>
        <v>17.933542471042468</v>
      </c>
      <c r="O36" s="176">
        <f t="shared" si="49"/>
        <v>4.6500000000000004</v>
      </c>
      <c r="P36" s="221">
        <f t="shared" si="6"/>
        <v>1.195569498069498</v>
      </c>
      <c r="Q36" s="221">
        <f t="shared" si="7"/>
        <v>15</v>
      </c>
      <c r="R36" s="221">
        <f t="shared" si="8"/>
        <v>1.2584942084942083</v>
      </c>
      <c r="S36" s="176">
        <f t="shared" si="9"/>
        <v>84.339455874492756</v>
      </c>
      <c r="T36" s="176">
        <f t="shared" si="10"/>
        <v>15</v>
      </c>
      <c r="U36" s="221">
        <f t="shared" si="11"/>
        <v>1.0630916914928832</v>
      </c>
      <c r="V36" s="221">
        <f t="shared" si="12"/>
        <v>0.49610945603001216</v>
      </c>
      <c r="W36" s="221">
        <f t="shared" si="13"/>
        <v>0.31201852580503908</v>
      </c>
      <c r="X36" s="201">
        <f t="shared" si="14"/>
        <v>350</v>
      </c>
      <c r="Y36" s="451">
        <f t="shared" si="50"/>
        <v>350</v>
      </c>
      <c r="AA36" s="221">
        <f t="shared" si="15"/>
        <v>3.7585690646915135</v>
      </c>
      <c r="AB36" s="177">
        <f t="shared" si="16"/>
        <v>1.1031439602868174</v>
      </c>
      <c r="AC36" s="177">
        <f t="shared" si="17"/>
        <v>1.0883887252967701</v>
      </c>
      <c r="AD36" s="177"/>
      <c r="AE36" s="177">
        <f t="shared" si="18"/>
        <v>0.24067085953878403</v>
      </c>
      <c r="AF36" s="559">
        <f t="shared" si="19"/>
        <v>2094.4165887651911</v>
      </c>
      <c r="AG36" s="542">
        <f t="shared" si="20"/>
        <v>5.1804402515723262E-2</v>
      </c>
      <c r="AI36" s="177">
        <f t="shared" si="21"/>
        <v>2.0580198631816629</v>
      </c>
      <c r="AJ36" s="177">
        <f t="shared" si="22"/>
        <v>2.0580198631816629</v>
      </c>
      <c r="AK36" s="177">
        <f t="shared" si="23"/>
        <v>2.1170517505049355</v>
      </c>
      <c r="AM36" s="559">
        <f t="shared" si="24"/>
        <v>310</v>
      </c>
      <c r="AN36" s="469">
        <f t="shared" si="25"/>
        <v>350</v>
      </c>
      <c r="AP36">
        <f t="shared" si="26"/>
        <v>310</v>
      </c>
      <c r="AQ36" s="469">
        <f t="shared" si="27"/>
        <v>350</v>
      </c>
      <c r="AR36" s="469"/>
      <c r="AS36" s="5">
        <f t="shared" si="51"/>
        <v>2.8571428571428572</v>
      </c>
      <c r="AT36" s="5">
        <f t="shared" si="28"/>
        <v>0.96040926948477601</v>
      </c>
      <c r="AU36" s="5">
        <f t="shared" si="52"/>
        <v>1.8967335876580811</v>
      </c>
      <c r="AV36" s="5">
        <f t="shared" si="29"/>
        <v>0.60403098709734337</v>
      </c>
      <c r="AW36" s="177">
        <f t="shared" si="53"/>
        <v>0.33614324431967157</v>
      </c>
      <c r="AX36" s="177">
        <f t="shared" si="30"/>
        <v>5.1884210526315808</v>
      </c>
      <c r="AY36" s="177">
        <f t="shared" si="31"/>
        <v>1.0246727921230891</v>
      </c>
      <c r="AZ36" s="177">
        <f t="shared" si="54"/>
        <v>5.0634906016010621</v>
      </c>
      <c r="BA36" s="469">
        <f t="shared" si="32"/>
        <v>17.027319442995115</v>
      </c>
      <c r="BB36" s="469">
        <f t="shared" si="33"/>
        <v>4.8874691851851848</v>
      </c>
      <c r="BC36" s="5">
        <f t="shared" si="34"/>
        <v>0.82524549077053366</v>
      </c>
      <c r="BD36" s="469">
        <f t="shared" si="35"/>
        <v>62.872359176211077</v>
      </c>
      <c r="BE36" s="5"/>
      <c r="BF36" s="177">
        <f t="shared" si="55"/>
        <v>0.68889197943317981</v>
      </c>
      <c r="BG36" s="177">
        <f t="shared" si="36"/>
        <v>1.45216974195551</v>
      </c>
      <c r="BH36" s="177"/>
      <c r="BI36" s="542">
        <f t="shared" si="37"/>
        <v>5.2202937526010108E-2</v>
      </c>
      <c r="BJ36" s="542">
        <f t="shared" si="38"/>
        <v>0.1399196254480633</v>
      </c>
      <c r="BK36" s="542">
        <f t="shared" si="39"/>
        <v>1.7499999999999998E-2</v>
      </c>
      <c r="BL36" s="542">
        <f t="shared" si="40"/>
        <v>0.11885914687500002</v>
      </c>
      <c r="BM36">
        <f t="shared" si="41"/>
        <v>4.3499999999999997E-3</v>
      </c>
      <c r="BN36" s="469">
        <f t="shared" si="56"/>
        <v>332.83170984907343</v>
      </c>
      <c r="BO36" s="542">
        <f t="shared" si="57"/>
        <v>0.27900000000000003</v>
      </c>
      <c r="BP36" s="542"/>
      <c r="BR36" s="469">
        <f t="shared" si="58"/>
        <v>279</v>
      </c>
      <c r="BS36" s="542">
        <f t="shared" si="42"/>
        <v>0</v>
      </c>
      <c r="BT36" s="542">
        <f t="shared" si="43"/>
        <v>0</v>
      </c>
      <c r="BU36" s="542">
        <f t="shared" si="44"/>
        <v>0</v>
      </c>
      <c r="BV36" s="542">
        <f t="shared" si="45"/>
        <v>0</v>
      </c>
      <c r="BW36" s="469">
        <f t="shared" si="59"/>
        <v>0</v>
      </c>
      <c r="BX36" s="177">
        <f t="shared" si="60"/>
        <v>0.61183170984907354</v>
      </c>
      <c r="BY36" s="5">
        <f t="shared" si="61"/>
        <v>4.6500000000000004</v>
      </c>
      <c r="BZ36" s="177">
        <f t="shared" si="62"/>
        <v>0.88372267613503308</v>
      </c>
      <c r="CA36" s="5">
        <f t="shared" si="63"/>
        <v>88.372267613503311</v>
      </c>
      <c r="CD36" s="576">
        <f t="shared" si="46"/>
        <v>-50</v>
      </c>
      <c r="CE36">
        <f t="shared" si="47"/>
        <v>-50</v>
      </c>
    </row>
    <row r="37" spans="5:83" x14ac:dyDescent="0.25">
      <c r="E37" s="174">
        <v>32</v>
      </c>
      <c r="F37" s="221">
        <f t="shared" si="48"/>
        <v>0.32</v>
      </c>
      <c r="G37" s="221"/>
      <c r="H37" s="221">
        <f t="shared" ref="H37:H68" si="64">F37*Vout</f>
        <v>4.8</v>
      </c>
      <c r="I37" s="555">
        <f t="shared" ref="I37:I68" si="65">Vin</f>
        <v>15</v>
      </c>
      <c r="J37" s="176">
        <f t="shared" ref="J37:J68" si="66">(T37+Vfwd1)*Nps</f>
        <v>23.85</v>
      </c>
      <c r="K37" s="451">
        <f t="shared" ref="K37:K68" si="67">(Vout+Vfwd1)*Nps+I37</f>
        <v>38.85</v>
      </c>
      <c r="L37" s="451"/>
      <c r="M37" s="221">
        <f t="shared" ref="M37:M68" si="68">(Vout+Vfwd1)*Nps/((Vout+Vfwd1)*Nps+I37)</f>
        <v>0.61389961389961389</v>
      </c>
      <c r="N37" s="176">
        <f t="shared" si="5"/>
        <v>17.933542471042468</v>
      </c>
      <c r="O37" s="176">
        <f t="shared" si="49"/>
        <v>4.8</v>
      </c>
      <c r="P37" s="221">
        <f t="shared" ref="P37:P68" si="69">N37/Vout</f>
        <v>1.195569498069498</v>
      </c>
      <c r="Q37" s="221">
        <f t="shared" ref="Q37:Q68" si="70">MIN(Vout,N37/F37)</f>
        <v>15</v>
      </c>
      <c r="R37" s="221">
        <f t="shared" ref="R37:R68" si="71">Isw_max/2*I37*Nps*(Q37+Vfwd1)/Q37/(I37+Nps*(Q37+Vfwd1))</f>
        <v>1.2584942084942083</v>
      </c>
      <c r="S37" s="176">
        <f t="shared" ref="S37:S68" si="72">(SQRT(Isw_max^2*Nps^2*I37^2+4*Isw_max*F37/Efficiency*(Nps^2*Vfwd1*I37-Nps*I37^2)+4*(F37/Efficiency)^2*Nps^2*Vfwd1^2+8*(F37/Efficiency)^2*Nps*Vfwd1*I37+4*(F37/Efficiency)^2*I37^2)-2*F37/Efficiency*I37-2*F37/Efficiency*Nps*Vfwd1+Isw_max*Nps*I37)/(4*F37/Efficiency*Nps)</f>
        <v>81.398420613229121</v>
      </c>
      <c r="T37" s="176">
        <f t="shared" ref="T37:T68" si="73">MIN(Vout, S37)</f>
        <v>15</v>
      </c>
      <c r="U37" s="221">
        <f t="shared" ref="U37:U68" si="74">MIN(2*Vout*F37/(Efficiency*I37*M37), Isw_max)</f>
        <v>1.0973849718636213</v>
      </c>
      <c r="V37" s="221">
        <f t="shared" ref="V37:V68" si="75">L*U37/I37*1000000</f>
        <v>0.51211298686968998</v>
      </c>
      <c r="W37" s="221">
        <f t="shared" ref="W37:W68" si="76">L*U37/J37*1000000</f>
        <v>0.32208363954068547</v>
      </c>
      <c r="X37" s="201">
        <f t="shared" ref="X37:X68" si="77">IF(1/((350000*L)*(1/I37+1/J37))&gt;Isw_min, 350, 0.001/((Isw_min*L)*(1/I37+1/J37)))</f>
        <v>350</v>
      </c>
      <c r="Y37" s="451">
        <f t="shared" si="50"/>
        <v>350</v>
      </c>
      <c r="AA37" s="221">
        <f t="shared" ref="AA37:AA68" si="78">1/((X37*1000*L)*(1/I37+1/J37))</f>
        <v>3.7585690646915135</v>
      </c>
      <c r="AB37" s="177">
        <f t="shared" ref="AB37:AB68" si="79">L*AA37/J37*1000000</f>
        <v>1.1031439602868174</v>
      </c>
      <c r="AC37" s="177">
        <f t="shared" ref="AC37:AC68" si="80">0.5*AB37*AA37*Nps*X37/1000</f>
        <v>1.0883887252967701</v>
      </c>
      <c r="AD37" s="177"/>
      <c r="AE37" s="177">
        <f t="shared" ref="AE37:AE68" si="81">L*Isw_min/J37*1000000</f>
        <v>0.24067085953878403</v>
      </c>
      <c r="AF37" s="559">
        <f t="shared" ref="AF37:AF68" si="82">MAX(12, F37/(0.5*AE37/1000000*Isw_min*Nps)/1000)</f>
        <v>2161.9784142092299</v>
      </c>
      <c r="AG37" s="542">
        <f t="shared" ref="AG37:AG68" si="83">0.5*AE37/1000000*Isw_min*Nps*X37*1000</f>
        <v>5.1804402515723262E-2</v>
      </c>
      <c r="AI37" s="177">
        <f t="shared" ref="AI37:AI68" si="84">SQRT(F37/Efficiency/(0.5*L/J37*Fsw_DCM*Nps))</f>
        <v>2.0909502719438868</v>
      </c>
      <c r="AJ37" s="177">
        <f t="shared" ref="AJ37:AJ68" si="85">MAX(IF(F37&gt;AC37,U37,AI37),Isw_min)</f>
        <v>2.0909502719438868</v>
      </c>
      <c r="AK37" s="177">
        <f t="shared" ref="AK37:AK68" si="86">IF(F37&gt;AG37, (AJ37-Isw_min)/1.08*0.8+1.2, AF37*0.2/350+1)</f>
        <v>2.1414446458843606</v>
      </c>
      <c r="AM37" s="559">
        <f t="shared" ref="AM37:AM68" si="87">F37*1000</f>
        <v>320</v>
      </c>
      <c r="AN37" s="469">
        <f t="shared" ref="AN37:AN68" si="88">IF(F37&gt;AG37, Y37, AF37)</f>
        <v>350</v>
      </c>
      <c r="AP37">
        <f t="shared" ref="AP37:AP68" si="89">IF(H37&gt;N37, "",AM37)</f>
        <v>320</v>
      </c>
      <c r="AQ37" s="469">
        <f t="shared" ref="AQ37:AQ68" si="90">IF(H37&gt;N37, "",AN37)</f>
        <v>350</v>
      </c>
      <c r="AR37" s="469"/>
      <c r="AS37" s="5">
        <f t="shared" si="51"/>
        <v>2.8571428571428572</v>
      </c>
      <c r="AT37" s="5">
        <f t="shared" ref="AT37:AT68" si="91">L*AJ37/I37*1000000</f>
        <v>0.97577679357381386</v>
      </c>
      <c r="AU37" s="5">
        <f t="shared" si="52"/>
        <v>1.8813660635690432</v>
      </c>
      <c r="AV37" s="5">
        <f t="shared" ref="AV37:AV68" si="92">L*AJ37/J37*1000000</f>
        <v>0.61369609658730429</v>
      </c>
      <c r="AW37" s="177">
        <f t="shared" si="53"/>
        <v>0.34152187775083487</v>
      </c>
      <c r="AX37" s="177">
        <f t="shared" ref="AX37:AX68" si="93">0.5*L*AJ37^2*AN37*1000</f>
        <v>5.3557894736842133</v>
      </c>
      <c r="AY37" s="177">
        <f t="shared" ref="AY37:AY68" si="94">AJ37*Nps/2*(1-AW37)</f>
        <v>1.0326337565894939</v>
      </c>
      <c r="AZ37" s="177">
        <f t="shared" si="54"/>
        <v>5.1865334050020966</v>
      </c>
      <c r="BA37" s="469">
        <f t="shared" ref="BA37:BA68" si="95">L*Isw_max^2/(2*Vout_ripple*Vout)*1000000000*((1+M37)/2)^2</f>
        <v>17.027319442995115</v>
      </c>
      <c r="BB37" s="469">
        <f t="shared" ref="BB37:BB68" si="96">L*F37^2/(2*Cout*Vout*Nps^2)*1000000000*((1+M37)/(1-M37))^2+F37*RCoutEsr</f>
        <v>5.1769078518518512</v>
      </c>
      <c r="BC37" s="5">
        <f t="shared" ref="BC37:BC68" si="97">H37/Efficiency/I37*AU37/Vinripple1</f>
        <v>0.84496440749767554</v>
      </c>
      <c r="BD37" s="469">
        <f t="shared" ref="BD37:BD68" si="98">((BY37/I37/Efficiency)*AU37/Cin+(BY37/I37/Efficiency)*RCinEsr)*1000</f>
        <v>64.382856878115149</v>
      </c>
      <c r="BE37" s="5"/>
      <c r="BF37" s="177">
        <f t="shared" si="55"/>
        <v>0.70549240350187592</v>
      </c>
      <c r="BG37" s="177">
        <f t="shared" ref="BG37:BG68" si="99">AJ37*Nps*SQRT((1-AW37)/3)</f>
        <v>1.4694168347202365</v>
      </c>
      <c r="BH37" s="177"/>
      <c r="BI37" s="542">
        <f t="shared" ref="BI37:BI68" si="100">Rdson*BF37^2</f>
        <v>5.4749148453873908E-2</v>
      </c>
      <c r="BJ37" s="542">
        <f t="shared" ref="BJ37:BJ68" si="101">0.5*K37*AJ37*AN37*1000*Trise</f>
        <v>0.14215848161378503</v>
      </c>
      <c r="BK37" s="542">
        <f t="shared" ref="BK37:BK68" si="102">Qg*Vdd*AN37*1000</f>
        <v>1.7499999999999998E-2</v>
      </c>
      <c r="BL37" s="542">
        <f t="shared" ref="BL37:BL68" si="103">0.5*(Coss+Csw)*K37^2*AN37*1000</f>
        <v>0.11885914687500002</v>
      </c>
      <c r="BM37">
        <f t="shared" ref="BM37:BM68" si="104">I37*IQ</f>
        <v>4.3499999999999997E-3</v>
      </c>
      <c r="BN37" s="469">
        <f t="shared" si="56"/>
        <v>337.61677694265893</v>
      </c>
      <c r="BO37" s="542">
        <f t="shared" ref="BO37:BO68" si="105">Vfwd2*F37</f>
        <v>0.28800000000000003</v>
      </c>
      <c r="BP37" s="542"/>
      <c r="BR37" s="469">
        <f t="shared" si="58"/>
        <v>288.00000000000006</v>
      </c>
      <c r="BS37" s="542">
        <f t="shared" ref="BS37:BS68" si="106">Rdcr_pri*BF37^2</f>
        <v>0</v>
      </c>
      <c r="BT37" s="542">
        <f t="shared" ref="BT37:BT68" si="107">Rdcr_sec*BG37^2</f>
        <v>0</v>
      </c>
      <c r="BU37" s="542">
        <f t="shared" ref="BU37:BU68" si="108">AJ37^2.5*AN37^2.5*k_core</f>
        <v>0</v>
      </c>
      <c r="BV37" s="542">
        <f t="shared" ref="BV37:BV68" si="109">0.5*Lleak*0.000000001*AJ37^2*AN37*1000</f>
        <v>0</v>
      </c>
      <c r="BW37" s="469">
        <f t="shared" si="59"/>
        <v>0</v>
      </c>
      <c r="BX37" s="177">
        <f t="shared" si="60"/>
        <v>0.62561677694265905</v>
      </c>
      <c r="BY37" s="5">
        <f t="shared" si="61"/>
        <v>4.8</v>
      </c>
      <c r="BZ37" s="177">
        <f t="shared" si="62"/>
        <v>0.88469204467198015</v>
      </c>
      <c r="CA37" s="5">
        <f t="shared" si="63"/>
        <v>88.469204467198011</v>
      </c>
      <c r="CD37" s="576">
        <f t="shared" ref="CD37:CD68" si="110">IF(ABS(F37-Ioutmax_Vinnom)&lt;Iout/200, AN37, -50)</f>
        <v>-50</v>
      </c>
      <c r="CE37">
        <f t="shared" ref="CE37:CE68" si="111">IF(ABS(F37-Ioutmax_Vinnom)&lt;Iout/200, N37*BZ37, -50)</f>
        <v>-50</v>
      </c>
    </row>
    <row r="38" spans="5:83" x14ac:dyDescent="0.25">
      <c r="E38" s="174">
        <v>33</v>
      </c>
      <c r="F38" s="221">
        <f t="shared" ref="F38:F69" si="112">IF(PLOT_TYPE=1, E38/100*Iout_max, min_I*EXP(N38*rr/100))</f>
        <v>0.33</v>
      </c>
      <c r="G38" s="221"/>
      <c r="H38" s="221">
        <f t="shared" si="64"/>
        <v>4.95</v>
      </c>
      <c r="I38" s="555">
        <f t="shared" si="65"/>
        <v>15</v>
      </c>
      <c r="J38" s="176">
        <f t="shared" si="66"/>
        <v>23.85</v>
      </c>
      <c r="K38" s="451">
        <f t="shared" si="67"/>
        <v>38.85</v>
      </c>
      <c r="L38" s="451"/>
      <c r="M38" s="221">
        <f t="shared" si="68"/>
        <v>0.61389961389961389</v>
      </c>
      <c r="N38" s="176">
        <f t="shared" si="5"/>
        <v>17.933542471042468</v>
      </c>
      <c r="O38" s="176">
        <f t="shared" si="49"/>
        <v>4.95</v>
      </c>
      <c r="P38" s="221">
        <f t="shared" si="69"/>
        <v>1.195569498069498</v>
      </c>
      <c r="Q38" s="221">
        <f t="shared" si="70"/>
        <v>15</v>
      </c>
      <c r="R38" s="221">
        <f t="shared" si="71"/>
        <v>1.2584942084942083</v>
      </c>
      <c r="S38" s="176">
        <f t="shared" si="72"/>
        <v>78.635883744702696</v>
      </c>
      <c r="T38" s="176">
        <f t="shared" si="73"/>
        <v>15</v>
      </c>
      <c r="U38" s="221">
        <f t="shared" si="74"/>
        <v>1.1316782522343596</v>
      </c>
      <c r="V38" s="221">
        <f t="shared" si="75"/>
        <v>0.52811651770936785</v>
      </c>
      <c r="W38" s="221">
        <f t="shared" si="76"/>
        <v>0.33214875327633192</v>
      </c>
      <c r="X38" s="201">
        <f t="shared" si="77"/>
        <v>350</v>
      </c>
      <c r="Y38" s="451">
        <f t="shared" si="50"/>
        <v>350</v>
      </c>
      <c r="AA38" s="221">
        <f t="shared" si="78"/>
        <v>3.7585690646915135</v>
      </c>
      <c r="AB38" s="177">
        <f t="shared" si="79"/>
        <v>1.1031439602868174</v>
      </c>
      <c r="AC38" s="177">
        <f t="shared" si="80"/>
        <v>1.0883887252967701</v>
      </c>
      <c r="AD38" s="177"/>
      <c r="AE38" s="177">
        <f t="shared" si="81"/>
        <v>0.24067085953878403</v>
      </c>
      <c r="AF38" s="559">
        <f t="shared" si="82"/>
        <v>2229.5402396532677</v>
      </c>
      <c r="AG38" s="542">
        <f t="shared" si="83"/>
        <v>5.1804402515723262E-2</v>
      </c>
      <c r="AI38" s="177">
        <f t="shared" si="84"/>
        <v>2.1233700389320176</v>
      </c>
      <c r="AJ38" s="177">
        <f t="shared" si="85"/>
        <v>2.1233700389320176</v>
      </c>
      <c r="AK38" s="177">
        <f t="shared" si="86"/>
        <v>2.1654592880977908</v>
      </c>
      <c r="AM38" s="559">
        <f t="shared" si="87"/>
        <v>330</v>
      </c>
      <c r="AN38" s="469">
        <f t="shared" si="88"/>
        <v>350</v>
      </c>
      <c r="AP38">
        <f t="shared" si="89"/>
        <v>330</v>
      </c>
      <c r="AQ38" s="469">
        <f t="shared" si="90"/>
        <v>350</v>
      </c>
      <c r="AR38" s="469"/>
      <c r="AS38" s="5">
        <f t="shared" si="51"/>
        <v>2.8571428571428572</v>
      </c>
      <c r="AT38" s="5">
        <f t="shared" si="91"/>
        <v>0.99090601816827484</v>
      </c>
      <c r="AU38" s="5">
        <f t="shared" si="52"/>
        <v>1.8662368389745825</v>
      </c>
      <c r="AV38" s="5">
        <f t="shared" si="92"/>
        <v>0.62321133218130487</v>
      </c>
      <c r="AW38" s="177">
        <f t="shared" si="53"/>
        <v>0.34681710635889618</v>
      </c>
      <c r="AX38" s="177">
        <f t="shared" si="93"/>
        <v>5.5231578947368423</v>
      </c>
      <c r="AY38" s="177">
        <f t="shared" si="94"/>
        <v>1.0402117397253288</v>
      </c>
      <c r="AZ38" s="177">
        <f t="shared" si="54"/>
        <v>5.3096477224870098</v>
      </c>
      <c r="BA38" s="469">
        <f t="shared" si="95"/>
        <v>17.027319442995115</v>
      </c>
      <c r="BB38" s="469">
        <f t="shared" si="96"/>
        <v>5.4745826666666666</v>
      </c>
      <c r="BC38" s="5">
        <f t="shared" si="97"/>
        <v>0.86436232541980662</v>
      </c>
      <c r="BD38" s="469">
        <f t="shared" si="98"/>
        <v>65.869279669643404</v>
      </c>
      <c r="BE38" s="5"/>
      <c r="BF38" s="177">
        <f t="shared" si="55"/>
        <v>0.72196361847318247</v>
      </c>
      <c r="BG38" s="177">
        <f t="shared" si="99"/>
        <v>1.4861878892919673</v>
      </c>
      <c r="BH38" s="177"/>
      <c r="BI38" s="542">
        <f t="shared" si="100"/>
        <v>5.7335461303878003E-2</v>
      </c>
      <c r="BJ38" s="542">
        <f t="shared" si="101"/>
        <v>0.14436262052189056</v>
      </c>
      <c r="BK38" s="542">
        <f t="shared" si="102"/>
        <v>1.7499999999999998E-2</v>
      </c>
      <c r="BL38" s="542">
        <f t="shared" si="103"/>
        <v>0.11885914687500002</v>
      </c>
      <c r="BM38">
        <f t="shared" si="104"/>
        <v>4.3499999999999997E-3</v>
      </c>
      <c r="BN38" s="469">
        <f t="shared" si="56"/>
        <v>342.4072287007686</v>
      </c>
      <c r="BO38" s="542">
        <f t="shared" si="105"/>
        <v>0.29700000000000004</v>
      </c>
      <c r="BP38" s="542"/>
      <c r="BR38" s="469">
        <f t="shared" si="58"/>
        <v>297.00000000000006</v>
      </c>
      <c r="BS38" s="542">
        <f t="shared" si="106"/>
        <v>0</v>
      </c>
      <c r="BT38" s="542">
        <f t="shared" si="107"/>
        <v>0</v>
      </c>
      <c r="BU38" s="542">
        <f t="shared" si="108"/>
        <v>0</v>
      </c>
      <c r="BV38" s="542">
        <f t="shared" si="109"/>
        <v>0</v>
      </c>
      <c r="BW38" s="469">
        <f t="shared" si="59"/>
        <v>0</v>
      </c>
      <c r="BX38" s="177">
        <f t="shared" si="60"/>
        <v>0.6394072287007686</v>
      </c>
      <c r="BY38" s="5">
        <f t="shared" si="61"/>
        <v>4.95</v>
      </c>
      <c r="BZ38" s="177">
        <f t="shared" si="62"/>
        <v>0.88560374963958455</v>
      </c>
      <c r="CA38" s="5">
        <f t="shared" si="63"/>
        <v>88.560374963958452</v>
      </c>
      <c r="CD38" s="576">
        <f t="shared" si="110"/>
        <v>-50</v>
      </c>
      <c r="CE38">
        <f t="shared" si="111"/>
        <v>-50</v>
      </c>
    </row>
    <row r="39" spans="5:83" x14ac:dyDescent="0.25">
      <c r="E39" s="174">
        <v>34</v>
      </c>
      <c r="F39" s="221">
        <f t="shared" si="112"/>
        <v>0.34</v>
      </c>
      <c r="G39" s="221"/>
      <c r="H39" s="221">
        <f t="shared" si="64"/>
        <v>5.1000000000000005</v>
      </c>
      <c r="I39" s="555">
        <f t="shared" si="65"/>
        <v>15</v>
      </c>
      <c r="J39" s="176">
        <f t="shared" si="66"/>
        <v>23.85</v>
      </c>
      <c r="K39" s="451">
        <f t="shared" si="67"/>
        <v>38.85</v>
      </c>
      <c r="L39" s="451"/>
      <c r="M39" s="221">
        <f t="shared" si="68"/>
        <v>0.61389961389961389</v>
      </c>
      <c r="N39" s="176">
        <f t="shared" si="5"/>
        <v>17.933542471042468</v>
      </c>
      <c r="O39" s="176">
        <f t="shared" si="49"/>
        <v>5.1000000000000005</v>
      </c>
      <c r="P39" s="221">
        <f t="shared" si="69"/>
        <v>1.195569498069498</v>
      </c>
      <c r="Q39" s="221">
        <f t="shared" si="70"/>
        <v>15</v>
      </c>
      <c r="R39" s="221">
        <f t="shared" si="71"/>
        <v>1.2584942084942083</v>
      </c>
      <c r="S39" s="176">
        <f t="shared" si="72"/>
        <v>76.036097845587491</v>
      </c>
      <c r="T39" s="176">
        <f t="shared" si="73"/>
        <v>15</v>
      </c>
      <c r="U39" s="221">
        <f t="shared" si="74"/>
        <v>1.1659715326050979</v>
      </c>
      <c r="V39" s="221">
        <f t="shared" si="75"/>
        <v>0.54412004854904572</v>
      </c>
      <c r="W39" s="221">
        <f t="shared" si="76"/>
        <v>0.34221386701197842</v>
      </c>
      <c r="X39" s="201">
        <f t="shared" si="77"/>
        <v>350</v>
      </c>
      <c r="Y39" s="451">
        <f t="shared" si="50"/>
        <v>350</v>
      </c>
      <c r="AA39" s="221">
        <f t="shared" si="78"/>
        <v>3.7585690646915135</v>
      </c>
      <c r="AB39" s="177">
        <f t="shared" si="79"/>
        <v>1.1031439602868174</v>
      </c>
      <c r="AC39" s="177">
        <f t="shared" si="80"/>
        <v>1.0883887252967701</v>
      </c>
      <c r="AD39" s="177"/>
      <c r="AE39" s="177">
        <f t="shared" si="81"/>
        <v>0.24067085953878403</v>
      </c>
      <c r="AF39" s="559">
        <f t="shared" si="82"/>
        <v>2297.1020650973064</v>
      </c>
      <c r="AG39" s="542">
        <f t="shared" si="83"/>
        <v>5.1804402515723262E-2</v>
      </c>
      <c r="AI39" s="177">
        <f t="shared" si="84"/>
        <v>2.1553022072846542</v>
      </c>
      <c r="AJ39" s="177">
        <f t="shared" si="85"/>
        <v>2.1553022072846542</v>
      </c>
      <c r="AK39" s="177">
        <f t="shared" si="86"/>
        <v>2.189112746136781</v>
      </c>
      <c r="AM39" s="559">
        <f t="shared" si="87"/>
        <v>340</v>
      </c>
      <c r="AN39" s="469">
        <f t="shared" si="88"/>
        <v>350</v>
      </c>
      <c r="AP39">
        <f t="shared" si="89"/>
        <v>340</v>
      </c>
      <c r="AQ39" s="469">
        <f t="shared" si="90"/>
        <v>350</v>
      </c>
      <c r="AR39" s="469"/>
      <c r="AS39" s="5">
        <f t="shared" si="51"/>
        <v>2.8571428571428572</v>
      </c>
      <c r="AT39" s="5">
        <f t="shared" si="91"/>
        <v>1.0058076967328387</v>
      </c>
      <c r="AU39" s="5">
        <f t="shared" si="52"/>
        <v>1.8513351604100186</v>
      </c>
      <c r="AV39" s="5">
        <f t="shared" si="92"/>
        <v>0.63258345706467833</v>
      </c>
      <c r="AW39" s="177">
        <f t="shared" si="53"/>
        <v>0.35203269385649349</v>
      </c>
      <c r="AX39" s="177">
        <f t="shared" si="93"/>
        <v>5.6905263157894748</v>
      </c>
      <c r="AY39" s="177">
        <f t="shared" si="94"/>
        <v>1.0474240238845431</v>
      </c>
      <c r="AZ39" s="177">
        <f t="shared" si="54"/>
        <v>5.4328774078383537</v>
      </c>
      <c r="BA39" s="469">
        <f t="shared" si="95"/>
        <v>17.027319442995115</v>
      </c>
      <c r="BB39" s="469">
        <f t="shared" si="96"/>
        <v>5.7804936296296301</v>
      </c>
      <c r="BC39" s="5">
        <f t="shared" si="97"/>
        <v>0.88344414672197391</v>
      </c>
      <c r="BD39" s="469">
        <f t="shared" si="98"/>
        <v>67.33199521467435</v>
      </c>
      <c r="BE39" s="5"/>
      <c r="BF39" s="177">
        <f t="shared" si="55"/>
        <v>0.73831050164946688</v>
      </c>
      <c r="BG39" s="177">
        <f t="shared" si="99"/>
        <v>1.5025030151854371</v>
      </c>
      <c r="BH39" s="177"/>
      <c r="BI39" s="542">
        <f t="shared" si="100"/>
        <v>5.9961263653047624E-2</v>
      </c>
      <c r="BJ39" s="542">
        <f t="shared" si="101"/>
        <v>0.14653360881776545</v>
      </c>
      <c r="BK39" s="542">
        <f t="shared" si="102"/>
        <v>1.7499999999999998E-2</v>
      </c>
      <c r="BL39" s="542">
        <f t="shared" si="103"/>
        <v>0.11885914687500002</v>
      </c>
      <c r="BM39">
        <f t="shared" si="104"/>
        <v>4.3499999999999997E-3</v>
      </c>
      <c r="BN39" s="469">
        <f t="shared" si="56"/>
        <v>347.20401934581309</v>
      </c>
      <c r="BO39" s="542">
        <f t="shared" si="105"/>
        <v>0.30600000000000005</v>
      </c>
      <c r="BP39" s="542"/>
      <c r="BR39" s="469">
        <f t="shared" si="58"/>
        <v>306.00000000000006</v>
      </c>
      <c r="BS39" s="542">
        <f t="shared" si="106"/>
        <v>0</v>
      </c>
      <c r="BT39" s="542">
        <f t="shared" si="107"/>
        <v>0</v>
      </c>
      <c r="BU39" s="542">
        <f t="shared" si="108"/>
        <v>0</v>
      </c>
      <c r="BV39" s="542">
        <f t="shared" si="109"/>
        <v>0</v>
      </c>
      <c r="BW39" s="469">
        <f t="shared" si="59"/>
        <v>0</v>
      </c>
      <c r="BX39" s="177">
        <f t="shared" si="60"/>
        <v>0.65320401934581307</v>
      </c>
      <c r="BY39" s="5">
        <f t="shared" si="61"/>
        <v>5.1000000000000005</v>
      </c>
      <c r="BZ39" s="177">
        <f t="shared" si="62"/>
        <v>0.88646256639789944</v>
      </c>
      <c r="CA39" s="5">
        <f t="shared" si="63"/>
        <v>88.646256639789939</v>
      </c>
      <c r="CD39" s="576">
        <f t="shared" si="110"/>
        <v>-50</v>
      </c>
      <c r="CE39">
        <f t="shared" si="111"/>
        <v>-50</v>
      </c>
    </row>
    <row r="40" spans="5:83" x14ac:dyDescent="0.25">
      <c r="E40" s="174">
        <v>35</v>
      </c>
      <c r="F40" s="221">
        <f t="shared" si="112"/>
        <v>0.35</v>
      </c>
      <c r="G40" s="221"/>
      <c r="H40" s="221">
        <f t="shared" si="64"/>
        <v>5.25</v>
      </c>
      <c r="I40" s="555">
        <f t="shared" si="65"/>
        <v>15</v>
      </c>
      <c r="J40" s="176">
        <f t="shared" si="66"/>
        <v>23.85</v>
      </c>
      <c r="K40" s="451">
        <f t="shared" si="67"/>
        <v>38.85</v>
      </c>
      <c r="L40" s="451"/>
      <c r="M40" s="221">
        <f t="shared" si="68"/>
        <v>0.61389961389961389</v>
      </c>
      <c r="N40" s="176">
        <f t="shared" si="5"/>
        <v>17.933542471042468</v>
      </c>
      <c r="O40" s="176">
        <f t="shared" si="49"/>
        <v>5.25</v>
      </c>
      <c r="P40" s="221">
        <f t="shared" si="69"/>
        <v>1.195569498069498</v>
      </c>
      <c r="Q40" s="221">
        <f t="shared" si="70"/>
        <v>15</v>
      </c>
      <c r="R40" s="221">
        <f t="shared" si="71"/>
        <v>1.2584942084942083</v>
      </c>
      <c r="S40" s="176">
        <f t="shared" si="72"/>
        <v>73.585115224622896</v>
      </c>
      <c r="T40" s="176">
        <f t="shared" si="73"/>
        <v>15</v>
      </c>
      <c r="U40" s="221">
        <f t="shared" si="74"/>
        <v>1.2002648129758358</v>
      </c>
      <c r="V40" s="221">
        <f t="shared" si="75"/>
        <v>0.56012357938872337</v>
      </c>
      <c r="W40" s="221">
        <f t="shared" si="76"/>
        <v>0.35227898074762476</v>
      </c>
      <c r="X40" s="201">
        <f t="shared" si="77"/>
        <v>350</v>
      </c>
      <c r="Y40" s="451">
        <f t="shared" si="50"/>
        <v>350</v>
      </c>
      <c r="AA40" s="221">
        <f t="shared" si="78"/>
        <v>3.7585690646915135</v>
      </c>
      <c r="AB40" s="177">
        <f t="shared" si="79"/>
        <v>1.1031439602868174</v>
      </c>
      <c r="AC40" s="177">
        <f t="shared" si="80"/>
        <v>1.0883887252967701</v>
      </c>
      <c r="AD40" s="177"/>
      <c r="AE40" s="177">
        <f t="shared" si="81"/>
        <v>0.24067085953878403</v>
      </c>
      <c r="AF40" s="559">
        <f t="shared" si="82"/>
        <v>2364.6638905413447</v>
      </c>
      <c r="AG40" s="542">
        <f t="shared" si="83"/>
        <v>5.1804402515723262E-2</v>
      </c>
      <c r="AI40" s="177">
        <f t="shared" si="84"/>
        <v>2.1867681375075056</v>
      </c>
      <c r="AJ40" s="177">
        <f t="shared" si="85"/>
        <v>2.1867681375075056</v>
      </c>
      <c r="AK40" s="177">
        <f t="shared" si="86"/>
        <v>2.2124208425981524</v>
      </c>
      <c r="AM40" s="559">
        <f t="shared" si="87"/>
        <v>350</v>
      </c>
      <c r="AN40" s="469">
        <f t="shared" si="88"/>
        <v>350</v>
      </c>
      <c r="AP40">
        <f t="shared" si="89"/>
        <v>350</v>
      </c>
      <c r="AQ40" s="469">
        <f t="shared" si="90"/>
        <v>350</v>
      </c>
      <c r="AR40" s="469"/>
      <c r="AS40" s="5">
        <f t="shared" si="51"/>
        <v>2.8571428571428572</v>
      </c>
      <c r="AT40" s="5">
        <f t="shared" si="91"/>
        <v>1.0204917975035026</v>
      </c>
      <c r="AU40" s="5">
        <f t="shared" si="52"/>
        <v>1.8366510596393546</v>
      </c>
      <c r="AV40" s="5">
        <f t="shared" si="92"/>
        <v>0.64181874056824073</v>
      </c>
      <c r="AW40" s="177">
        <f t="shared" si="53"/>
        <v>0.35717212912622592</v>
      </c>
      <c r="AX40" s="177">
        <f t="shared" si="93"/>
        <v>5.8578947368421064</v>
      </c>
      <c r="AY40" s="177">
        <f t="shared" si="94"/>
        <v>1.0542866294464186</v>
      </c>
      <c r="AZ40" s="177">
        <f t="shared" si="54"/>
        <v>5.5562638975303624</v>
      </c>
      <c r="BA40" s="469">
        <f t="shared" si="95"/>
        <v>17.027319442995115</v>
      </c>
      <c r="BB40" s="469">
        <f t="shared" si="96"/>
        <v>6.0946407407407381</v>
      </c>
      <c r="BC40" s="5">
        <f t="shared" si="97"/>
        <v>0.90221455561231456</v>
      </c>
      <c r="BD40" s="469">
        <f t="shared" si="98"/>
        <v>68.771354828818332</v>
      </c>
      <c r="BE40" s="5"/>
      <c r="BF40" s="177">
        <f t="shared" si="55"/>
        <v>0.75453760861718722</v>
      </c>
      <c r="BG40" s="177">
        <f t="shared" si="99"/>
        <v>1.5183808511284678</v>
      </c>
      <c r="BH40" s="177"/>
      <c r="BI40" s="542">
        <f t="shared" si="100"/>
        <v>6.2625970309951803E-2</v>
      </c>
      <c r="BJ40" s="542">
        <f t="shared" si="101"/>
        <v>0.14867289874879153</v>
      </c>
      <c r="BK40" s="542">
        <f t="shared" si="102"/>
        <v>1.7499999999999998E-2</v>
      </c>
      <c r="BL40" s="542">
        <f t="shared" si="103"/>
        <v>0.11885914687500002</v>
      </c>
      <c r="BM40">
        <f t="shared" si="104"/>
        <v>4.3499999999999997E-3</v>
      </c>
      <c r="BN40" s="469">
        <f t="shared" si="56"/>
        <v>352.00801593374337</v>
      </c>
      <c r="BO40" s="542">
        <f t="shared" si="105"/>
        <v>0.315</v>
      </c>
      <c r="BP40" s="542"/>
      <c r="BR40" s="469">
        <f t="shared" si="58"/>
        <v>315</v>
      </c>
      <c r="BS40" s="542">
        <f t="shared" si="106"/>
        <v>0</v>
      </c>
      <c r="BT40" s="542">
        <f t="shared" si="107"/>
        <v>0</v>
      </c>
      <c r="BU40" s="542">
        <f t="shared" si="108"/>
        <v>0</v>
      </c>
      <c r="BV40" s="542">
        <f t="shared" si="109"/>
        <v>0</v>
      </c>
      <c r="BW40" s="469">
        <f t="shared" si="59"/>
        <v>0</v>
      </c>
      <c r="BX40" s="177">
        <f t="shared" si="60"/>
        <v>0.66700801593374337</v>
      </c>
      <c r="BY40" s="5">
        <f t="shared" si="61"/>
        <v>5.25</v>
      </c>
      <c r="BZ40" s="177">
        <f t="shared" si="62"/>
        <v>0.88727275438235398</v>
      </c>
      <c r="CA40" s="5">
        <f t="shared" si="63"/>
        <v>88.727275438235395</v>
      </c>
      <c r="CD40" s="576">
        <f t="shared" si="110"/>
        <v>-50</v>
      </c>
      <c r="CE40">
        <f t="shared" si="111"/>
        <v>-50</v>
      </c>
    </row>
    <row r="41" spans="5:83" x14ac:dyDescent="0.25">
      <c r="E41" s="174">
        <v>36</v>
      </c>
      <c r="F41" s="221">
        <f t="shared" si="112"/>
        <v>0.36</v>
      </c>
      <c r="G41" s="221"/>
      <c r="H41" s="221">
        <f t="shared" si="64"/>
        <v>5.3999999999999995</v>
      </c>
      <c r="I41" s="555">
        <f t="shared" si="65"/>
        <v>15</v>
      </c>
      <c r="J41" s="176">
        <f t="shared" si="66"/>
        <v>23.85</v>
      </c>
      <c r="K41" s="451">
        <f t="shared" si="67"/>
        <v>38.85</v>
      </c>
      <c r="L41" s="451"/>
      <c r="M41" s="221">
        <f t="shared" si="68"/>
        <v>0.61389961389961389</v>
      </c>
      <c r="N41" s="176">
        <f t="shared" si="5"/>
        <v>17.933542471042468</v>
      </c>
      <c r="O41" s="176">
        <f t="shared" si="49"/>
        <v>5.3999999999999995</v>
      </c>
      <c r="P41" s="221">
        <f t="shared" si="69"/>
        <v>1.195569498069498</v>
      </c>
      <c r="Q41" s="221">
        <f t="shared" si="70"/>
        <v>15</v>
      </c>
      <c r="R41" s="221">
        <f t="shared" si="71"/>
        <v>1.2584942084942083</v>
      </c>
      <c r="S41" s="176">
        <f t="shared" si="72"/>
        <v>71.27053796010189</v>
      </c>
      <c r="T41" s="176">
        <f t="shared" si="73"/>
        <v>15</v>
      </c>
      <c r="U41" s="221">
        <f t="shared" si="74"/>
        <v>1.2345580933465738</v>
      </c>
      <c r="V41" s="221">
        <f t="shared" si="75"/>
        <v>0.57612711022840113</v>
      </c>
      <c r="W41" s="221">
        <f t="shared" si="76"/>
        <v>0.36234409448327115</v>
      </c>
      <c r="X41" s="201">
        <f t="shared" si="77"/>
        <v>350</v>
      </c>
      <c r="Y41" s="451">
        <f t="shared" si="50"/>
        <v>350</v>
      </c>
      <c r="AA41" s="221">
        <f t="shared" si="78"/>
        <v>3.7585690646915135</v>
      </c>
      <c r="AB41" s="177">
        <f t="shared" si="79"/>
        <v>1.1031439602868174</v>
      </c>
      <c r="AC41" s="177">
        <f t="shared" si="80"/>
        <v>1.0883887252967701</v>
      </c>
      <c r="AD41" s="177"/>
      <c r="AE41" s="177">
        <f t="shared" si="81"/>
        <v>0.24067085953878403</v>
      </c>
      <c r="AF41" s="559">
        <f t="shared" si="82"/>
        <v>2432.2257159853834</v>
      </c>
      <c r="AG41" s="542">
        <f t="shared" si="83"/>
        <v>5.1804402515723262E-2</v>
      </c>
      <c r="AI41" s="177">
        <f t="shared" si="84"/>
        <v>2.2177876746230671</v>
      </c>
      <c r="AJ41" s="177">
        <f t="shared" si="85"/>
        <v>2.2177876746230671</v>
      </c>
      <c r="AK41" s="177">
        <f t="shared" si="86"/>
        <v>2.2353982774985681</v>
      </c>
      <c r="AM41" s="559">
        <f t="shared" si="87"/>
        <v>360</v>
      </c>
      <c r="AN41" s="469">
        <f t="shared" si="88"/>
        <v>350</v>
      </c>
      <c r="AP41">
        <f t="shared" si="89"/>
        <v>360</v>
      </c>
      <c r="AQ41" s="469">
        <f t="shared" si="90"/>
        <v>350</v>
      </c>
      <c r="AR41" s="469"/>
      <c r="AS41" s="5">
        <f t="shared" si="51"/>
        <v>2.8571428571428572</v>
      </c>
      <c r="AT41" s="5">
        <f t="shared" si="91"/>
        <v>1.0349675814907646</v>
      </c>
      <c r="AU41" s="5">
        <f t="shared" si="52"/>
        <v>1.8221752756520926</v>
      </c>
      <c r="AV41" s="5">
        <f t="shared" si="92"/>
        <v>0.650923007226896</v>
      </c>
      <c r="AW41" s="177">
        <f t="shared" si="53"/>
        <v>0.3622386535217676</v>
      </c>
      <c r="AX41" s="177">
        <f t="shared" si="93"/>
        <v>6.0252631578947389</v>
      </c>
      <c r="AY41" s="177">
        <f t="shared" si="94"/>
        <v>1.0608144401778263</v>
      </c>
      <c r="AZ41" s="177">
        <f t="shared" si="54"/>
        <v>5.6798464742662373</v>
      </c>
      <c r="BA41" s="469">
        <f t="shared" si="95"/>
        <v>17.027319442995115</v>
      </c>
      <c r="BB41" s="469">
        <f t="shared" si="96"/>
        <v>6.4170239999999996</v>
      </c>
      <c r="BC41" s="5">
        <f t="shared" si="97"/>
        <v>0.92067803401368886</v>
      </c>
      <c r="BD41" s="469">
        <f t="shared" si="98"/>
        <v>70.187694656289821</v>
      </c>
      <c r="BE41" s="5"/>
      <c r="BF41" s="177">
        <f t="shared" si="55"/>
        <v>0.77064920302991335</v>
      </c>
      <c r="BG41" s="177">
        <f t="shared" si="99"/>
        <v>1.5338387107152278</v>
      </c>
      <c r="BH41" s="177"/>
      <c r="BI41" s="542">
        <f t="shared" si="100"/>
        <v>6.5329021354370478E-2</v>
      </c>
      <c r="BJ41" s="542">
        <f t="shared" si="101"/>
        <v>0.1507818395284358</v>
      </c>
      <c r="BK41" s="542">
        <f t="shared" si="102"/>
        <v>1.7499999999999998E-2</v>
      </c>
      <c r="BL41" s="542">
        <f t="shared" si="103"/>
        <v>0.11885914687500002</v>
      </c>
      <c r="BM41">
        <f t="shared" si="104"/>
        <v>4.3499999999999997E-3</v>
      </c>
      <c r="BN41" s="469">
        <f t="shared" si="56"/>
        <v>356.82000775780631</v>
      </c>
      <c r="BO41" s="542">
        <f t="shared" si="105"/>
        <v>0.32400000000000001</v>
      </c>
      <c r="BP41" s="542"/>
      <c r="BR41" s="469">
        <f t="shared" si="58"/>
        <v>324</v>
      </c>
      <c r="BS41" s="542">
        <f t="shared" si="106"/>
        <v>0</v>
      </c>
      <c r="BT41" s="542">
        <f t="shared" si="107"/>
        <v>0</v>
      </c>
      <c r="BU41" s="542">
        <f t="shared" si="108"/>
        <v>0</v>
      </c>
      <c r="BV41" s="542">
        <f t="shared" si="109"/>
        <v>0</v>
      </c>
      <c r="BW41" s="469">
        <f t="shared" si="59"/>
        <v>0</v>
      </c>
      <c r="BX41" s="177">
        <f t="shared" si="60"/>
        <v>0.68082000775780638</v>
      </c>
      <c r="BY41" s="5">
        <f t="shared" si="61"/>
        <v>5.3999999999999995</v>
      </c>
      <c r="BZ41" s="177">
        <f t="shared" si="62"/>
        <v>0.8880381253039511</v>
      </c>
      <c r="CA41" s="5">
        <f t="shared" si="63"/>
        <v>88.803812530395106</v>
      </c>
      <c r="CD41" s="576">
        <f t="shared" si="110"/>
        <v>-50</v>
      </c>
      <c r="CE41">
        <f t="shared" si="111"/>
        <v>-50</v>
      </c>
    </row>
    <row r="42" spans="5:83" x14ac:dyDescent="0.25">
      <c r="E42" s="174">
        <v>37</v>
      </c>
      <c r="F42" s="221">
        <f t="shared" si="112"/>
        <v>0.37</v>
      </c>
      <c r="G42" s="221"/>
      <c r="H42" s="221">
        <f t="shared" si="64"/>
        <v>5.55</v>
      </c>
      <c r="I42" s="555">
        <f t="shared" si="65"/>
        <v>15</v>
      </c>
      <c r="J42" s="176">
        <f t="shared" si="66"/>
        <v>23.85</v>
      </c>
      <c r="K42" s="451">
        <f t="shared" si="67"/>
        <v>38.85</v>
      </c>
      <c r="L42" s="451"/>
      <c r="M42" s="221">
        <f t="shared" si="68"/>
        <v>0.61389961389961389</v>
      </c>
      <c r="N42" s="176">
        <f t="shared" si="5"/>
        <v>17.933542471042468</v>
      </c>
      <c r="O42" s="176">
        <f t="shared" si="49"/>
        <v>5.55</v>
      </c>
      <c r="P42" s="221">
        <f t="shared" si="69"/>
        <v>1.195569498069498</v>
      </c>
      <c r="Q42" s="221">
        <f t="shared" si="70"/>
        <v>15</v>
      </c>
      <c r="R42" s="221">
        <f t="shared" si="71"/>
        <v>1.2584942084942083</v>
      </c>
      <c r="S42" s="176">
        <f t="shared" si="72"/>
        <v>69.081308471822069</v>
      </c>
      <c r="T42" s="176">
        <f t="shared" si="73"/>
        <v>15</v>
      </c>
      <c r="U42" s="221">
        <f t="shared" si="74"/>
        <v>1.2688513737173122</v>
      </c>
      <c r="V42" s="221">
        <f t="shared" si="75"/>
        <v>0.592130641068079</v>
      </c>
      <c r="W42" s="221">
        <f t="shared" si="76"/>
        <v>0.37240920821891754</v>
      </c>
      <c r="X42" s="201">
        <f t="shared" si="77"/>
        <v>350</v>
      </c>
      <c r="Y42" s="451">
        <f t="shared" si="50"/>
        <v>350</v>
      </c>
      <c r="AA42" s="221">
        <f t="shared" si="78"/>
        <v>3.7585690646915135</v>
      </c>
      <c r="AB42" s="177">
        <f t="shared" si="79"/>
        <v>1.1031439602868174</v>
      </c>
      <c r="AC42" s="177">
        <f t="shared" si="80"/>
        <v>1.0883887252967701</v>
      </c>
      <c r="AD42" s="177"/>
      <c r="AE42" s="177">
        <f t="shared" si="81"/>
        <v>0.24067085953878403</v>
      </c>
      <c r="AF42" s="559">
        <f t="shared" si="82"/>
        <v>2499.7875414294217</v>
      </c>
      <c r="AG42" s="542">
        <f t="shared" si="83"/>
        <v>5.1804402515723262E-2</v>
      </c>
      <c r="AI42" s="177">
        <f t="shared" si="84"/>
        <v>2.2483792945590686</v>
      </c>
      <c r="AJ42" s="177">
        <f t="shared" si="85"/>
        <v>2.2483792945590686</v>
      </c>
      <c r="AK42" s="177">
        <f t="shared" si="86"/>
        <v>2.2580587367104212</v>
      </c>
      <c r="AM42" s="559">
        <f t="shared" si="87"/>
        <v>370</v>
      </c>
      <c r="AN42" s="469">
        <f t="shared" si="88"/>
        <v>350</v>
      </c>
      <c r="AP42">
        <f t="shared" si="89"/>
        <v>370</v>
      </c>
      <c r="AQ42" s="469">
        <f t="shared" si="90"/>
        <v>350</v>
      </c>
      <c r="AR42" s="469"/>
      <c r="AS42" s="5">
        <f t="shared" si="51"/>
        <v>2.8571428571428572</v>
      </c>
      <c r="AT42" s="5">
        <f t="shared" si="91"/>
        <v>1.0492436707942319</v>
      </c>
      <c r="AU42" s="5">
        <f t="shared" si="52"/>
        <v>1.8078991863486253</v>
      </c>
      <c r="AV42" s="5">
        <f t="shared" si="92"/>
        <v>0.65990167974479996</v>
      </c>
      <c r="AW42" s="177">
        <f t="shared" si="53"/>
        <v>0.36723528477798112</v>
      </c>
      <c r="AX42" s="177">
        <f t="shared" si="93"/>
        <v>6.1926315789473705</v>
      </c>
      <c r="AY42" s="177">
        <f t="shared" si="94"/>
        <v>1.0670213130245645</v>
      </c>
      <c r="AZ42" s="177">
        <f t="shared" si="54"/>
        <v>5.8036624979812439</v>
      </c>
      <c r="BA42" s="469">
        <f t="shared" si="95"/>
        <v>17.027319442995115</v>
      </c>
      <c r="BB42" s="469">
        <f t="shared" si="96"/>
        <v>6.7476434074074056</v>
      </c>
      <c r="BC42" s="5">
        <f t="shared" si="97"/>
        <v>0.9388388757178826</v>
      </c>
      <c r="BD42" s="469">
        <f t="shared" si="98"/>
        <v>71.581336731472774</v>
      </c>
      <c r="BE42" s="5"/>
      <c r="BF42" s="177">
        <f t="shared" si="55"/>
        <v>0.78664928288526803</v>
      </c>
      <c r="BG42" s="177">
        <f t="shared" si="99"/>
        <v>1.5488927099891914</v>
      </c>
      <c r="BH42" s="177"/>
      <c r="BI42" s="542">
        <f t="shared" si="100"/>
        <v>6.8069880369029709E-2</v>
      </c>
      <c r="BJ42" s="542">
        <f t="shared" si="101"/>
        <v>0.1528616872888347</v>
      </c>
      <c r="BK42" s="542">
        <f t="shared" si="102"/>
        <v>1.7499999999999998E-2</v>
      </c>
      <c r="BL42" s="542">
        <f t="shared" si="103"/>
        <v>0.11885914687500002</v>
      </c>
      <c r="BM42">
        <f t="shared" si="104"/>
        <v>4.3499999999999997E-3</v>
      </c>
      <c r="BN42" s="469">
        <f t="shared" si="56"/>
        <v>361.64071453286442</v>
      </c>
      <c r="BO42" s="542">
        <f t="shared" si="105"/>
        <v>0.33300000000000002</v>
      </c>
      <c r="BP42" s="542"/>
      <c r="BR42" s="469">
        <f t="shared" si="58"/>
        <v>333</v>
      </c>
      <c r="BS42" s="542">
        <f t="shared" si="106"/>
        <v>0</v>
      </c>
      <c r="BT42" s="542">
        <f t="shared" si="107"/>
        <v>0</v>
      </c>
      <c r="BU42" s="542">
        <f t="shared" si="108"/>
        <v>0</v>
      </c>
      <c r="BV42" s="542">
        <f t="shared" si="109"/>
        <v>0</v>
      </c>
      <c r="BW42" s="469">
        <f t="shared" si="59"/>
        <v>0</v>
      </c>
      <c r="BX42" s="177">
        <f t="shared" si="60"/>
        <v>0.69464071453286447</v>
      </c>
      <c r="BY42" s="5">
        <f t="shared" si="61"/>
        <v>5.55</v>
      </c>
      <c r="BZ42" s="177">
        <f t="shared" si="62"/>
        <v>0.88876210076966333</v>
      </c>
      <c r="CA42" s="5">
        <f t="shared" si="63"/>
        <v>88.876210076966331</v>
      </c>
      <c r="CD42" s="576">
        <f t="shared" si="110"/>
        <v>-50</v>
      </c>
      <c r="CE42">
        <f t="shared" si="111"/>
        <v>-50</v>
      </c>
    </row>
    <row r="43" spans="5:83" x14ac:dyDescent="0.25">
      <c r="E43" s="174">
        <v>38</v>
      </c>
      <c r="F43" s="221">
        <f t="shared" si="112"/>
        <v>0.38</v>
      </c>
      <c r="G43" s="221"/>
      <c r="H43" s="221">
        <f t="shared" si="64"/>
        <v>5.7</v>
      </c>
      <c r="I43" s="555">
        <f t="shared" si="65"/>
        <v>15</v>
      </c>
      <c r="J43" s="176">
        <f t="shared" si="66"/>
        <v>23.85</v>
      </c>
      <c r="K43" s="451">
        <f t="shared" si="67"/>
        <v>38.85</v>
      </c>
      <c r="L43" s="451"/>
      <c r="M43" s="221">
        <f t="shared" si="68"/>
        <v>0.61389961389961389</v>
      </c>
      <c r="N43" s="176">
        <f t="shared" si="5"/>
        <v>17.933542471042468</v>
      </c>
      <c r="O43" s="176">
        <f t="shared" si="49"/>
        <v>5.7</v>
      </c>
      <c r="P43" s="221">
        <f t="shared" si="69"/>
        <v>1.195569498069498</v>
      </c>
      <c r="Q43" s="221">
        <f t="shared" si="70"/>
        <v>15</v>
      </c>
      <c r="R43" s="221">
        <f t="shared" si="71"/>
        <v>1.2584942084942083</v>
      </c>
      <c r="S43" s="176">
        <f t="shared" si="72"/>
        <v>67.007533160624618</v>
      </c>
      <c r="T43" s="176">
        <f t="shared" si="73"/>
        <v>15</v>
      </c>
      <c r="U43" s="221">
        <f t="shared" si="74"/>
        <v>1.3031446540880505</v>
      </c>
      <c r="V43" s="221">
        <f t="shared" si="75"/>
        <v>0.60813417190775687</v>
      </c>
      <c r="W43" s="221">
        <f t="shared" si="76"/>
        <v>0.38247432195456399</v>
      </c>
      <c r="X43" s="201">
        <f t="shared" si="77"/>
        <v>350</v>
      </c>
      <c r="Y43" s="451">
        <f t="shared" si="50"/>
        <v>350</v>
      </c>
      <c r="AA43" s="221">
        <f t="shared" si="78"/>
        <v>3.7585690646915135</v>
      </c>
      <c r="AB43" s="177">
        <f t="shared" si="79"/>
        <v>1.1031439602868174</v>
      </c>
      <c r="AC43" s="177">
        <f t="shared" si="80"/>
        <v>1.0883887252967701</v>
      </c>
      <c r="AD43" s="177"/>
      <c r="AE43" s="177">
        <f t="shared" si="81"/>
        <v>0.24067085953878403</v>
      </c>
      <c r="AF43" s="559">
        <f t="shared" si="82"/>
        <v>2567.3493668734604</v>
      </c>
      <c r="AG43" s="542">
        <f t="shared" si="83"/>
        <v>5.1804402515723262E-2</v>
      </c>
      <c r="AI43" s="177">
        <f t="shared" si="84"/>
        <v>2.278560232843073</v>
      </c>
      <c r="AJ43" s="177">
        <f t="shared" si="85"/>
        <v>2.278560232843073</v>
      </c>
      <c r="AK43" s="177">
        <f t="shared" si="86"/>
        <v>2.2804149872911652</v>
      </c>
      <c r="AM43" s="559">
        <f t="shared" si="87"/>
        <v>380</v>
      </c>
      <c r="AN43" s="469">
        <f t="shared" si="88"/>
        <v>350</v>
      </c>
      <c r="AP43">
        <f t="shared" si="89"/>
        <v>380</v>
      </c>
      <c r="AQ43" s="469">
        <f t="shared" si="90"/>
        <v>350</v>
      </c>
      <c r="AR43" s="469"/>
      <c r="AS43" s="5">
        <f t="shared" si="51"/>
        <v>2.8571428571428572</v>
      </c>
      <c r="AT43" s="5">
        <f t="shared" si="91"/>
        <v>1.0633281086601007</v>
      </c>
      <c r="AU43" s="5">
        <f t="shared" si="52"/>
        <v>1.7938147484827565</v>
      </c>
      <c r="AV43" s="5">
        <f t="shared" si="92"/>
        <v>0.66875981676735885</v>
      </c>
      <c r="AW43" s="177">
        <f t="shared" si="53"/>
        <v>0.37216483803103523</v>
      </c>
      <c r="AX43" s="177">
        <f t="shared" si="93"/>
        <v>6.3600000000000012</v>
      </c>
      <c r="AY43" s="177">
        <f t="shared" si="94"/>
        <v>1.0729201746323047</v>
      </c>
      <c r="AZ43" s="177">
        <f t="shared" si="54"/>
        <v>5.9277476091635668</v>
      </c>
      <c r="BA43" s="469">
        <f t="shared" si="95"/>
        <v>17.027319442995115</v>
      </c>
      <c r="BB43" s="469">
        <f t="shared" si="96"/>
        <v>7.0864989629629616</v>
      </c>
      <c r="BC43" s="5">
        <f t="shared" si="97"/>
        <v>0.95670119919080365</v>
      </c>
      <c r="BD43" s="469">
        <f t="shared" si="98"/>
        <v>72.952589939310272</v>
      </c>
      <c r="BE43" s="5"/>
      <c r="BF43" s="177">
        <f t="shared" si="55"/>
        <v>0.80254160379196249</v>
      </c>
      <c r="BG43" s="177">
        <f t="shared" si="99"/>
        <v>1.5635578796233336</v>
      </c>
      <c r="BH43" s="177"/>
      <c r="BI43" s="542">
        <f t="shared" si="100"/>
        <v>7.0848032839867292E-2</v>
      </c>
      <c r="BJ43" s="542">
        <f t="shared" si="101"/>
        <v>0.15491361383041843</v>
      </c>
      <c r="BK43" s="542">
        <f t="shared" si="102"/>
        <v>1.7499999999999998E-2</v>
      </c>
      <c r="BL43" s="542">
        <f t="shared" si="103"/>
        <v>0.11885914687500002</v>
      </c>
      <c r="BM43">
        <f t="shared" si="104"/>
        <v>4.3499999999999997E-3</v>
      </c>
      <c r="BN43" s="469">
        <f t="shared" si="56"/>
        <v>366.47079354528574</v>
      </c>
      <c r="BO43" s="542">
        <f t="shared" si="105"/>
        <v>0.34200000000000003</v>
      </c>
      <c r="BP43" s="542"/>
      <c r="BR43" s="469">
        <f t="shared" si="58"/>
        <v>342</v>
      </c>
      <c r="BS43" s="542">
        <f t="shared" si="106"/>
        <v>0</v>
      </c>
      <c r="BT43" s="542">
        <f t="shared" si="107"/>
        <v>0</v>
      </c>
      <c r="BU43" s="542">
        <f t="shared" si="108"/>
        <v>0</v>
      </c>
      <c r="BV43" s="542">
        <f t="shared" si="109"/>
        <v>0</v>
      </c>
      <c r="BW43" s="469">
        <f t="shared" si="59"/>
        <v>0</v>
      </c>
      <c r="BX43" s="177">
        <f t="shared" si="60"/>
        <v>0.70847079354528575</v>
      </c>
      <c r="BY43" s="5">
        <f t="shared" si="61"/>
        <v>5.7</v>
      </c>
      <c r="BZ43" s="177">
        <f t="shared" si="62"/>
        <v>0.88944776119462565</v>
      </c>
      <c r="CA43" s="5">
        <f t="shared" si="63"/>
        <v>88.94477611946256</v>
      </c>
      <c r="CD43" s="576">
        <f t="shared" si="110"/>
        <v>-50</v>
      </c>
      <c r="CE43">
        <f t="shared" si="111"/>
        <v>-50</v>
      </c>
    </row>
    <row r="44" spans="5:83" x14ac:dyDescent="0.25">
      <c r="E44" s="174">
        <v>39</v>
      </c>
      <c r="F44" s="221">
        <f t="shared" si="112"/>
        <v>0.39</v>
      </c>
      <c r="G44" s="221"/>
      <c r="H44" s="221">
        <f t="shared" si="64"/>
        <v>5.8500000000000005</v>
      </c>
      <c r="I44" s="555">
        <f t="shared" si="65"/>
        <v>15</v>
      </c>
      <c r="J44" s="176">
        <f t="shared" si="66"/>
        <v>23.85</v>
      </c>
      <c r="K44" s="451">
        <f t="shared" si="67"/>
        <v>38.85</v>
      </c>
      <c r="L44" s="451"/>
      <c r="M44" s="221">
        <f t="shared" si="68"/>
        <v>0.61389961389961389</v>
      </c>
      <c r="N44" s="176">
        <f t="shared" si="5"/>
        <v>17.933542471042468</v>
      </c>
      <c r="O44" s="176">
        <f t="shared" si="49"/>
        <v>5.8500000000000005</v>
      </c>
      <c r="P44" s="221">
        <f t="shared" si="69"/>
        <v>1.195569498069498</v>
      </c>
      <c r="Q44" s="221">
        <f t="shared" si="70"/>
        <v>15</v>
      </c>
      <c r="R44" s="221">
        <f t="shared" si="71"/>
        <v>1.2584942084942083</v>
      </c>
      <c r="S44" s="176">
        <f t="shared" si="72"/>
        <v>65.040333180312757</v>
      </c>
      <c r="T44" s="176">
        <f t="shared" si="73"/>
        <v>15</v>
      </c>
      <c r="U44" s="221">
        <f t="shared" si="74"/>
        <v>1.3374379344587886</v>
      </c>
      <c r="V44" s="221">
        <f t="shared" si="75"/>
        <v>0.62413770274743463</v>
      </c>
      <c r="W44" s="221">
        <f t="shared" si="76"/>
        <v>0.39253943569021044</v>
      </c>
      <c r="X44" s="201">
        <f t="shared" si="77"/>
        <v>350</v>
      </c>
      <c r="Y44" s="451">
        <f t="shared" si="50"/>
        <v>350</v>
      </c>
      <c r="AA44" s="221">
        <f t="shared" si="78"/>
        <v>3.7585690646915135</v>
      </c>
      <c r="AB44" s="177">
        <f t="shared" si="79"/>
        <v>1.1031439602868174</v>
      </c>
      <c r="AC44" s="177">
        <f t="shared" si="80"/>
        <v>1.0883887252967701</v>
      </c>
      <c r="AD44" s="177"/>
      <c r="AE44" s="177">
        <f t="shared" si="81"/>
        <v>0.24067085953878403</v>
      </c>
      <c r="AF44" s="559">
        <f t="shared" si="82"/>
        <v>2634.9111923174987</v>
      </c>
      <c r="AG44" s="542">
        <f t="shared" si="83"/>
        <v>5.1804402515723262E-2</v>
      </c>
      <c r="AI44" s="177">
        <f t="shared" si="84"/>
        <v>2.3083465981489488</v>
      </c>
      <c r="AJ44" s="177">
        <f t="shared" si="85"/>
        <v>2.3083465981489488</v>
      </c>
      <c r="AK44" s="177">
        <f t="shared" si="86"/>
        <v>2.302478961591814</v>
      </c>
      <c r="AM44" s="559">
        <f t="shared" si="87"/>
        <v>390</v>
      </c>
      <c r="AN44" s="469">
        <f t="shared" si="88"/>
        <v>350</v>
      </c>
      <c r="AP44">
        <f t="shared" si="89"/>
        <v>390</v>
      </c>
      <c r="AQ44" s="469">
        <f t="shared" si="90"/>
        <v>350</v>
      </c>
      <c r="AR44" s="469"/>
      <c r="AS44" s="5">
        <f t="shared" si="51"/>
        <v>2.8571428571428572</v>
      </c>
      <c r="AT44" s="5">
        <f t="shared" si="91"/>
        <v>1.0772284124695095</v>
      </c>
      <c r="AU44" s="5">
        <f t="shared" si="52"/>
        <v>1.7799144446733477</v>
      </c>
      <c r="AV44" s="5">
        <f t="shared" si="92"/>
        <v>0.67750214620723859</v>
      </c>
      <c r="AW44" s="177">
        <f t="shared" si="53"/>
        <v>0.3770299443643283</v>
      </c>
      <c r="AX44" s="177">
        <f t="shared" si="93"/>
        <v>6.5273684210526346</v>
      </c>
      <c r="AY44" s="177">
        <f t="shared" si="94"/>
        <v>1.078523106506448</v>
      </c>
      <c r="AZ44" s="177">
        <f t="shared" si="54"/>
        <v>6.0521359085166804</v>
      </c>
      <c r="BA44" s="469">
        <f t="shared" si="95"/>
        <v>17.027319442995115</v>
      </c>
      <c r="BB44" s="469">
        <f t="shared" si="96"/>
        <v>7.4335906666666673</v>
      </c>
      <c r="BC44" s="5">
        <f t="shared" si="97"/>
        <v>0.97426895918962197</v>
      </c>
      <c r="BD44" s="469">
        <f t="shared" si="98"/>
        <v>74.301750886590071</v>
      </c>
      <c r="BE44" s="5"/>
      <c r="BF44" s="177">
        <f t="shared" si="55"/>
        <v>0.81832969964167401</v>
      </c>
      <c r="BG44" s="177">
        <f t="shared" si="99"/>
        <v>1.5778482639117093</v>
      </c>
      <c r="BH44" s="177"/>
      <c r="BI44" s="542">
        <f t="shared" si="100"/>
        <v>7.3662984704719575E-2</v>
      </c>
      <c r="BJ44" s="542">
        <f t="shared" si="101"/>
        <v>0.15693871434165166</v>
      </c>
      <c r="BK44" s="542">
        <f t="shared" si="102"/>
        <v>1.7499999999999998E-2</v>
      </c>
      <c r="BL44" s="542">
        <f t="shared" si="103"/>
        <v>0.11885914687500002</v>
      </c>
      <c r="BM44">
        <f t="shared" si="104"/>
        <v>4.3499999999999997E-3</v>
      </c>
      <c r="BN44" s="469">
        <f t="shared" si="56"/>
        <v>371.31084592137125</v>
      </c>
      <c r="BO44" s="542">
        <f t="shared" si="105"/>
        <v>0.35100000000000003</v>
      </c>
      <c r="BP44" s="542"/>
      <c r="BR44" s="469">
        <f t="shared" si="58"/>
        <v>351.00000000000006</v>
      </c>
      <c r="BS44" s="542">
        <f t="shared" si="106"/>
        <v>0</v>
      </c>
      <c r="BT44" s="542">
        <f t="shared" si="107"/>
        <v>0</v>
      </c>
      <c r="BU44" s="542">
        <f t="shared" si="108"/>
        <v>0</v>
      </c>
      <c r="BV44" s="542">
        <f t="shared" si="109"/>
        <v>0</v>
      </c>
      <c r="BW44" s="469">
        <f t="shared" si="59"/>
        <v>0</v>
      </c>
      <c r="BX44" s="177">
        <f t="shared" si="60"/>
        <v>0.72231084592137129</v>
      </c>
      <c r="BY44" s="5">
        <f t="shared" si="61"/>
        <v>5.8500000000000005</v>
      </c>
      <c r="BZ44" s="177">
        <f t="shared" si="62"/>
        <v>0.89009788750791952</v>
      </c>
      <c r="CA44" s="5">
        <f t="shared" si="63"/>
        <v>89.009788750791955</v>
      </c>
      <c r="CD44" s="576">
        <f t="shared" si="110"/>
        <v>-50</v>
      </c>
      <c r="CE44">
        <f t="shared" si="111"/>
        <v>-50</v>
      </c>
    </row>
    <row r="45" spans="5:83" x14ac:dyDescent="0.25">
      <c r="E45" s="174">
        <v>40</v>
      </c>
      <c r="F45" s="221">
        <f t="shared" si="112"/>
        <v>0.4</v>
      </c>
      <c r="G45" s="221"/>
      <c r="H45" s="221">
        <f t="shared" si="64"/>
        <v>6</v>
      </c>
      <c r="I45" s="555">
        <f t="shared" si="65"/>
        <v>15</v>
      </c>
      <c r="J45" s="176">
        <f t="shared" si="66"/>
        <v>23.85</v>
      </c>
      <c r="K45" s="451">
        <f t="shared" si="67"/>
        <v>38.85</v>
      </c>
      <c r="L45" s="451"/>
      <c r="M45" s="221">
        <f t="shared" si="68"/>
        <v>0.61389961389961389</v>
      </c>
      <c r="N45" s="176">
        <f t="shared" si="5"/>
        <v>17.933542471042468</v>
      </c>
      <c r="O45" s="176">
        <f t="shared" si="49"/>
        <v>6</v>
      </c>
      <c r="P45" s="221">
        <f t="shared" si="69"/>
        <v>1.195569498069498</v>
      </c>
      <c r="Q45" s="221">
        <f t="shared" si="70"/>
        <v>15</v>
      </c>
      <c r="R45" s="221">
        <f t="shared" si="71"/>
        <v>1.2584942084942083</v>
      </c>
      <c r="S45" s="176">
        <f t="shared" si="72"/>
        <v>63.171717593783882</v>
      </c>
      <c r="T45" s="176">
        <f t="shared" si="73"/>
        <v>15</v>
      </c>
      <c r="U45" s="221">
        <f t="shared" si="74"/>
        <v>1.3717312148295266</v>
      </c>
      <c r="V45" s="221">
        <f t="shared" si="75"/>
        <v>0.64014123358711239</v>
      </c>
      <c r="W45" s="221">
        <f t="shared" si="76"/>
        <v>0.40260454942585683</v>
      </c>
      <c r="X45" s="201">
        <f t="shared" si="77"/>
        <v>350</v>
      </c>
      <c r="Y45" s="451">
        <f t="shared" si="50"/>
        <v>350</v>
      </c>
      <c r="AA45" s="221">
        <f t="shared" si="78"/>
        <v>3.7585690646915135</v>
      </c>
      <c r="AB45" s="177">
        <f t="shared" si="79"/>
        <v>1.1031439602868174</v>
      </c>
      <c r="AC45" s="177">
        <f t="shared" si="80"/>
        <v>1.0883887252967701</v>
      </c>
      <c r="AD45" s="177"/>
      <c r="AE45" s="177">
        <f t="shared" si="81"/>
        <v>0.24067085953878403</v>
      </c>
      <c r="AF45" s="559">
        <f t="shared" si="82"/>
        <v>2702.4730177615374</v>
      </c>
      <c r="AG45" s="542">
        <f t="shared" si="83"/>
        <v>5.1804402515723262E-2</v>
      </c>
      <c r="AI45" s="177">
        <f t="shared" si="84"/>
        <v>2.337753472819101</v>
      </c>
      <c r="AJ45" s="177">
        <f t="shared" si="85"/>
        <v>2.337753472819101</v>
      </c>
      <c r="AK45" s="177">
        <f t="shared" si="86"/>
        <v>2.3242618317178527</v>
      </c>
      <c r="AM45" s="559">
        <f t="shared" si="87"/>
        <v>400</v>
      </c>
      <c r="AN45" s="469">
        <f t="shared" si="88"/>
        <v>350</v>
      </c>
      <c r="AP45">
        <f t="shared" si="89"/>
        <v>400</v>
      </c>
      <c r="AQ45" s="469">
        <f t="shared" si="90"/>
        <v>350</v>
      </c>
      <c r="AR45" s="469"/>
      <c r="AS45" s="5">
        <f t="shared" si="51"/>
        <v>2.8571428571428572</v>
      </c>
      <c r="AT45" s="5">
        <f t="shared" si="91"/>
        <v>1.0909516206489136</v>
      </c>
      <c r="AU45" s="5">
        <f t="shared" si="52"/>
        <v>1.7661912364939436</v>
      </c>
      <c r="AV45" s="5">
        <f t="shared" si="92"/>
        <v>0.68613309474774442</v>
      </c>
      <c r="AW45" s="177">
        <f t="shared" si="53"/>
        <v>0.38183306722711974</v>
      </c>
      <c r="AX45" s="177">
        <f t="shared" si="93"/>
        <v>6.6947368421052644</v>
      </c>
      <c r="AY45" s="177">
        <f t="shared" si="94"/>
        <v>1.0838414204037994</v>
      </c>
      <c r="AZ45" s="177">
        <f t="shared" si="54"/>
        <v>6.1768601163176182</v>
      </c>
      <c r="BA45" s="469">
        <f t="shared" si="95"/>
        <v>17.027319442995115</v>
      </c>
      <c r="BB45" s="469">
        <f t="shared" si="96"/>
        <v>7.7889185185185195</v>
      </c>
      <c r="BC45" s="5">
        <f t="shared" si="97"/>
        <v>0.99154595732993334</v>
      </c>
      <c r="BD45" s="469">
        <f t="shared" si="98"/>
        <v>75.629104694481839</v>
      </c>
      <c r="BE45" s="5"/>
      <c r="BF45" s="177">
        <f t="shared" si="55"/>
        <v>0.83401690103422732</v>
      </c>
      <c r="BG45" s="177">
        <f t="shared" si="99"/>
        <v>1.5917770084198886</v>
      </c>
      <c r="BH45" s="177"/>
      <c r="BI45" s="542">
        <f t="shared" si="100"/>
        <v>7.6514261033180972E-2</v>
      </c>
      <c r="BJ45" s="542">
        <f t="shared" si="101"/>
        <v>0.15893801423328863</v>
      </c>
      <c r="BK45" s="542">
        <f t="shared" si="102"/>
        <v>1.7499999999999998E-2</v>
      </c>
      <c r="BL45" s="542">
        <f t="shared" si="103"/>
        <v>0.11885914687500002</v>
      </c>
      <c r="BM45">
        <f t="shared" si="104"/>
        <v>4.3499999999999997E-3</v>
      </c>
      <c r="BN45" s="469">
        <f t="shared" si="56"/>
        <v>376.1614221414697</v>
      </c>
      <c r="BO45" s="542">
        <f t="shared" si="105"/>
        <v>0.36000000000000004</v>
      </c>
      <c r="BP45" s="542"/>
      <c r="BR45" s="469">
        <f t="shared" si="58"/>
        <v>360.00000000000006</v>
      </c>
      <c r="BS45" s="542">
        <f t="shared" si="106"/>
        <v>0</v>
      </c>
      <c r="BT45" s="542">
        <f t="shared" si="107"/>
        <v>0</v>
      </c>
      <c r="BU45" s="542">
        <f t="shared" si="108"/>
        <v>0</v>
      </c>
      <c r="BV45" s="542">
        <f t="shared" si="109"/>
        <v>0</v>
      </c>
      <c r="BW45" s="469">
        <f t="shared" si="59"/>
        <v>0</v>
      </c>
      <c r="BX45" s="177">
        <f t="shared" si="60"/>
        <v>0.73616142214146973</v>
      </c>
      <c r="BY45" s="5">
        <f t="shared" si="61"/>
        <v>6</v>
      </c>
      <c r="BZ45" s="177">
        <f t="shared" si="62"/>
        <v>0.89071499686427658</v>
      </c>
      <c r="CA45" s="5">
        <f t="shared" si="63"/>
        <v>89.071499686427657</v>
      </c>
      <c r="CD45" s="576">
        <f t="shared" si="110"/>
        <v>-50</v>
      </c>
      <c r="CE45">
        <f t="shared" si="111"/>
        <v>-50</v>
      </c>
    </row>
    <row r="46" spans="5:83" x14ac:dyDescent="0.25">
      <c r="E46" s="174">
        <v>41</v>
      </c>
      <c r="F46" s="221">
        <f t="shared" si="112"/>
        <v>0.41</v>
      </c>
      <c r="G46" s="221"/>
      <c r="H46" s="221">
        <f t="shared" si="64"/>
        <v>6.1499999999999995</v>
      </c>
      <c r="I46" s="555">
        <f t="shared" si="65"/>
        <v>15</v>
      </c>
      <c r="J46" s="176">
        <f t="shared" si="66"/>
        <v>23.85</v>
      </c>
      <c r="K46" s="451">
        <f t="shared" si="67"/>
        <v>38.85</v>
      </c>
      <c r="L46" s="451"/>
      <c r="M46" s="221">
        <f t="shared" si="68"/>
        <v>0.61389961389961389</v>
      </c>
      <c r="N46" s="176">
        <f t="shared" si="5"/>
        <v>17.933542471042468</v>
      </c>
      <c r="O46" s="176">
        <f t="shared" si="49"/>
        <v>6.1499999999999995</v>
      </c>
      <c r="P46" s="221">
        <f t="shared" si="69"/>
        <v>1.195569498069498</v>
      </c>
      <c r="Q46" s="221">
        <f t="shared" si="70"/>
        <v>15</v>
      </c>
      <c r="R46" s="221">
        <f t="shared" si="71"/>
        <v>1.2584942084942083</v>
      </c>
      <c r="S46" s="176">
        <f t="shared" si="72"/>
        <v>61.394475091679546</v>
      </c>
      <c r="T46" s="176">
        <f t="shared" si="73"/>
        <v>15</v>
      </c>
      <c r="U46" s="221">
        <f t="shared" si="74"/>
        <v>1.4060244952002647</v>
      </c>
      <c r="V46" s="221">
        <f t="shared" si="75"/>
        <v>0.65614476442679015</v>
      </c>
      <c r="W46" s="221">
        <f t="shared" si="76"/>
        <v>0.41266966316150322</v>
      </c>
      <c r="X46" s="201">
        <f t="shared" si="77"/>
        <v>350</v>
      </c>
      <c r="Y46" s="451">
        <f t="shared" si="50"/>
        <v>350</v>
      </c>
      <c r="AA46" s="221">
        <f t="shared" si="78"/>
        <v>3.7585690646915135</v>
      </c>
      <c r="AB46" s="177">
        <f t="shared" si="79"/>
        <v>1.1031439602868174</v>
      </c>
      <c r="AC46" s="177">
        <f t="shared" si="80"/>
        <v>1.0883887252967701</v>
      </c>
      <c r="AD46" s="177"/>
      <c r="AE46" s="177">
        <f t="shared" si="81"/>
        <v>0.24067085953878403</v>
      </c>
      <c r="AF46" s="559">
        <f t="shared" si="82"/>
        <v>2770.0348432055753</v>
      </c>
      <c r="AG46" s="542">
        <f t="shared" si="83"/>
        <v>5.1804402515723262E-2</v>
      </c>
      <c r="AI46" s="177">
        <f t="shared" si="84"/>
        <v>2.3667950021431325</v>
      </c>
      <c r="AJ46" s="177">
        <f t="shared" si="85"/>
        <v>2.3667950021431325</v>
      </c>
      <c r="AK46" s="177">
        <f t="shared" si="86"/>
        <v>2.3457740756615797</v>
      </c>
      <c r="AM46" s="559">
        <f t="shared" si="87"/>
        <v>410</v>
      </c>
      <c r="AN46" s="469">
        <f t="shared" si="88"/>
        <v>350</v>
      </c>
      <c r="AP46">
        <f t="shared" si="89"/>
        <v>410</v>
      </c>
      <c r="AQ46" s="469">
        <f t="shared" si="90"/>
        <v>350</v>
      </c>
      <c r="AR46" s="469"/>
      <c r="AS46" s="5">
        <f t="shared" si="51"/>
        <v>2.8571428571428572</v>
      </c>
      <c r="AT46" s="5">
        <f t="shared" si="91"/>
        <v>1.104504334333462</v>
      </c>
      <c r="AU46" s="5">
        <f t="shared" si="52"/>
        <v>1.7526385228093952</v>
      </c>
      <c r="AV46" s="5">
        <f t="shared" si="92"/>
        <v>0.69465681404620239</v>
      </c>
      <c r="AW46" s="177">
        <f t="shared" si="53"/>
        <v>0.3865765170167117</v>
      </c>
      <c r="AX46" s="177">
        <f t="shared" si="93"/>
        <v>6.862105263157896</v>
      </c>
      <c r="AY46" s="177">
        <f t="shared" si="94"/>
        <v>1.0888857252915598</v>
      </c>
      <c r="AZ46" s="177">
        <f t="shared" si="54"/>
        <v>6.3019517142815884</v>
      </c>
      <c r="BA46" s="469">
        <f t="shared" si="95"/>
        <v>17.027319442995115</v>
      </c>
      <c r="BB46" s="469">
        <f t="shared" si="96"/>
        <v>8.1524825185185161</v>
      </c>
      <c r="BC46" s="5">
        <f t="shared" si="97"/>
        <v>1.0085358517218976</v>
      </c>
      <c r="BD46" s="469">
        <f t="shared" si="98"/>
        <v>76.934925721247595</v>
      </c>
      <c r="BE46" s="5"/>
      <c r="BF46" s="177">
        <f t="shared" si="55"/>
        <v>0.8496063517502207</v>
      </c>
      <c r="BG46" s="177">
        <f t="shared" si="99"/>
        <v>1.6053564378433418</v>
      </c>
      <c r="BH46" s="177"/>
      <c r="BI46" s="542">
        <f t="shared" si="100"/>
        <v>7.9401404822775176E-2</v>
      </c>
      <c r="BJ46" s="542">
        <f t="shared" si="101"/>
        <v>0.16091247520820623</v>
      </c>
      <c r="BK46" s="542">
        <f t="shared" si="102"/>
        <v>1.7499999999999998E-2</v>
      </c>
      <c r="BL46" s="542">
        <f t="shared" si="103"/>
        <v>0.11885914687500002</v>
      </c>
      <c r="BM46">
        <f t="shared" si="104"/>
        <v>4.3499999999999997E-3</v>
      </c>
      <c r="BN46" s="469">
        <f t="shared" si="56"/>
        <v>381.02302690598151</v>
      </c>
      <c r="BO46" s="542">
        <f t="shared" si="105"/>
        <v>0.36899999999999999</v>
      </c>
      <c r="BP46" s="542"/>
      <c r="BR46" s="469">
        <f t="shared" si="58"/>
        <v>369</v>
      </c>
      <c r="BS46" s="542">
        <f t="shared" si="106"/>
        <v>0</v>
      </c>
      <c r="BT46" s="542">
        <f t="shared" si="107"/>
        <v>0</v>
      </c>
      <c r="BU46" s="542">
        <f t="shared" si="108"/>
        <v>0</v>
      </c>
      <c r="BV46" s="542">
        <f t="shared" si="109"/>
        <v>0</v>
      </c>
      <c r="BW46" s="469">
        <f t="shared" si="59"/>
        <v>0</v>
      </c>
      <c r="BX46" s="177">
        <f t="shared" si="60"/>
        <v>0.75002302690598155</v>
      </c>
      <c r="BY46" s="5">
        <f t="shared" si="61"/>
        <v>6.1499999999999995</v>
      </c>
      <c r="BZ46" s="177">
        <f t="shared" si="62"/>
        <v>0.89130137334595294</v>
      </c>
      <c r="CA46" s="5">
        <f t="shared" si="63"/>
        <v>89.13013733459529</v>
      </c>
      <c r="CD46" s="576">
        <f t="shared" si="110"/>
        <v>-50</v>
      </c>
      <c r="CE46">
        <f t="shared" si="111"/>
        <v>-50</v>
      </c>
    </row>
    <row r="47" spans="5:83" x14ac:dyDescent="0.25">
      <c r="E47" s="174">
        <v>42</v>
      </c>
      <c r="F47" s="221">
        <f t="shared" si="112"/>
        <v>0.42</v>
      </c>
      <c r="G47" s="221"/>
      <c r="H47" s="221">
        <f t="shared" si="64"/>
        <v>6.3</v>
      </c>
      <c r="I47" s="555">
        <f t="shared" si="65"/>
        <v>15</v>
      </c>
      <c r="J47" s="176">
        <f t="shared" si="66"/>
        <v>23.85</v>
      </c>
      <c r="K47" s="451">
        <f t="shared" si="67"/>
        <v>38.85</v>
      </c>
      <c r="L47" s="451"/>
      <c r="M47" s="221">
        <f t="shared" si="68"/>
        <v>0.61389961389961389</v>
      </c>
      <c r="N47" s="176">
        <f t="shared" si="5"/>
        <v>17.933542471042468</v>
      </c>
      <c r="O47" s="176">
        <f t="shared" si="49"/>
        <v>6.3</v>
      </c>
      <c r="P47" s="221">
        <f t="shared" si="69"/>
        <v>1.195569498069498</v>
      </c>
      <c r="Q47" s="221">
        <f t="shared" si="70"/>
        <v>15</v>
      </c>
      <c r="R47" s="221">
        <f t="shared" si="71"/>
        <v>1.2584942084942083</v>
      </c>
      <c r="S47" s="176">
        <f t="shared" si="72"/>
        <v>59.702081179800892</v>
      </c>
      <c r="T47" s="176">
        <f t="shared" si="73"/>
        <v>15</v>
      </c>
      <c r="U47" s="221">
        <f t="shared" si="74"/>
        <v>1.440317775571003</v>
      </c>
      <c r="V47" s="221">
        <f t="shared" si="75"/>
        <v>0.67214829526646802</v>
      </c>
      <c r="W47" s="221">
        <f t="shared" si="76"/>
        <v>0.42273477689714972</v>
      </c>
      <c r="X47" s="201">
        <f t="shared" si="77"/>
        <v>350</v>
      </c>
      <c r="Y47" s="451">
        <f t="shared" si="50"/>
        <v>350</v>
      </c>
      <c r="AA47" s="221">
        <f t="shared" si="78"/>
        <v>3.7585690646915135</v>
      </c>
      <c r="AB47" s="177">
        <f t="shared" si="79"/>
        <v>1.1031439602868174</v>
      </c>
      <c r="AC47" s="177">
        <f t="shared" si="80"/>
        <v>1.0883887252967701</v>
      </c>
      <c r="AD47" s="177"/>
      <c r="AE47" s="177">
        <f t="shared" si="81"/>
        <v>0.24067085953878403</v>
      </c>
      <c r="AF47" s="559">
        <f t="shared" si="82"/>
        <v>2837.596668649614</v>
      </c>
      <c r="AG47" s="542">
        <f t="shared" si="83"/>
        <v>5.1804402515723262E-2</v>
      </c>
      <c r="AI47" s="177">
        <f t="shared" si="84"/>
        <v>2.3954844738928398</v>
      </c>
      <c r="AJ47" s="177">
        <f t="shared" si="85"/>
        <v>2.3954844738928398</v>
      </c>
      <c r="AK47" s="177">
        <f t="shared" si="86"/>
        <v>2.3670255362169184</v>
      </c>
      <c r="AM47" s="559">
        <f t="shared" si="87"/>
        <v>420</v>
      </c>
      <c r="AN47" s="469">
        <f t="shared" si="88"/>
        <v>350</v>
      </c>
      <c r="AP47">
        <f t="shared" si="89"/>
        <v>420</v>
      </c>
      <c r="AQ47" s="469">
        <f t="shared" si="90"/>
        <v>350</v>
      </c>
      <c r="AR47" s="469"/>
      <c r="AS47" s="5">
        <f t="shared" si="51"/>
        <v>2.8571428571428572</v>
      </c>
      <c r="AT47" s="5">
        <f t="shared" si="91"/>
        <v>1.1178927544833253</v>
      </c>
      <c r="AU47" s="5">
        <f t="shared" si="52"/>
        <v>1.7392501026595319</v>
      </c>
      <c r="AV47" s="5">
        <f t="shared" si="92"/>
        <v>0.70307720407756291</v>
      </c>
      <c r="AW47" s="177">
        <f t="shared" si="53"/>
        <v>0.39126246406916382</v>
      </c>
      <c r="AX47" s="177">
        <f t="shared" si="93"/>
        <v>7.0294736842105285</v>
      </c>
      <c r="AY47" s="177">
        <f t="shared" si="94"/>
        <v>1.0936659869985772</v>
      </c>
      <c r="AZ47" s="177">
        <f t="shared" si="54"/>
        <v>6.427441072298496</v>
      </c>
      <c r="BA47" s="469">
        <f t="shared" si="95"/>
        <v>17.027319442995115</v>
      </c>
      <c r="BB47" s="469">
        <f t="shared" si="96"/>
        <v>8.5242826666666645</v>
      </c>
      <c r="BC47" s="5">
        <f t="shared" si="97"/>
        <v>1.0252421657782504</v>
      </c>
      <c r="BD47" s="469">
        <f t="shared" si="98"/>
        <v>78.219478222842469</v>
      </c>
      <c r="BE47" s="5"/>
      <c r="BF47" s="177">
        <f t="shared" si="55"/>
        <v>0.86510102352049345</v>
      </c>
      <c r="BG47" s="177">
        <f t="shared" si="99"/>
        <v>1.6185981253788047</v>
      </c>
      <c r="BH47" s="177"/>
      <c r="BI47" s="542">
        <f t="shared" si="100"/>
        <v>8.2323975898582591E-2</v>
      </c>
      <c r="BJ47" s="542">
        <f t="shared" si="101"/>
        <v>0.16286300066878948</v>
      </c>
      <c r="BK47" s="542">
        <f t="shared" si="102"/>
        <v>1.7499999999999998E-2</v>
      </c>
      <c r="BL47" s="542">
        <f t="shared" si="103"/>
        <v>0.11885914687500002</v>
      </c>
      <c r="BM47">
        <f t="shared" si="104"/>
        <v>4.3499999999999997E-3</v>
      </c>
      <c r="BN47" s="469">
        <f t="shared" si="56"/>
        <v>385.89612344237207</v>
      </c>
      <c r="BO47" s="542">
        <f t="shared" si="105"/>
        <v>0.378</v>
      </c>
      <c r="BP47" s="542"/>
      <c r="BR47" s="469">
        <f t="shared" si="58"/>
        <v>378</v>
      </c>
      <c r="BS47" s="542">
        <f t="shared" si="106"/>
        <v>0</v>
      </c>
      <c r="BT47" s="542">
        <f t="shared" si="107"/>
        <v>0</v>
      </c>
      <c r="BU47" s="542">
        <f t="shared" si="108"/>
        <v>0</v>
      </c>
      <c r="BV47" s="542">
        <f t="shared" si="109"/>
        <v>0</v>
      </c>
      <c r="BW47" s="469">
        <f t="shared" si="59"/>
        <v>0</v>
      </c>
      <c r="BX47" s="177">
        <f t="shared" si="60"/>
        <v>0.76389612344237201</v>
      </c>
      <c r="BY47" s="5">
        <f t="shared" si="61"/>
        <v>6.3</v>
      </c>
      <c r="BZ47" s="177">
        <f t="shared" si="62"/>
        <v>0.89185909445818545</v>
      </c>
      <c r="CA47" s="5">
        <f t="shared" si="63"/>
        <v>89.185909445818538</v>
      </c>
      <c r="CD47" s="576">
        <f t="shared" si="110"/>
        <v>-50</v>
      </c>
      <c r="CE47">
        <f t="shared" si="111"/>
        <v>-50</v>
      </c>
    </row>
    <row r="48" spans="5:83" x14ac:dyDescent="0.25">
      <c r="E48" s="174">
        <v>43</v>
      </c>
      <c r="F48" s="221">
        <f t="shared" si="112"/>
        <v>0.43</v>
      </c>
      <c r="G48" s="221"/>
      <c r="H48" s="221">
        <f t="shared" si="64"/>
        <v>6.45</v>
      </c>
      <c r="I48" s="555">
        <f t="shared" si="65"/>
        <v>15</v>
      </c>
      <c r="J48" s="176">
        <f t="shared" si="66"/>
        <v>23.85</v>
      </c>
      <c r="K48" s="451">
        <f t="shared" si="67"/>
        <v>38.85</v>
      </c>
      <c r="L48" s="451"/>
      <c r="M48" s="221">
        <f t="shared" si="68"/>
        <v>0.61389961389961389</v>
      </c>
      <c r="N48" s="176">
        <f t="shared" si="5"/>
        <v>17.933542471042468</v>
      </c>
      <c r="O48" s="176">
        <f t="shared" si="49"/>
        <v>6.45</v>
      </c>
      <c r="P48" s="221">
        <f t="shared" si="69"/>
        <v>1.195569498069498</v>
      </c>
      <c r="Q48" s="221">
        <f t="shared" si="70"/>
        <v>15</v>
      </c>
      <c r="R48" s="221">
        <f t="shared" si="71"/>
        <v>1.2584942084942083</v>
      </c>
      <c r="S48" s="176">
        <f t="shared" si="72"/>
        <v>58.088618317117849</v>
      </c>
      <c r="T48" s="176">
        <f t="shared" si="73"/>
        <v>15</v>
      </c>
      <c r="U48" s="221">
        <f t="shared" si="74"/>
        <v>1.4746110559417411</v>
      </c>
      <c r="V48" s="221">
        <f t="shared" si="75"/>
        <v>0.68815182610614578</v>
      </c>
      <c r="W48" s="221">
        <f t="shared" si="76"/>
        <v>0.43279989063279611</v>
      </c>
      <c r="X48" s="201">
        <f t="shared" si="77"/>
        <v>350</v>
      </c>
      <c r="Y48" s="451">
        <f t="shared" si="50"/>
        <v>350</v>
      </c>
      <c r="AA48" s="221">
        <f t="shared" si="78"/>
        <v>3.7585690646915135</v>
      </c>
      <c r="AB48" s="177">
        <f t="shared" si="79"/>
        <v>1.1031439602868174</v>
      </c>
      <c r="AC48" s="177">
        <f t="shared" si="80"/>
        <v>1.0883887252967701</v>
      </c>
      <c r="AD48" s="177"/>
      <c r="AE48" s="177">
        <f t="shared" si="81"/>
        <v>0.24067085953878403</v>
      </c>
      <c r="AF48" s="559">
        <f t="shared" si="82"/>
        <v>2905.1584940936523</v>
      </c>
      <c r="AG48" s="542">
        <f t="shared" si="83"/>
        <v>5.1804402515723262E-2</v>
      </c>
      <c r="AI48" s="177">
        <f t="shared" si="84"/>
        <v>2.4238343893825749</v>
      </c>
      <c r="AJ48" s="177">
        <f t="shared" si="85"/>
        <v>2.4238343893825749</v>
      </c>
      <c r="AK48" s="177">
        <f t="shared" si="86"/>
        <v>2.3880254736167221</v>
      </c>
      <c r="AM48" s="559">
        <f t="shared" si="87"/>
        <v>430</v>
      </c>
      <c r="AN48" s="469">
        <f t="shared" si="88"/>
        <v>350</v>
      </c>
      <c r="AP48">
        <f t="shared" si="89"/>
        <v>430</v>
      </c>
      <c r="AQ48" s="469">
        <f t="shared" si="90"/>
        <v>350</v>
      </c>
      <c r="AR48" s="469"/>
      <c r="AS48" s="5">
        <f t="shared" si="51"/>
        <v>2.8571428571428572</v>
      </c>
      <c r="AT48" s="5">
        <f t="shared" si="91"/>
        <v>1.1311227150452015</v>
      </c>
      <c r="AU48" s="5">
        <f t="shared" si="52"/>
        <v>1.7260201420976558</v>
      </c>
      <c r="AV48" s="5">
        <f t="shared" si="92"/>
        <v>0.71139793399069273</v>
      </c>
      <c r="AW48" s="177">
        <f t="shared" si="53"/>
        <v>0.3958929502658205</v>
      </c>
      <c r="AX48" s="177">
        <f t="shared" si="93"/>
        <v>7.1968421052631593</v>
      </c>
      <c r="AY48" s="177">
        <f t="shared" si="94"/>
        <v>1.0981915815106154</v>
      </c>
      <c r="AZ48" s="177">
        <f t="shared" si="54"/>
        <v>6.5533575620417315</v>
      </c>
      <c r="BA48" s="469">
        <f t="shared" si="95"/>
        <v>17.027319442995115</v>
      </c>
      <c r="BB48" s="469">
        <f t="shared" si="96"/>
        <v>8.9043189629629609</v>
      </c>
      <c r="BC48" s="5">
        <f t="shared" si="97"/>
        <v>1.0416682962834976</v>
      </c>
      <c r="BD48" s="469">
        <f t="shared" si="98"/>
        <v>79.4830169581044</v>
      </c>
      <c r="BE48" s="5"/>
      <c r="BF48" s="177">
        <f t="shared" si="55"/>
        <v>0.88050372930482446</v>
      </c>
      <c r="BG48" s="177">
        <f t="shared" si="99"/>
        <v>1.6315129547128537</v>
      </c>
      <c r="BH48" s="177"/>
      <c r="BI48" s="542">
        <f t="shared" si="100"/>
        <v>8.5281549905167398E-2</v>
      </c>
      <c r="BJ48" s="542">
        <f t="shared" si="101"/>
        <v>0.16479044054814782</v>
      </c>
      <c r="BK48" s="542">
        <f t="shared" si="102"/>
        <v>1.7499999999999998E-2</v>
      </c>
      <c r="BL48" s="542">
        <f t="shared" si="103"/>
        <v>0.11885914687500002</v>
      </c>
      <c r="BM48">
        <f t="shared" si="104"/>
        <v>4.3499999999999997E-3</v>
      </c>
      <c r="BN48" s="469">
        <f t="shared" si="56"/>
        <v>390.78113732831525</v>
      </c>
      <c r="BO48" s="542">
        <f t="shared" si="105"/>
        <v>0.38700000000000001</v>
      </c>
      <c r="BP48" s="542"/>
      <c r="BR48" s="469">
        <f t="shared" si="58"/>
        <v>387</v>
      </c>
      <c r="BS48" s="542">
        <f t="shared" si="106"/>
        <v>0</v>
      </c>
      <c r="BT48" s="542">
        <f t="shared" si="107"/>
        <v>0</v>
      </c>
      <c r="BU48" s="542">
        <f t="shared" si="108"/>
        <v>0</v>
      </c>
      <c r="BV48" s="542">
        <f t="shared" si="109"/>
        <v>0</v>
      </c>
      <c r="BW48" s="469">
        <f t="shared" si="59"/>
        <v>0</v>
      </c>
      <c r="BX48" s="177">
        <f t="shared" si="60"/>
        <v>0.77778113732831522</v>
      </c>
      <c r="BY48" s="5">
        <f t="shared" si="61"/>
        <v>6.45</v>
      </c>
      <c r="BZ48" s="177">
        <f t="shared" si="62"/>
        <v>0.89239005407739636</v>
      </c>
      <c r="CA48" s="5">
        <f t="shared" si="63"/>
        <v>89.23900540773964</v>
      </c>
      <c r="CD48" s="576">
        <f t="shared" si="110"/>
        <v>-50</v>
      </c>
      <c r="CE48">
        <f t="shared" si="111"/>
        <v>-50</v>
      </c>
    </row>
    <row r="49" spans="5:83" x14ac:dyDescent="0.25">
      <c r="E49" s="174">
        <v>44</v>
      </c>
      <c r="F49" s="221">
        <f t="shared" si="112"/>
        <v>0.44</v>
      </c>
      <c r="G49" s="221"/>
      <c r="H49" s="221">
        <f t="shared" si="64"/>
        <v>6.6</v>
      </c>
      <c r="I49" s="555">
        <f t="shared" si="65"/>
        <v>15</v>
      </c>
      <c r="J49" s="176">
        <f t="shared" si="66"/>
        <v>23.85</v>
      </c>
      <c r="K49" s="451">
        <f t="shared" si="67"/>
        <v>38.85</v>
      </c>
      <c r="L49" s="451"/>
      <c r="M49" s="221">
        <f t="shared" si="68"/>
        <v>0.61389961389961389</v>
      </c>
      <c r="N49" s="176">
        <f t="shared" si="5"/>
        <v>17.933542471042468</v>
      </c>
      <c r="O49" s="176">
        <f t="shared" si="49"/>
        <v>6.6</v>
      </c>
      <c r="P49" s="221">
        <f t="shared" si="69"/>
        <v>1.195569498069498</v>
      </c>
      <c r="Q49" s="221">
        <f t="shared" si="70"/>
        <v>15</v>
      </c>
      <c r="R49" s="221">
        <f t="shared" si="71"/>
        <v>1.2584942084942083</v>
      </c>
      <c r="S49" s="176">
        <f t="shared" si="72"/>
        <v>56.548706944050615</v>
      </c>
      <c r="T49" s="176">
        <f t="shared" si="73"/>
        <v>15</v>
      </c>
      <c r="U49" s="221">
        <f t="shared" si="74"/>
        <v>1.5089043363124792</v>
      </c>
      <c r="V49" s="221">
        <f t="shared" si="75"/>
        <v>0.70415535694582365</v>
      </c>
      <c r="W49" s="221">
        <f t="shared" si="76"/>
        <v>0.44286500436844251</v>
      </c>
      <c r="X49" s="201">
        <f t="shared" si="77"/>
        <v>350</v>
      </c>
      <c r="Y49" s="451">
        <f t="shared" si="50"/>
        <v>350</v>
      </c>
      <c r="AA49" s="221">
        <f t="shared" si="78"/>
        <v>3.7585690646915135</v>
      </c>
      <c r="AB49" s="177">
        <f t="shared" si="79"/>
        <v>1.1031439602868174</v>
      </c>
      <c r="AC49" s="177">
        <f t="shared" si="80"/>
        <v>1.0883887252967701</v>
      </c>
      <c r="AD49" s="177"/>
      <c r="AE49" s="177">
        <f t="shared" si="81"/>
        <v>0.24067085953878403</v>
      </c>
      <c r="AF49" s="559">
        <f t="shared" si="82"/>
        <v>2972.720319537691</v>
      </c>
      <c r="AG49" s="542">
        <f t="shared" si="83"/>
        <v>5.1804402515723262E-2</v>
      </c>
      <c r="AI49" s="177">
        <f t="shared" si="84"/>
        <v>2.4518565271331729</v>
      </c>
      <c r="AJ49" s="177">
        <f t="shared" si="85"/>
        <v>2.4518565271331729</v>
      </c>
      <c r="AK49" s="177">
        <f t="shared" si="86"/>
        <v>2.4087826126912395</v>
      </c>
      <c r="AM49" s="559">
        <f t="shared" si="87"/>
        <v>440</v>
      </c>
      <c r="AN49" s="469">
        <f t="shared" si="88"/>
        <v>350</v>
      </c>
      <c r="AP49">
        <f t="shared" si="89"/>
        <v>440</v>
      </c>
      <c r="AQ49" s="469">
        <f t="shared" si="90"/>
        <v>350</v>
      </c>
      <c r="AR49" s="469"/>
      <c r="AS49" s="5">
        <f t="shared" si="51"/>
        <v>2.8571428571428572</v>
      </c>
      <c r="AT49" s="5">
        <f t="shared" si="91"/>
        <v>1.1441997126621473</v>
      </c>
      <c r="AU49" s="5">
        <f t="shared" si="52"/>
        <v>1.7129431444807099</v>
      </c>
      <c r="AV49" s="5">
        <f t="shared" si="92"/>
        <v>0.71962246079380332</v>
      </c>
      <c r="AW49" s="177">
        <f t="shared" si="53"/>
        <v>0.40046989943175154</v>
      </c>
      <c r="AX49" s="177">
        <f t="shared" si="93"/>
        <v>7.3642105263157918</v>
      </c>
      <c r="AY49" s="177">
        <f t="shared" si="94"/>
        <v>1.1024713427183008</v>
      </c>
      <c r="AZ49" s="177">
        <f t="shared" si="54"/>
        <v>6.6797296591476716</v>
      </c>
      <c r="BA49" s="469">
        <f t="shared" si="95"/>
        <v>17.027319442995115</v>
      </c>
      <c r="BB49" s="469">
        <f t="shared" si="96"/>
        <v>9.2925914074074054</v>
      </c>
      <c r="BC49" s="5">
        <f t="shared" si="97"/>
        <v>1.0578175208021225</v>
      </c>
      <c r="BD49" s="469">
        <f t="shared" si="98"/>
        <v>80.725787744369725</v>
      </c>
      <c r="BE49" s="5"/>
      <c r="BF49" s="177">
        <f t="shared" si="55"/>
        <v>0.89581713526143736</v>
      </c>
      <c r="BG49" s="177">
        <f t="shared" si="99"/>
        <v>1.644111175566038</v>
      </c>
      <c r="BH49" s="177"/>
      <c r="BI49" s="542">
        <f t="shared" si="100"/>
        <v>8.8273717381080918E-2</v>
      </c>
      <c r="BJ49" s="542">
        <f t="shared" si="101"/>
        <v>0.16669559563846659</v>
      </c>
      <c r="BK49" s="542">
        <f t="shared" si="102"/>
        <v>1.7499999999999998E-2</v>
      </c>
      <c r="BL49" s="542">
        <f t="shared" si="103"/>
        <v>0.11885914687500002</v>
      </c>
      <c r="BM49">
        <f t="shared" si="104"/>
        <v>4.3499999999999997E-3</v>
      </c>
      <c r="BN49" s="469">
        <f t="shared" si="56"/>
        <v>395.67845989454759</v>
      </c>
      <c r="BO49" s="542">
        <f t="shared" si="105"/>
        <v>0.39600000000000002</v>
      </c>
      <c r="BP49" s="542"/>
      <c r="BR49" s="469">
        <f t="shared" si="58"/>
        <v>396</v>
      </c>
      <c r="BS49" s="542">
        <f t="shared" si="106"/>
        <v>0</v>
      </c>
      <c r="BT49" s="542">
        <f t="shared" si="107"/>
        <v>0</v>
      </c>
      <c r="BU49" s="542">
        <f t="shared" si="108"/>
        <v>0</v>
      </c>
      <c r="BV49" s="542">
        <f t="shared" si="109"/>
        <v>0</v>
      </c>
      <c r="BW49" s="469">
        <f t="shared" si="59"/>
        <v>0</v>
      </c>
      <c r="BX49" s="177">
        <f t="shared" si="60"/>
        <v>0.79167845989454766</v>
      </c>
      <c r="BY49" s="5">
        <f t="shared" si="61"/>
        <v>6.6</v>
      </c>
      <c r="BZ49" s="177">
        <f t="shared" si="62"/>
        <v>0.89289598239560841</v>
      </c>
      <c r="CA49" s="5">
        <f t="shared" si="63"/>
        <v>89.289598239560846</v>
      </c>
      <c r="CD49" s="576">
        <f t="shared" si="110"/>
        <v>-50</v>
      </c>
      <c r="CE49">
        <f t="shared" si="111"/>
        <v>-50</v>
      </c>
    </row>
    <row r="50" spans="5:83" x14ac:dyDescent="0.25">
      <c r="E50" s="174">
        <v>45</v>
      </c>
      <c r="F50" s="221">
        <f t="shared" si="112"/>
        <v>0.45</v>
      </c>
      <c r="G50" s="221"/>
      <c r="H50" s="221">
        <f t="shared" si="64"/>
        <v>6.75</v>
      </c>
      <c r="I50" s="555">
        <f t="shared" si="65"/>
        <v>15</v>
      </c>
      <c r="J50" s="176">
        <f t="shared" si="66"/>
        <v>23.85</v>
      </c>
      <c r="K50" s="451">
        <f t="shared" si="67"/>
        <v>38.85</v>
      </c>
      <c r="L50" s="451"/>
      <c r="M50" s="221">
        <f t="shared" si="68"/>
        <v>0.61389961389961389</v>
      </c>
      <c r="N50" s="176">
        <f t="shared" si="5"/>
        <v>17.933542471042468</v>
      </c>
      <c r="O50" s="176">
        <f t="shared" si="49"/>
        <v>6.75</v>
      </c>
      <c r="P50" s="221">
        <f t="shared" si="69"/>
        <v>1.195569498069498</v>
      </c>
      <c r="Q50" s="221">
        <f t="shared" si="70"/>
        <v>15</v>
      </c>
      <c r="R50" s="221">
        <f t="shared" si="71"/>
        <v>1.2584942084942083</v>
      </c>
      <c r="S50" s="176">
        <f t="shared" si="72"/>
        <v>55.077445706980711</v>
      </c>
      <c r="T50" s="176">
        <f t="shared" si="73"/>
        <v>15</v>
      </c>
      <c r="U50" s="221">
        <f t="shared" si="74"/>
        <v>1.5431976166832175</v>
      </c>
      <c r="V50" s="221">
        <f t="shared" si="75"/>
        <v>0.72015888778550152</v>
      </c>
      <c r="W50" s="221">
        <f t="shared" si="76"/>
        <v>0.45293011810408901</v>
      </c>
      <c r="X50" s="201">
        <f t="shared" si="77"/>
        <v>350</v>
      </c>
      <c r="Y50" s="451">
        <f t="shared" si="50"/>
        <v>350</v>
      </c>
      <c r="AA50" s="221">
        <f t="shared" si="78"/>
        <v>3.7585690646915135</v>
      </c>
      <c r="AB50" s="177">
        <f t="shared" si="79"/>
        <v>1.1031439602868174</v>
      </c>
      <c r="AC50" s="177">
        <f t="shared" si="80"/>
        <v>1.0883887252967701</v>
      </c>
      <c r="AD50" s="177"/>
      <c r="AE50" s="177">
        <f t="shared" si="81"/>
        <v>0.24067085953878403</v>
      </c>
      <c r="AF50" s="559">
        <f t="shared" si="82"/>
        <v>3040.2821449817293</v>
      </c>
      <c r="AG50" s="542">
        <f t="shared" si="83"/>
        <v>5.1804402515723262E-2</v>
      </c>
      <c r="AI50" s="177">
        <f t="shared" si="84"/>
        <v>2.4795620000591816</v>
      </c>
      <c r="AJ50" s="177">
        <f t="shared" si="85"/>
        <v>2.4795620000591816</v>
      </c>
      <c r="AK50" s="177">
        <f t="shared" si="86"/>
        <v>2.4293051852290235</v>
      </c>
      <c r="AM50" s="559">
        <f t="shared" si="87"/>
        <v>450</v>
      </c>
      <c r="AN50" s="469">
        <f t="shared" si="88"/>
        <v>350</v>
      </c>
      <c r="AP50">
        <f t="shared" si="89"/>
        <v>450</v>
      </c>
      <c r="AQ50" s="469">
        <f t="shared" si="90"/>
        <v>350</v>
      </c>
      <c r="AR50" s="469"/>
      <c r="AS50" s="5">
        <f t="shared" si="51"/>
        <v>2.8571428571428572</v>
      </c>
      <c r="AT50" s="5">
        <f t="shared" si="91"/>
        <v>1.1571289333609514</v>
      </c>
      <c r="AU50" s="5">
        <f t="shared" si="52"/>
        <v>1.7000139237819059</v>
      </c>
      <c r="AV50" s="5">
        <f t="shared" si="92"/>
        <v>0.72775404613896311</v>
      </c>
      <c r="AW50" s="177">
        <f t="shared" si="53"/>
        <v>0.40499512667633297</v>
      </c>
      <c r="AX50" s="177">
        <f t="shared" si="93"/>
        <v>7.5315789473684243</v>
      </c>
      <c r="AY50" s="177">
        <f t="shared" si="94"/>
        <v>1.1065136053075439</v>
      </c>
      <c r="AZ50" s="177">
        <f t="shared" si="54"/>
        <v>6.8065850354140922</v>
      </c>
      <c r="BA50" s="469">
        <f t="shared" si="95"/>
        <v>17.027319442995115</v>
      </c>
      <c r="BB50" s="469">
        <f t="shared" si="96"/>
        <v>9.689099999999998</v>
      </c>
      <c r="BC50" s="5">
        <f t="shared" si="97"/>
        <v>1.0736930044938353</v>
      </c>
      <c r="BD50" s="469">
        <f t="shared" si="98"/>
        <v>81.9480279686166</v>
      </c>
      <c r="BE50" s="5"/>
      <c r="BF50" s="177">
        <f t="shared" si="55"/>
        <v>0.91104377156315663</v>
      </c>
      <c r="BG50" s="177">
        <f t="shared" si="99"/>
        <v>1.6564024535930479</v>
      </c>
      <c r="BH50" s="177"/>
      <c r="BI50" s="542">
        <f t="shared" si="100"/>
        <v>9.1300082907442334E-2</v>
      </c>
      <c r="BJ50" s="542">
        <f t="shared" si="101"/>
        <v>0.16857922147902363</v>
      </c>
      <c r="BK50" s="542">
        <f t="shared" si="102"/>
        <v>1.7499999999999998E-2</v>
      </c>
      <c r="BL50" s="542">
        <f t="shared" si="103"/>
        <v>0.11885914687500002</v>
      </c>
      <c r="BM50">
        <f t="shared" si="104"/>
        <v>4.3499999999999997E-3</v>
      </c>
      <c r="BN50" s="469">
        <f t="shared" si="56"/>
        <v>400.58845126146599</v>
      </c>
      <c r="BO50" s="542">
        <f t="shared" si="105"/>
        <v>0.40500000000000003</v>
      </c>
      <c r="BP50" s="542"/>
      <c r="BR50" s="469">
        <f t="shared" si="58"/>
        <v>405</v>
      </c>
      <c r="BS50" s="542">
        <f t="shared" si="106"/>
        <v>0</v>
      </c>
      <c r="BT50" s="542">
        <f t="shared" si="107"/>
        <v>0</v>
      </c>
      <c r="BU50" s="542">
        <f t="shared" si="108"/>
        <v>0</v>
      </c>
      <c r="BV50" s="542">
        <f t="shared" si="109"/>
        <v>0</v>
      </c>
      <c r="BW50" s="469">
        <f t="shared" si="59"/>
        <v>0</v>
      </c>
      <c r="BX50" s="177">
        <f t="shared" si="60"/>
        <v>0.80558845126146594</v>
      </c>
      <c r="BY50" s="5">
        <f t="shared" si="61"/>
        <v>6.75</v>
      </c>
      <c r="BZ50" s="177">
        <f t="shared" si="62"/>
        <v>0.89337846331122417</v>
      </c>
      <c r="CA50" s="5">
        <f t="shared" si="63"/>
        <v>89.337846331122421</v>
      </c>
      <c r="CD50" s="576">
        <f t="shared" si="110"/>
        <v>-50</v>
      </c>
      <c r="CE50">
        <f t="shared" si="111"/>
        <v>-50</v>
      </c>
    </row>
    <row r="51" spans="5:83" x14ac:dyDescent="0.25">
      <c r="E51" s="174">
        <v>46</v>
      </c>
      <c r="F51" s="221">
        <f t="shared" si="112"/>
        <v>0.46</v>
      </c>
      <c r="G51" s="221"/>
      <c r="H51" s="221">
        <f t="shared" si="64"/>
        <v>6.9</v>
      </c>
      <c r="I51" s="555">
        <f t="shared" si="65"/>
        <v>15</v>
      </c>
      <c r="J51" s="176">
        <f t="shared" si="66"/>
        <v>23.85</v>
      </c>
      <c r="K51" s="451">
        <f t="shared" si="67"/>
        <v>38.85</v>
      </c>
      <c r="L51" s="451"/>
      <c r="M51" s="221">
        <f t="shared" si="68"/>
        <v>0.61389961389961389</v>
      </c>
      <c r="N51" s="176">
        <f t="shared" si="5"/>
        <v>17.933542471042468</v>
      </c>
      <c r="O51" s="176">
        <f t="shared" si="49"/>
        <v>6.9</v>
      </c>
      <c r="P51" s="221">
        <f t="shared" si="69"/>
        <v>1.195569498069498</v>
      </c>
      <c r="Q51" s="221">
        <f t="shared" si="70"/>
        <v>15</v>
      </c>
      <c r="R51" s="221">
        <f t="shared" si="71"/>
        <v>1.2584942084942083</v>
      </c>
      <c r="S51" s="176">
        <f t="shared" si="72"/>
        <v>53.670359479565647</v>
      </c>
      <c r="T51" s="176">
        <f t="shared" si="73"/>
        <v>15</v>
      </c>
      <c r="U51" s="221">
        <f t="shared" si="74"/>
        <v>1.5774908970539558</v>
      </c>
      <c r="V51" s="221">
        <f t="shared" si="75"/>
        <v>0.73616241862517939</v>
      </c>
      <c r="W51" s="221">
        <f t="shared" si="76"/>
        <v>0.46299523183973545</v>
      </c>
      <c r="X51" s="201">
        <f t="shared" si="77"/>
        <v>350</v>
      </c>
      <c r="Y51" s="451">
        <f t="shared" si="50"/>
        <v>350</v>
      </c>
      <c r="AA51" s="221">
        <f t="shared" si="78"/>
        <v>3.7585690646915135</v>
      </c>
      <c r="AB51" s="177">
        <f t="shared" si="79"/>
        <v>1.1031439602868174</v>
      </c>
      <c r="AC51" s="177">
        <f t="shared" si="80"/>
        <v>1.0883887252967701</v>
      </c>
      <c r="AD51" s="177"/>
      <c r="AE51" s="177">
        <f t="shared" si="81"/>
        <v>0.24067085953878403</v>
      </c>
      <c r="AF51" s="559">
        <f t="shared" si="82"/>
        <v>3107.843970425768</v>
      </c>
      <c r="AG51" s="542">
        <f t="shared" si="83"/>
        <v>5.1804402515723262E-2</v>
      </c>
      <c r="AI51" s="177">
        <f t="shared" si="84"/>
        <v>2.5069613069669492</v>
      </c>
      <c r="AJ51" s="177">
        <f t="shared" si="85"/>
        <v>2.5069613069669492</v>
      </c>
      <c r="AK51" s="177">
        <f t="shared" si="86"/>
        <v>2.4496009681236659</v>
      </c>
      <c r="AM51" s="559">
        <f t="shared" si="87"/>
        <v>460</v>
      </c>
      <c r="AN51" s="469">
        <f t="shared" si="88"/>
        <v>350</v>
      </c>
      <c r="AP51">
        <f t="shared" si="89"/>
        <v>460</v>
      </c>
      <c r="AQ51" s="469">
        <f t="shared" si="90"/>
        <v>350</v>
      </c>
      <c r="AR51" s="469"/>
      <c r="AS51" s="5">
        <f t="shared" si="51"/>
        <v>2.8571428571428572</v>
      </c>
      <c r="AT51" s="5">
        <f t="shared" si="91"/>
        <v>1.1699152765845764</v>
      </c>
      <c r="AU51" s="5">
        <f t="shared" si="52"/>
        <v>1.6872275805582808</v>
      </c>
      <c r="AV51" s="5">
        <f t="shared" si="92"/>
        <v>0.73579577143684038</v>
      </c>
      <c r="AW51" s="177">
        <f t="shared" si="53"/>
        <v>0.4094703468046017</v>
      </c>
      <c r="AX51" s="177">
        <f t="shared" si="93"/>
        <v>7.6989473684210568</v>
      </c>
      <c r="AY51" s="177">
        <f t="shared" si="94"/>
        <v>1.1103262433831063</v>
      </c>
      <c r="AZ51" s="177">
        <f t="shared" si="54"/>
        <v>6.9339506422569688</v>
      </c>
      <c r="BA51" s="469">
        <f t="shared" si="95"/>
        <v>17.027319442995115</v>
      </c>
      <c r="BB51" s="469">
        <f t="shared" si="96"/>
        <v>10.093844740740741</v>
      </c>
      <c r="BC51" s="5">
        <f t="shared" si="97"/>
        <v>1.0892978063955217</v>
      </c>
      <c r="BD51" s="469">
        <f t="shared" si="98"/>
        <v>83.149967058611509</v>
      </c>
      <c r="BE51" s="5"/>
      <c r="BF51" s="177">
        <f t="shared" si="55"/>
        <v>0.92618604219446599</v>
      </c>
      <c r="BG51" s="177">
        <f t="shared" si="99"/>
        <v>1.6683959153244816</v>
      </c>
      <c r="BH51" s="177"/>
      <c r="BI51" s="542">
        <f t="shared" si="100"/>
        <v>9.43602643231434E-2</v>
      </c>
      <c r="BJ51" s="542">
        <f t="shared" si="101"/>
        <v>0.17044203185741547</v>
      </c>
      <c r="BK51" s="542">
        <f t="shared" si="102"/>
        <v>1.7499999999999998E-2</v>
      </c>
      <c r="BL51" s="542">
        <f t="shared" si="103"/>
        <v>0.11885914687500002</v>
      </c>
      <c r="BM51">
        <f t="shared" si="104"/>
        <v>4.3499999999999997E-3</v>
      </c>
      <c r="BN51" s="469">
        <f t="shared" si="56"/>
        <v>405.51144305555891</v>
      </c>
      <c r="BO51" s="542">
        <f t="shared" si="105"/>
        <v>0.41400000000000003</v>
      </c>
      <c r="BP51" s="542"/>
      <c r="BR51" s="469">
        <f t="shared" si="58"/>
        <v>414.00000000000006</v>
      </c>
      <c r="BS51" s="542">
        <f t="shared" si="106"/>
        <v>0</v>
      </c>
      <c r="BT51" s="542">
        <f t="shared" si="107"/>
        <v>0</v>
      </c>
      <c r="BU51" s="542">
        <f t="shared" si="108"/>
        <v>0</v>
      </c>
      <c r="BV51" s="542">
        <f t="shared" si="109"/>
        <v>0</v>
      </c>
      <c r="BW51" s="469">
        <f t="shared" si="59"/>
        <v>0</v>
      </c>
      <c r="BX51" s="177">
        <f t="shared" si="60"/>
        <v>0.81951144305555901</v>
      </c>
      <c r="BY51" s="5">
        <f t="shared" si="61"/>
        <v>6.9</v>
      </c>
      <c r="BZ51" s="177">
        <f t="shared" si="62"/>
        <v>0.89383894964068122</v>
      </c>
      <c r="CA51" s="5">
        <f t="shared" si="63"/>
        <v>89.383894964068119</v>
      </c>
      <c r="CD51" s="576">
        <f t="shared" si="110"/>
        <v>-50</v>
      </c>
      <c r="CE51">
        <f t="shared" si="111"/>
        <v>-50</v>
      </c>
    </row>
    <row r="52" spans="5:83" x14ac:dyDescent="0.25">
      <c r="E52" s="174">
        <v>47</v>
      </c>
      <c r="F52" s="221">
        <f t="shared" si="112"/>
        <v>0.47</v>
      </c>
      <c r="G52" s="221"/>
      <c r="H52" s="221">
        <f t="shared" si="64"/>
        <v>7.05</v>
      </c>
      <c r="I52" s="555">
        <f t="shared" si="65"/>
        <v>15</v>
      </c>
      <c r="J52" s="176">
        <f t="shared" si="66"/>
        <v>23.85</v>
      </c>
      <c r="K52" s="451">
        <f t="shared" si="67"/>
        <v>38.85</v>
      </c>
      <c r="L52" s="451"/>
      <c r="M52" s="221">
        <f t="shared" si="68"/>
        <v>0.61389961389961389</v>
      </c>
      <c r="N52" s="176">
        <f t="shared" si="5"/>
        <v>17.933542471042468</v>
      </c>
      <c r="O52" s="176">
        <f t="shared" si="49"/>
        <v>7.05</v>
      </c>
      <c r="P52" s="221">
        <f t="shared" si="69"/>
        <v>1.195569498069498</v>
      </c>
      <c r="Q52" s="221">
        <f t="shared" si="70"/>
        <v>15</v>
      </c>
      <c r="R52" s="221">
        <f t="shared" si="71"/>
        <v>1.2584942084942083</v>
      </c>
      <c r="S52" s="176">
        <f t="shared" si="72"/>
        <v>52.323354019630692</v>
      </c>
      <c r="T52" s="176">
        <f t="shared" si="73"/>
        <v>15</v>
      </c>
      <c r="U52" s="221">
        <f t="shared" si="74"/>
        <v>1.6117841774246939</v>
      </c>
      <c r="V52" s="221">
        <f t="shared" si="75"/>
        <v>0.75216594946485704</v>
      </c>
      <c r="W52" s="221">
        <f t="shared" si="76"/>
        <v>0.47306034557538179</v>
      </c>
      <c r="X52" s="201">
        <f t="shared" si="77"/>
        <v>350</v>
      </c>
      <c r="Y52" s="451">
        <f t="shared" si="50"/>
        <v>350</v>
      </c>
      <c r="AA52" s="221">
        <f t="shared" si="78"/>
        <v>3.7585690646915135</v>
      </c>
      <c r="AB52" s="177">
        <f t="shared" si="79"/>
        <v>1.1031439602868174</v>
      </c>
      <c r="AC52" s="177">
        <f t="shared" si="80"/>
        <v>1.0883887252967701</v>
      </c>
      <c r="AD52" s="177"/>
      <c r="AE52" s="177">
        <f t="shared" si="81"/>
        <v>0.24067085953878403</v>
      </c>
      <c r="AF52" s="559">
        <f t="shared" si="82"/>
        <v>3175.4057958698058</v>
      </c>
      <c r="AG52" s="542">
        <f t="shared" si="83"/>
        <v>5.1804402515723262E-2</v>
      </c>
      <c r="AI52" s="177">
        <f t="shared" si="84"/>
        <v>2.5340643790403936</v>
      </c>
      <c r="AJ52" s="177">
        <f t="shared" si="85"/>
        <v>2.5340643790403936</v>
      </c>
      <c r="AK52" s="177">
        <f t="shared" si="86"/>
        <v>2.4696773178076992</v>
      </c>
      <c r="AM52" s="559">
        <f t="shared" si="87"/>
        <v>470</v>
      </c>
      <c r="AN52" s="469">
        <f t="shared" si="88"/>
        <v>350</v>
      </c>
      <c r="AP52">
        <f t="shared" si="89"/>
        <v>470</v>
      </c>
      <c r="AQ52" s="469">
        <f t="shared" si="90"/>
        <v>350</v>
      </c>
      <c r="AR52" s="469"/>
      <c r="AS52" s="5">
        <f t="shared" si="51"/>
        <v>2.8571428571428572</v>
      </c>
      <c r="AT52" s="5">
        <f t="shared" si="91"/>
        <v>1.182563376885517</v>
      </c>
      <c r="AU52" s="5">
        <f t="shared" si="52"/>
        <v>1.6745794802573402</v>
      </c>
      <c r="AV52" s="5">
        <f t="shared" si="92"/>
        <v>0.74375055150032521</v>
      </c>
      <c r="AW52" s="177">
        <f t="shared" si="53"/>
        <v>0.41389718190993097</v>
      </c>
      <c r="AX52" s="177">
        <f t="shared" si="93"/>
        <v>7.8663157894736866</v>
      </c>
      <c r="AY52" s="177">
        <f t="shared" si="94"/>
        <v>1.1139167053329266</v>
      </c>
      <c r="AZ52" s="177">
        <f t="shared" si="54"/>
        <v>7.0618527864905376</v>
      </c>
      <c r="BA52" s="469">
        <f t="shared" si="95"/>
        <v>17.027319442995115</v>
      </c>
      <c r="BB52" s="469">
        <f t="shared" si="96"/>
        <v>10.506825629629629</v>
      </c>
      <c r="BC52" s="5">
        <f t="shared" si="97"/>
        <v>1.1046348852223857</v>
      </c>
      <c r="BD52" s="469">
        <f t="shared" si="98"/>
        <v>84.331826917994732</v>
      </c>
      <c r="BE52" s="5"/>
      <c r="BF52" s="177">
        <f t="shared" si="55"/>
        <v>0.94124623384551609</v>
      </c>
      <c r="BG52" s="177">
        <f t="shared" si="99"/>
        <v>1.6801001887394109</v>
      </c>
      <c r="BH52" s="177"/>
      <c r="BI52" s="542">
        <f t="shared" si="100"/>
        <v>9.7453892000120473E-2</v>
      </c>
      <c r="BJ52" s="542">
        <f t="shared" si="101"/>
        <v>0.17228470197000881</v>
      </c>
      <c r="BK52" s="542">
        <f t="shared" si="102"/>
        <v>1.7499999999999998E-2</v>
      </c>
      <c r="BL52" s="542">
        <f t="shared" si="103"/>
        <v>0.11885914687500002</v>
      </c>
      <c r="BM52">
        <f t="shared" si="104"/>
        <v>4.3499999999999997E-3</v>
      </c>
      <c r="BN52" s="469">
        <f t="shared" si="56"/>
        <v>410.44774084512932</v>
      </c>
      <c r="BO52" s="542">
        <f t="shared" si="105"/>
        <v>0.42299999999999999</v>
      </c>
      <c r="BP52" s="542"/>
      <c r="BR52" s="469">
        <f t="shared" si="58"/>
        <v>423</v>
      </c>
      <c r="BS52" s="542">
        <f t="shared" si="106"/>
        <v>0</v>
      </c>
      <c r="BT52" s="542">
        <f t="shared" si="107"/>
        <v>0</v>
      </c>
      <c r="BU52" s="542">
        <f t="shared" si="108"/>
        <v>0</v>
      </c>
      <c r="BV52" s="542">
        <f t="shared" si="109"/>
        <v>0</v>
      </c>
      <c r="BW52" s="469">
        <f t="shared" si="59"/>
        <v>0</v>
      </c>
      <c r="BX52" s="177">
        <f t="shared" si="60"/>
        <v>0.83344774084512929</v>
      </c>
      <c r="BY52" s="5">
        <f t="shared" si="61"/>
        <v>7.05</v>
      </c>
      <c r="BZ52" s="177">
        <f t="shared" si="62"/>
        <v>0.89427877646388998</v>
      </c>
      <c r="CA52" s="5">
        <f t="shared" si="63"/>
        <v>89.427877646388993</v>
      </c>
      <c r="CD52" s="576">
        <f t="shared" si="110"/>
        <v>-50</v>
      </c>
      <c r="CE52">
        <f t="shared" si="111"/>
        <v>-50</v>
      </c>
    </row>
    <row r="53" spans="5:83" x14ac:dyDescent="0.25">
      <c r="E53" s="174">
        <v>48</v>
      </c>
      <c r="F53" s="221">
        <f t="shared" si="112"/>
        <v>0.48</v>
      </c>
      <c r="G53" s="221"/>
      <c r="H53" s="221">
        <f t="shared" si="64"/>
        <v>7.1999999999999993</v>
      </c>
      <c r="I53" s="555">
        <f t="shared" si="65"/>
        <v>15</v>
      </c>
      <c r="J53" s="176">
        <f t="shared" si="66"/>
        <v>23.85</v>
      </c>
      <c r="K53" s="451">
        <f t="shared" si="67"/>
        <v>38.85</v>
      </c>
      <c r="L53" s="451"/>
      <c r="M53" s="221">
        <f t="shared" si="68"/>
        <v>0.61389961389961389</v>
      </c>
      <c r="N53" s="176">
        <f t="shared" si="5"/>
        <v>17.933542471042468</v>
      </c>
      <c r="O53" s="176">
        <f t="shared" si="49"/>
        <v>7.1999999999999993</v>
      </c>
      <c r="P53" s="221">
        <f t="shared" si="69"/>
        <v>1.195569498069498</v>
      </c>
      <c r="Q53" s="221">
        <f t="shared" si="70"/>
        <v>15</v>
      </c>
      <c r="R53" s="221">
        <f t="shared" si="71"/>
        <v>1.2584942084942083</v>
      </c>
      <c r="S53" s="176">
        <f t="shared" si="72"/>
        <v>51.032676293949457</v>
      </c>
      <c r="T53" s="176">
        <f t="shared" si="73"/>
        <v>15</v>
      </c>
      <c r="U53" s="221">
        <f t="shared" si="74"/>
        <v>1.6460774577954318</v>
      </c>
      <c r="V53" s="221">
        <f t="shared" si="75"/>
        <v>0.76816948030453491</v>
      </c>
      <c r="W53" s="221">
        <f t="shared" si="76"/>
        <v>0.48312545931102818</v>
      </c>
      <c r="X53" s="201">
        <f t="shared" si="77"/>
        <v>350</v>
      </c>
      <c r="Y53" s="451">
        <f t="shared" si="50"/>
        <v>350</v>
      </c>
      <c r="AA53" s="221">
        <f t="shared" si="78"/>
        <v>3.7585690646915135</v>
      </c>
      <c r="AB53" s="177">
        <f t="shared" si="79"/>
        <v>1.1031439602868174</v>
      </c>
      <c r="AC53" s="177">
        <f t="shared" si="80"/>
        <v>1.0883887252967701</v>
      </c>
      <c r="AD53" s="177"/>
      <c r="AE53" s="177">
        <f t="shared" si="81"/>
        <v>0.24067085953878403</v>
      </c>
      <c r="AF53" s="559">
        <f t="shared" si="82"/>
        <v>3242.9676213138441</v>
      </c>
      <c r="AG53" s="542">
        <f t="shared" si="83"/>
        <v>5.1804402515723262E-2</v>
      </c>
      <c r="AI53" s="177">
        <f t="shared" si="84"/>
        <v>2.5608806218981237</v>
      </c>
      <c r="AJ53" s="177">
        <f t="shared" si="85"/>
        <v>2.5608806218981237</v>
      </c>
      <c r="AK53" s="177">
        <f t="shared" si="86"/>
        <v>2.4895412014060176</v>
      </c>
      <c r="AM53" s="559">
        <f t="shared" si="87"/>
        <v>480</v>
      </c>
      <c r="AN53" s="469">
        <f t="shared" si="88"/>
        <v>350</v>
      </c>
      <c r="AP53">
        <f t="shared" si="89"/>
        <v>480</v>
      </c>
      <c r="AQ53" s="469">
        <f t="shared" si="90"/>
        <v>350</v>
      </c>
      <c r="AR53" s="469"/>
      <c r="AS53" s="5">
        <f t="shared" si="51"/>
        <v>2.8571428571428572</v>
      </c>
      <c r="AT53" s="5">
        <f t="shared" si="91"/>
        <v>1.1950776235524578</v>
      </c>
      <c r="AU53" s="5">
        <f t="shared" si="52"/>
        <v>1.6620652335903994</v>
      </c>
      <c r="AV53" s="5">
        <f t="shared" si="92"/>
        <v>0.75162114688833814</v>
      </c>
      <c r="AW53" s="177">
        <f t="shared" si="53"/>
        <v>0.41827716824336025</v>
      </c>
      <c r="AX53" s="177">
        <f t="shared" si="93"/>
        <v>8.0336842105263173</v>
      </c>
      <c r="AY53" s="177">
        <f t="shared" si="94"/>
        <v>1.1172920453709609</v>
      </c>
      <c r="AZ53" s="177">
        <f t="shared" si="54"/>
        <v>7.1903171993487076</v>
      </c>
      <c r="BA53" s="469">
        <f t="shared" si="95"/>
        <v>17.027319442995115</v>
      </c>
      <c r="BB53" s="469">
        <f t="shared" si="96"/>
        <v>10.928042666666663</v>
      </c>
      <c r="BC53" s="5">
        <f t="shared" si="97"/>
        <v>1.1197071047345848</v>
      </c>
      <c r="BD53" s="469">
        <f t="shared" si="98"/>
        <v>85.493822328778037</v>
      </c>
      <c r="BE53" s="5"/>
      <c r="BF53" s="177">
        <f t="shared" si="55"/>
        <v>0.95622652400373043</v>
      </c>
      <c r="BG53" s="177">
        <f t="shared" si="99"/>
        <v>1.6915234399769379</v>
      </c>
      <c r="BH53" s="177"/>
      <c r="BI53" s="542">
        <f t="shared" si="100"/>
        <v>0.10058060817290826</v>
      </c>
      <c r="BJ53" s="542">
        <f t="shared" si="101"/>
        <v>0.1741078712812987</v>
      </c>
      <c r="BK53" s="542">
        <f t="shared" si="102"/>
        <v>1.7499999999999998E-2</v>
      </c>
      <c r="BL53" s="542">
        <f t="shared" si="103"/>
        <v>0.11885914687500002</v>
      </c>
      <c r="BM53">
        <f t="shared" si="104"/>
        <v>4.3499999999999997E-3</v>
      </c>
      <c r="BN53" s="469">
        <f t="shared" si="56"/>
        <v>415.39762632920701</v>
      </c>
      <c r="BO53" s="542">
        <f t="shared" si="105"/>
        <v>0.432</v>
      </c>
      <c r="BP53" s="542"/>
      <c r="BR53" s="469">
        <f t="shared" si="58"/>
        <v>432</v>
      </c>
      <c r="BS53" s="542">
        <f t="shared" si="106"/>
        <v>0</v>
      </c>
      <c r="BT53" s="542">
        <f t="shared" si="107"/>
        <v>0</v>
      </c>
      <c r="BU53" s="542">
        <f t="shared" si="108"/>
        <v>0</v>
      </c>
      <c r="BV53" s="542">
        <f t="shared" si="109"/>
        <v>0</v>
      </c>
      <c r="BW53" s="469">
        <f t="shared" si="59"/>
        <v>0</v>
      </c>
      <c r="BX53" s="177">
        <f t="shared" si="60"/>
        <v>0.84739762632920701</v>
      </c>
      <c r="BY53" s="5">
        <f t="shared" si="61"/>
        <v>7.1999999999999993</v>
      </c>
      <c r="BZ53" s="177">
        <f t="shared" si="62"/>
        <v>0.89469917286593137</v>
      </c>
      <c r="CA53" s="5">
        <f t="shared" si="63"/>
        <v>89.46991728659313</v>
      </c>
      <c r="CD53" s="576">
        <f t="shared" si="110"/>
        <v>-50</v>
      </c>
      <c r="CE53">
        <f t="shared" si="111"/>
        <v>-50</v>
      </c>
    </row>
    <row r="54" spans="5:83" x14ac:dyDescent="0.25">
      <c r="E54" s="174">
        <v>49</v>
      </c>
      <c r="F54" s="221">
        <f t="shared" si="112"/>
        <v>0.49</v>
      </c>
      <c r="G54" s="221"/>
      <c r="H54" s="221">
        <f t="shared" si="64"/>
        <v>7.35</v>
      </c>
      <c r="I54" s="555">
        <f t="shared" si="65"/>
        <v>15</v>
      </c>
      <c r="J54" s="176">
        <f t="shared" si="66"/>
        <v>23.85</v>
      </c>
      <c r="K54" s="451">
        <f t="shared" si="67"/>
        <v>38.85</v>
      </c>
      <c r="L54" s="451"/>
      <c r="M54" s="221">
        <f t="shared" si="68"/>
        <v>0.61389961389961389</v>
      </c>
      <c r="N54" s="176">
        <f t="shared" si="5"/>
        <v>17.933542471042468</v>
      </c>
      <c r="O54" s="176">
        <f t="shared" si="49"/>
        <v>7.35</v>
      </c>
      <c r="P54" s="221">
        <f t="shared" si="69"/>
        <v>1.195569498069498</v>
      </c>
      <c r="Q54" s="221">
        <f t="shared" si="70"/>
        <v>15</v>
      </c>
      <c r="R54" s="221">
        <f t="shared" si="71"/>
        <v>1.2584942084942083</v>
      </c>
      <c r="S54" s="176">
        <f t="shared" si="72"/>
        <v>49.794879661215028</v>
      </c>
      <c r="T54" s="176">
        <f t="shared" si="73"/>
        <v>15</v>
      </c>
      <c r="U54" s="221">
        <f t="shared" si="74"/>
        <v>1.6803707381661701</v>
      </c>
      <c r="V54" s="221">
        <f t="shared" si="75"/>
        <v>0.78417301114421267</v>
      </c>
      <c r="W54" s="221">
        <f t="shared" si="76"/>
        <v>0.49319057304667457</v>
      </c>
      <c r="X54" s="201">
        <f t="shared" si="77"/>
        <v>350</v>
      </c>
      <c r="Y54" s="451">
        <f t="shared" si="50"/>
        <v>350</v>
      </c>
      <c r="AA54" s="221">
        <f t="shared" si="78"/>
        <v>3.7585690646915135</v>
      </c>
      <c r="AB54" s="177">
        <f t="shared" si="79"/>
        <v>1.1031439602868174</v>
      </c>
      <c r="AC54" s="177">
        <f t="shared" si="80"/>
        <v>1.0883887252967701</v>
      </c>
      <c r="AD54" s="177"/>
      <c r="AE54" s="177">
        <f t="shared" si="81"/>
        <v>0.24067085953878403</v>
      </c>
      <c r="AF54" s="559">
        <f t="shared" si="82"/>
        <v>3310.5294467578829</v>
      </c>
      <c r="AG54" s="542">
        <f t="shared" si="83"/>
        <v>5.1804402515723262E-2</v>
      </c>
      <c r="AI54" s="177">
        <f t="shared" si="84"/>
        <v>2.5874189537269117</v>
      </c>
      <c r="AJ54" s="177">
        <f t="shared" si="85"/>
        <v>2.5874189537269117</v>
      </c>
      <c r="AK54" s="177">
        <f t="shared" si="86"/>
        <v>2.5091992249828978</v>
      </c>
      <c r="AM54" s="559">
        <f t="shared" si="87"/>
        <v>490</v>
      </c>
      <c r="AN54" s="469">
        <f t="shared" si="88"/>
        <v>350</v>
      </c>
      <c r="AP54">
        <f t="shared" si="89"/>
        <v>490</v>
      </c>
      <c r="AQ54" s="469">
        <f t="shared" si="90"/>
        <v>350</v>
      </c>
      <c r="AR54" s="469"/>
      <c r="AS54" s="5">
        <f t="shared" si="51"/>
        <v>2.8571428571428572</v>
      </c>
      <c r="AT54" s="5">
        <f t="shared" si="91"/>
        <v>1.2074621784058921</v>
      </c>
      <c r="AU54" s="5">
        <f t="shared" si="52"/>
        <v>1.6496806787369651</v>
      </c>
      <c r="AV54" s="5">
        <f t="shared" si="92"/>
        <v>0.75941017509804543</v>
      </c>
      <c r="AW54" s="177">
        <f t="shared" si="53"/>
        <v>0.42261176244206222</v>
      </c>
      <c r="AX54" s="177">
        <f t="shared" si="93"/>
        <v>8.2010526315789516</v>
      </c>
      <c r="AY54" s="177">
        <f t="shared" si="94"/>
        <v>1.1204589521372885</v>
      </c>
      <c r="AZ54" s="177">
        <f t="shared" si="54"/>
        <v>7.3193690995420653</v>
      </c>
      <c r="BA54" s="469">
        <f t="shared" si="95"/>
        <v>17.027319442995115</v>
      </c>
      <c r="BB54" s="469">
        <f t="shared" si="96"/>
        <v>11.357495851851851</v>
      </c>
      <c r="BC54" s="5">
        <f t="shared" si="97"/>
        <v>1.1345172387103337</v>
      </c>
      <c r="BD54" s="469">
        <f t="shared" si="98"/>
        <v>86.636161324327674</v>
      </c>
      <c r="BE54" s="5"/>
      <c r="BF54" s="177">
        <f t="shared" si="55"/>
        <v>0.97112898833057737</v>
      </c>
      <c r="BG54" s="177">
        <f t="shared" si="99"/>
        <v>1.7026734066264777</v>
      </c>
      <c r="BH54" s="177"/>
      <c r="BI54" s="542">
        <f t="shared" si="100"/>
        <v>0.10374006631735677</v>
      </c>
      <c r="BJ54" s="542">
        <f t="shared" si="101"/>
        <v>0.17591214611650841</v>
      </c>
      <c r="BK54" s="542">
        <f t="shared" si="102"/>
        <v>1.7499999999999998E-2</v>
      </c>
      <c r="BL54" s="542">
        <f t="shared" si="103"/>
        <v>0.11885914687500002</v>
      </c>
      <c r="BM54">
        <f t="shared" si="104"/>
        <v>4.3499999999999997E-3</v>
      </c>
      <c r="BN54" s="469">
        <f t="shared" si="56"/>
        <v>420.36135930886525</v>
      </c>
      <c r="BO54" s="542">
        <f t="shared" si="105"/>
        <v>0.441</v>
      </c>
      <c r="BP54" s="542"/>
      <c r="BR54" s="469">
        <f t="shared" si="58"/>
        <v>441</v>
      </c>
      <c r="BS54" s="542">
        <f t="shared" si="106"/>
        <v>0</v>
      </c>
      <c r="BT54" s="542">
        <f t="shared" si="107"/>
        <v>0</v>
      </c>
      <c r="BU54" s="542">
        <f t="shared" si="108"/>
        <v>0</v>
      </c>
      <c r="BV54" s="542">
        <f t="shared" si="109"/>
        <v>0</v>
      </c>
      <c r="BW54" s="469">
        <f t="shared" si="59"/>
        <v>0</v>
      </c>
      <c r="BX54" s="177">
        <f t="shared" si="60"/>
        <v>0.86136135930886526</v>
      </c>
      <c r="BY54" s="5">
        <f t="shared" si="61"/>
        <v>7.35</v>
      </c>
      <c r="BZ54" s="177">
        <f t="shared" si="62"/>
        <v>0.89510127229605141</v>
      </c>
      <c r="CA54" s="5">
        <f t="shared" si="63"/>
        <v>89.510127229605146</v>
      </c>
      <c r="CD54" s="576">
        <f t="shared" si="110"/>
        <v>-50</v>
      </c>
      <c r="CE54">
        <f t="shared" si="111"/>
        <v>-50</v>
      </c>
    </row>
    <row r="55" spans="5:83" x14ac:dyDescent="0.25">
      <c r="E55" s="174">
        <v>50</v>
      </c>
      <c r="F55" s="221">
        <f t="shared" si="112"/>
        <v>0.5</v>
      </c>
      <c r="G55" s="221"/>
      <c r="H55" s="221">
        <f t="shared" si="64"/>
        <v>7.5</v>
      </c>
      <c r="I55" s="555">
        <f t="shared" si="65"/>
        <v>15</v>
      </c>
      <c r="J55" s="176">
        <f t="shared" si="66"/>
        <v>23.85</v>
      </c>
      <c r="K55" s="451">
        <f t="shared" si="67"/>
        <v>38.85</v>
      </c>
      <c r="L55" s="451"/>
      <c r="M55" s="221">
        <f t="shared" si="68"/>
        <v>0.61389961389961389</v>
      </c>
      <c r="N55" s="176">
        <f t="shared" si="5"/>
        <v>17.933542471042468</v>
      </c>
      <c r="O55" s="176">
        <f t="shared" si="49"/>
        <v>7.5</v>
      </c>
      <c r="P55" s="221">
        <f t="shared" si="69"/>
        <v>1.195569498069498</v>
      </c>
      <c r="Q55" s="221">
        <f t="shared" si="70"/>
        <v>15</v>
      </c>
      <c r="R55" s="221">
        <f t="shared" si="71"/>
        <v>1.2584942084942083</v>
      </c>
      <c r="S55" s="176">
        <f t="shared" si="72"/>
        <v>48.606793233054546</v>
      </c>
      <c r="T55" s="176">
        <f t="shared" si="73"/>
        <v>15</v>
      </c>
      <c r="U55" s="221">
        <f t="shared" si="74"/>
        <v>1.7146640185369084</v>
      </c>
      <c r="V55" s="221">
        <f t="shared" si="75"/>
        <v>0.80017654198389065</v>
      </c>
      <c r="W55" s="221">
        <f t="shared" si="76"/>
        <v>0.50325568678232113</v>
      </c>
      <c r="X55" s="201">
        <f t="shared" si="77"/>
        <v>350</v>
      </c>
      <c r="Y55" s="451">
        <f t="shared" si="50"/>
        <v>350</v>
      </c>
      <c r="AA55" s="221">
        <f t="shared" si="78"/>
        <v>3.7585690646915135</v>
      </c>
      <c r="AB55" s="177">
        <f t="shared" si="79"/>
        <v>1.1031439602868174</v>
      </c>
      <c r="AC55" s="177">
        <f t="shared" si="80"/>
        <v>1.0883887252967701</v>
      </c>
      <c r="AD55" s="177"/>
      <c r="AE55" s="177">
        <f t="shared" si="81"/>
        <v>0.24067085953878403</v>
      </c>
      <c r="AF55" s="559">
        <f t="shared" si="82"/>
        <v>3378.0912722019211</v>
      </c>
      <c r="AG55" s="542">
        <f t="shared" si="83"/>
        <v>5.1804402515723262E-2</v>
      </c>
      <c r="AI55" s="177">
        <f t="shared" si="84"/>
        <v>2.6136878399298582</v>
      </c>
      <c r="AJ55" s="177">
        <f t="shared" si="85"/>
        <v>2.6136878399298582</v>
      </c>
      <c r="AK55" s="177">
        <f t="shared" si="86"/>
        <v>2.5286576592073025</v>
      </c>
      <c r="AM55" s="559">
        <f t="shared" si="87"/>
        <v>500</v>
      </c>
      <c r="AN55" s="469">
        <f t="shared" si="88"/>
        <v>350</v>
      </c>
      <c r="AP55">
        <f t="shared" si="89"/>
        <v>500</v>
      </c>
      <c r="AQ55" s="469">
        <f t="shared" si="90"/>
        <v>350</v>
      </c>
      <c r="AR55" s="469"/>
      <c r="AS55" s="5">
        <f t="shared" si="51"/>
        <v>2.8571428571428572</v>
      </c>
      <c r="AT55" s="5">
        <f t="shared" si="91"/>
        <v>1.2197209919672671</v>
      </c>
      <c r="AU55" s="5">
        <f t="shared" si="52"/>
        <v>1.6374218651755901</v>
      </c>
      <c r="AV55" s="5">
        <f t="shared" si="92"/>
        <v>0.76712012073413016</v>
      </c>
      <c r="AW55" s="177">
        <f t="shared" si="53"/>
        <v>0.42690234718854347</v>
      </c>
      <c r="AX55" s="177">
        <f t="shared" si="93"/>
        <v>8.3684210526315805</v>
      </c>
      <c r="AY55" s="177">
        <f t="shared" si="94"/>
        <v>1.1234237746842357</v>
      </c>
      <c r="AZ55" s="177">
        <f t="shared" si="54"/>
        <v>7.4490332510398574</v>
      </c>
      <c r="BA55" s="469">
        <f t="shared" si="95"/>
        <v>17.027319442995115</v>
      </c>
      <c r="BB55" s="469">
        <f t="shared" si="96"/>
        <v>11.795185185185183</v>
      </c>
      <c r="BC55" s="5">
        <f t="shared" si="97"/>
        <v>1.1490679755618178</v>
      </c>
      <c r="BD55" s="469">
        <f t="shared" si="98"/>
        <v>87.759045535557377</v>
      </c>
      <c r="BE55" s="5"/>
      <c r="BF55" s="177">
        <f t="shared" si="55"/>
        <v>0.98595560739994059</v>
      </c>
      <c r="BG55" s="177">
        <f t="shared" si="99"/>
        <v>1.7135574279784989</v>
      </c>
      <c r="BH55" s="177"/>
      <c r="BI55" s="542">
        <f t="shared" si="100"/>
        <v>0.10693193057397243</v>
      </c>
      <c r="BJ55" s="542">
        <f t="shared" si="101"/>
        <v>0.17769810201723124</v>
      </c>
      <c r="BK55" s="542">
        <f t="shared" si="102"/>
        <v>1.7499999999999998E-2</v>
      </c>
      <c r="BL55" s="542">
        <f t="shared" si="103"/>
        <v>0.11885914687500002</v>
      </c>
      <c r="BM55">
        <f t="shared" si="104"/>
        <v>4.3499999999999997E-3</v>
      </c>
      <c r="BN55" s="469">
        <f t="shared" si="56"/>
        <v>425.33917946620375</v>
      </c>
      <c r="BO55" s="542">
        <f t="shared" si="105"/>
        <v>0.45</v>
      </c>
      <c r="BP55" s="542"/>
      <c r="BR55" s="469">
        <f t="shared" si="58"/>
        <v>450</v>
      </c>
      <c r="BS55" s="542">
        <f t="shared" si="106"/>
        <v>0</v>
      </c>
      <c r="BT55" s="542">
        <f t="shared" si="107"/>
        <v>0</v>
      </c>
      <c r="BU55" s="542">
        <f t="shared" si="108"/>
        <v>0</v>
      </c>
      <c r="BV55" s="542">
        <f t="shared" si="109"/>
        <v>0</v>
      </c>
      <c r="BW55" s="469">
        <f t="shared" si="59"/>
        <v>0</v>
      </c>
      <c r="BX55" s="177">
        <f t="shared" si="60"/>
        <v>0.87533917946620377</v>
      </c>
      <c r="BY55" s="5">
        <f t="shared" si="61"/>
        <v>7.5</v>
      </c>
      <c r="BZ55" s="177">
        <f t="shared" si="62"/>
        <v>0.89548612173077469</v>
      </c>
      <c r="CA55" s="5">
        <f t="shared" si="63"/>
        <v>89.548612173077473</v>
      </c>
      <c r="CD55" s="576">
        <f t="shared" si="110"/>
        <v>-50</v>
      </c>
      <c r="CE55">
        <f t="shared" si="111"/>
        <v>-50</v>
      </c>
    </row>
    <row r="56" spans="5:83" x14ac:dyDescent="0.25">
      <c r="E56" s="174">
        <v>51</v>
      </c>
      <c r="F56" s="221">
        <f t="shared" si="112"/>
        <v>0.51</v>
      </c>
      <c r="G56" s="221"/>
      <c r="H56" s="221">
        <f t="shared" si="64"/>
        <v>7.65</v>
      </c>
      <c r="I56" s="555">
        <f t="shared" si="65"/>
        <v>15</v>
      </c>
      <c r="J56" s="176">
        <f t="shared" si="66"/>
        <v>23.85</v>
      </c>
      <c r="K56" s="451">
        <f t="shared" si="67"/>
        <v>38.85</v>
      </c>
      <c r="L56" s="451"/>
      <c r="M56" s="221">
        <f t="shared" si="68"/>
        <v>0.61389961389961389</v>
      </c>
      <c r="N56" s="176">
        <f t="shared" si="5"/>
        <v>17.933542471042468</v>
      </c>
      <c r="O56" s="176">
        <f t="shared" si="49"/>
        <v>7.65</v>
      </c>
      <c r="P56" s="221">
        <f t="shared" si="69"/>
        <v>1.195569498069498</v>
      </c>
      <c r="Q56" s="221">
        <f t="shared" si="70"/>
        <v>15</v>
      </c>
      <c r="R56" s="221">
        <f t="shared" si="71"/>
        <v>1.2584942084942083</v>
      </c>
      <c r="S56" s="176">
        <f t="shared" si="72"/>
        <v>47.465494839630303</v>
      </c>
      <c r="T56" s="176">
        <f t="shared" si="73"/>
        <v>15</v>
      </c>
      <c r="U56" s="221">
        <f t="shared" si="74"/>
        <v>1.7489572989076467</v>
      </c>
      <c r="V56" s="221">
        <f t="shared" si="75"/>
        <v>0.81618007282356853</v>
      </c>
      <c r="W56" s="221">
        <f t="shared" si="76"/>
        <v>0.51332080051796747</v>
      </c>
      <c r="X56" s="201">
        <f t="shared" si="77"/>
        <v>350</v>
      </c>
      <c r="Y56" s="451">
        <f t="shared" si="50"/>
        <v>350</v>
      </c>
      <c r="AA56" s="221">
        <f t="shared" si="78"/>
        <v>3.7585690646915135</v>
      </c>
      <c r="AB56" s="177">
        <f t="shared" si="79"/>
        <v>1.1031439602868174</v>
      </c>
      <c r="AC56" s="177">
        <f t="shared" si="80"/>
        <v>1.0883887252967701</v>
      </c>
      <c r="AD56" s="177"/>
      <c r="AE56" s="177">
        <f t="shared" si="81"/>
        <v>0.24067085953878403</v>
      </c>
      <c r="AF56" s="559">
        <f t="shared" si="82"/>
        <v>3445.6530976459599</v>
      </c>
      <c r="AG56" s="542">
        <f t="shared" si="83"/>
        <v>5.1804402515723262E-2</v>
      </c>
      <c r="AI56" s="177">
        <f t="shared" si="84"/>
        <v>2.6396953246708517</v>
      </c>
      <c r="AJ56" s="177">
        <f t="shared" si="85"/>
        <v>2.6396953246708517</v>
      </c>
      <c r="AK56" s="177">
        <f t="shared" si="86"/>
        <v>2.5479224627191495</v>
      </c>
      <c r="AM56" s="559">
        <f t="shared" si="87"/>
        <v>510</v>
      </c>
      <c r="AN56" s="469">
        <f t="shared" si="88"/>
        <v>350</v>
      </c>
      <c r="AP56">
        <f t="shared" si="89"/>
        <v>510</v>
      </c>
      <c r="AQ56" s="469">
        <f t="shared" si="90"/>
        <v>350</v>
      </c>
      <c r="AR56" s="469"/>
      <c r="AS56" s="5">
        <f t="shared" si="51"/>
        <v>2.8571428571428572</v>
      </c>
      <c r="AT56" s="5">
        <f t="shared" si="91"/>
        <v>1.2318578181797308</v>
      </c>
      <c r="AU56" s="5">
        <f t="shared" si="52"/>
        <v>1.6252850389631264</v>
      </c>
      <c r="AV56" s="5">
        <f t="shared" si="92"/>
        <v>0.7747533447671261</v>
      </c>
      <c r="AW56" s="177">
        <f t="shared" si="53"/>
        <v>0.43115023636290578</v>
      </c>
      <c r="AX56" s="177">
        <f t="shared" si="93"/>
        <v>8.5357894736842113</v>
      </c>
      <c r="AY56" s="177">
        <f t="shared" si="94"/>
        <v>1.1261925461347173</v>
      </c>
      <c r="AZ56" s="177">
        <f t="shared" si="54"/>
        <v>7.5793340161773219</v>
      </c>
      <c r="BA56" s="469">
        <f t="shared" si="95"/>
        <v>17.027319442995115</v>
      </c>
      <c r="BB56" s="469">
        <f t="shared" si="96"/>
        <v>12.241110666666664</v>
      </c>
      <c r="BC56" s="5">
        <f t="shared" si="97"/>
        <v>1.1633619226262379</v>
      </c>
      <c r="BD56" s="469">
        <f t="shared" si="98"/>
        <v>88.862670512757319</v>
      </c>
      <c r="BE56" s="5"/>
      <c r="BF56" s="177">
        <f t="shared" si="55"/>
        <v>1.0007082728649719</v>
      </c>
      <c r="BG56" s="177">
        <f t="shared" si="99"/>
        <v>1.7241824725680792</v>
      </c>
      <c r="BH56" s="177"/>
      <c r="BI56" s="542">
        <f t="shared" si="100"/>
        <v>0.11015587521184345</v>
      </c>
      <c r="BJ56" s="542">
        <f t="shared" si="101"/>
        <v>0.17946628588605956</v>
      </c>
      <c r="BK56" s="542">
        <f t="shared" si="102"/>
        <v>1.7499999999999998E-2</v>
      </c>
      <c r="BL56" s="542">
        <f t="shared" si="103"/>
        <v>0.11885914687500002</v>
      </c>
      <c r="BM56">
        <f t="shared" si="104"/>
        <v>4.3499999999999997E-3</v>
      </c>
      <c r="BN56" s="469">
        <f t="shared" si="56"/>
        <v>430.33130797290301</v>
      </c>
      <c r="BO56" s="542">
        <f t="shared" si="105"/>
        <v>0.45900000000000002</v>
      </c>
      <c r="BP56" s="542"/>
      <c r="BR56" s="469">
        <f t="shared" si="58"/>
        <v>459</v>
      </c>
      <c r="BS56" s="542">
        <f t="shared" si="106"/>
        <v>0</v>
      </c>
      <c r="BT56" s="542">
        <f t="shared" si="107"/>
        <v>0</v>
      </c>
      <c r="BU56" s="542">
        <f t="shared" si="108"/>
        <v>0</v>
      </c>
      <c r="BV56" s="542">
        <f t="shared" si="109"/>
        <v>0</v>
      </c>
      <c r="BW56" s="469">
        <f t="shared" si="59"/>
        <v>0</v>
      </c>
      <c r="BX56" s="177">
        <f t="shared" si="60"/>
        <v>0.88933130797290305</v>
      </c>
      <c r="BY56" s="5">
        <f t="shared" si="61"/>
        <v>7.65</v>
      </c>
      <c r="BZ56" s="177">
        <f t="shared" si="62"/>
        <v>0.89585468979959093</v>
      </c>
      <c r="CA56" s="5">
        <f t="shared" si="63"/>
        <v>89.585468979959089</v>
      </c>
      <c r="CD56" s="576">
        <f t="shared" si="110"/>
        <v>-50</v>
      </c>
      <c r="CE56">
        <f t="shared" si="111"/>
        <v>-50</v>
      </c>
    </row>
    <row r="57" spans="5:83" x14ac:dyDescent="0.25">
      <c r="E57" s="174">
        <v>52</v>
      </c>
      <c r="F57" s="221">
        <f t="shared" si="112"/>
        <v>0.52</v>
      </c>
      <c r="G57" s="221"/>
      <c r="H57" s="221">
        <f t="shared" si="64"/>
        <v>7.8000000000000007</v>
      </c>
      <c r="I57" s="555">
        <f t="shared" si="65"/>
        <v>15</v>
      </c>
      <c r="J57" s="176">
        <f t="shared" si="66"/>
        <v>23.85</v>
      </c>
      <c r="K57" s="451">
        <f t="shared" si="67"/>
        <v>38.85</v>
      </c>
      <c r="L57" s="451"/>
      <c r="M57" s="221">
        <f t="shared" si="68"/>
        <v>0.61389961389961389</v>
      </c>
      <c r="N57" s="176">
        <f t="shared" si="5"/>
        <v>17.933542471042468</v>
      </c>
      <c r="O57" s="176">
        <f t="shared" si="49"/>
        <v>7.8000000000000007</v>
      </c>
      <c r="P57" s="221">
        <f t="shared" si="69"/>
        <v>1.195569498069498</v>
      </c>
      <c r="Q57" s="221">
        <f t="shared" si="70"/>
        <v>15</v>
      </c>
      <c r="R57" s="221">
        <f t="shared" si="71"/>
        <v>1.2584942084942083</v>
      </c>
      <c r="S57" s="176">
        <f t="shared" si="72"/>
        <v>46.368287114594715</v>
      </c>
      <c r="T57" s="176">
        <f t="shared" si="73"/>
        <v>15</v>
      </c>
      <c r="U57" s="221">
        <f t="shared" si="74"/>
        <v>1.7832505792783848</v>
      </c>
      <c r="V57" s="221">
        <f t="shared" si="75"/>
        <v>0.83218360366324629</v>
      </c>
      <c r="W57" s="221">
        <f t="shared" si="76"/>
        <v>0.52338591425361392</v>
      </c>
      <c r="X57" s="201">
        <f t="shared" si="77"/>
        <v>350</v>
      </c>
      <c r="Y57" s="451">
        <f t="shared" si="50"/>
        <v>350</v>
      </c>
      <c r="AA57" s="221">
        <f t="shared" si="78"/>
        <v>3.7585690646915135</v>
      </c>
      <c r="AB57" s="177">
        <f t="shared" si="79"/>
        <v>1.1031439602868174</v>
      </c>
      <c r="AC57" s="177">
        <f t="shared" si="80"/>
        <v>1.0883887252967701</v>
      </c>
      <c r="AD57" s="177"/>
      <c r="AE57" s="177">
        <f t="shared" si="81"/>
        <v>0.24067085953878403</v>
      </c>
      <c r="AF57" s="559">
        <f t="shared" si="82"/>
        <v>3513.2149230899981</v>
      </c>
      <c r="AG57" s="542">
        <f t="shared" si="83"/>
        <v>5.1804402515723262E-2</v>
      </c>
      <c r="AI57" s="177">
        <f t="shared" si="84"/>
        <v>2.6654490596485045</v>
      </c>
      <c r="AJ57" s="177">
        <f t="shared" si="85"/>
        <v>2.6654490596485045</v>
      </c>
      <c r="AK57" s="177">
        <f t="shared" si="86"/>
        <v>2.5669993034433372</v>
      </c>
      <c r="AM57" s="559">
        <f t="shared" si="87"/>
        <v>520</v>
      </c>
      <c r="AN57" s="469">
        <f t="shared" si="88"/>
        <v>350</v>
      </c>
      <c r="AP57">
        <f t="shared" si="89"/>
        <v>520</v>
      </c>
      <c r="AQ57" s="469">
        <f t="shared" si="90"/>
        <v>350</v>
      </c>
      <c r="AR57" s="469"/>
      <c r="AS57" s="5">
        <f t="shared" si="51"/>
        <v>2.8571428571428572</v>
      </c>
      <c r="AT57" s="5">
        <f t="shared" si="91"/>
        <v>1.243876227835969</v>
      </c>
      <c r="AU57" s="5">
        <f t="shared" si="52"/>
        <v>1.6132666293068882</v>
      </c>
      <c r="AV57" s="5">
        <f t="shared" si="92"/>
        <v>0.78231209297859672</v>
      </c>
      <c r="AW57" s="177">
        <f t="shared" si="53"/>
        <v>0.43535667974258913</v>
      </c>
      <c r="AX57" s="177">
        <f t="shared" si="93"/>
        <v>8.7031578947368455</v>
      </c>
      <c r="AY57" s="177">
        <f t="shared" si="94"/>
        <v>1.1287710052626938</v>
      </c>
      <c r="AZ57" s="177">
        <f t="shared" si="54"/>
        <v>7.710295404612558</v>
      </c>
      <c r="BA57" s="469">
        <f t="shared" si="95"/>
        <v>17.027319442995115</v>
      </c>
      <c r="BB57" s="469">
        <f t="shared" si="96"/>
        <v>12.695272296296293</v>
      </c>
      <c r="BC57" s="5">
        <f t="shared" si="97"/>
        <v>1.1774016101608169</v>
      </c>
      <c r="BD57" s="469">
        <f t="shared" si="98"/>
        <v>89.947226025219152</v>
      </c>
      <c r="BE57" s="5"/>
      <c r="BF57" s="177">
        <f t="shared" si="55"/>
        <v>1.0153887931121377</v>
      </c>
      <c r="BG57" s="177">
        <f t="shared" si="99"/>
        <v>1.7345551633015146</v>
      </c>
      <c r="BH57" s="177"/>
      <c r="BI57" s="542">
        <f t="shared" si="100"/>
        <v>0.11341158412954959</v>
      </c>
      <c r="BJ57" s="542">
        <f t="shared" si="101"/>
        <v>0.18121721794285267</v>
      </c>
      <c r="BK57" s="542">
        <f t="shared" si="102"/>
        <v>1.7499999999999998E-2</v>
      </c>
      <c r="BL57" s="542">
        <f t="shared" si="103"/>
        <v>0.11885914687500002</v>
      </c>
      <c r="BM57">
        <f t="shared" si="104"/>
        <v>4.3499999999999997E-3</v>
      </c>
      <c r="BN57" s="469">
        <f t="shared" si="56"/>
        <v>435.33794894740237</v>
      </c>
      <c r="BO57" s="542">
        <f t="shared" si="105"/>
        <v>0.46800000000000003</v>
      </c>
      <c r="BP57" s="542"/>
      <c r="BR57" s="469">
        <f t="shared" si="58"/>
        <v>468</v>
      </c>
      <c r="BS57" s="542">
        <f t="shared" si="106"/>
        <v>0</v>
      </c>
      <c r="BT57" s="542">
        <f t="shared" si="107"/>
        <v>0</v>
      </c>
      <c r="BU57" s="542">
        <f t="shared" si="108"/>
        <v>0</v>
      </c>
      <c r="BV57" s="542">
        <f t="shared" si="109"/>
        <v>0</v>
      </c>
      <c r="BW57" s="469">
        <f t="shared" si="59"/>
        <v>0</v>
      </c>
      <c r="BX57" s="177">
        <f t="shared" si="60"/>
        <v>0.90333794894740238</v>
      </c>
      <c r="BY57" s="5">
        <f t="shared" si="61"/>
        <v>7.8000000000000007</v>
      </c>
      <c r="BZ57" s="177">
        <f t="shared" si="62"/>
        <v>0.89620787400808055</v>
      </c>
      <c r="CA57" s="5">
        <f t="shared" si="63"/>
        <v>89.620787400808055</v>
      </c>
      <c r="CD57" s="576">
        <f t="shared" si="110"/>
        <v>-50</v>
      </c>
      <c r="CE57">
        <f t="shared" si="111"/>
        <v>-50</v>
      </c>
    </row>
    <row r="58" spans="5:83" x14ac:dyDescent="0.25">
      <c r="E58" s="174">
        <v>53</v>
      </c>
      <c r="F58" s="221">
        <f t="shared" si="112"/>
        <v>0.53</v>
      </c>
      <c r="G58" s="221"/>
      <c r="H58" s="221">
        <f t="shared" si="64"/>
        <v>7.95</v>
      </c>
      <c r="I58" s="555">
        <f t="shared" si="65"/>
        <v>15</v>
      </c>
      <c r="J58" s="176">
        <f t="shared" si="66"/>
        <v>23.85</v>
      </c>
      <c r="K58" s="451">
        <f t="shared" si="67"/>
        <v>38.85</v>
      </c>
      <c r="L58" s="451"/>
      <c r="M58" s="221">
        <f t="shared" si="68"/>
        <v>0.61389961389961389</v>
      </c>
      <c r="N58" s="176">
        <f t="shared" si="5"/>
        <v>17.933542471042468</v>
      </c>
      <c r="O58" s="176">
        <f t="shared" si="49"/>
        <v>7.95</v>
      </c>
      <c r="P58" s="221">
        <f t="shared" si="69"/>
        <v>1.195569498069498</v>
      </c>
      <c r="Q58" s="221">
        <f t="shared" si="70"/>
        <v>15</v>
      </c>
      <c r="R58" s="221">
        <f t="shared" si="71"/>
        <v>1.2584942084942083</v>
      </c>
      <c r="S58" s="176">
        <f t="shared" si="72"/>
        <v>45.312676287408543</v>
      </c>
      <c r="T58" s="176">
        <f t="shared" si="73"/>
        <v>15</v>
      </c>
      <c r="U58" s="221">
        <f t="shared" si="74"/>
        <v>1.8175438596491229</v>
      </c>
      <c r="V58" s="221">
        <f t="shared" si="75"/>
        <v>0.84818713450292404</v>
      </c>
      <c r="W58" s="221">
        <f t="shared" si="76"/>
        <v>0.53345102798926036</v>
      </c>
      <c r="X58" s="201">
        <f t="shared" si="77"/>
        <v>350</v>
      </c>
      <c r="Y58" s="451">
        <f t="shared" si="50"/>
        <v>350</v>
      </c>
      <c r="AA58" s="221">
        <f t="shared" si="78"/>
        <v>3.7585690646915135</v>
      </c>
      <c r="AB58" s="177">
        <f t="shared" si="79"/>
        <v>1.1031439602868174</v>
      </c>
      <c r="AC58" s="177">
        <f t="shared" si="80"/>
        <v>1.0883887252967701</v>
      </c>
      <c r="AD58" s="177"/>
      <c r="AE58" s="177">
        <f t="shared" si="81"/>
        <v>0.24067085953878403</v>
      </c>
      <c r="AF58" s="559">
        <f t="shared" si="82"/>
        <v>3580.7767485340369</v>
      </c>
      <c r="AG58" s="542">
        <f t="shared" si="83"/>
        <v>5.1804402515723262E-2</v>
      </c>
      <c r="AI58" s="177">
        <f t="shared" si="84"/>
        <v>2.6909563303913058</v>
      </c>
      <c r="AJ58" s="177">
        <f t="shared" si="85"/>
        <v>2.6909563303913058</v>
      </c>
      <c r="AK58" s="177">
        <f t="shared" si="86"/>
        <v>2.5858935780676342</v>
      </c>
      <c r="AM58" s="559">
        <f t="shared" si="87"/>
        <v>530</v>
      </c>
      <c r="AN58" s="469">
        <f t="shared" si="88"/>
        <v>350</v>
      </c>
      <c r="AP58">
        <f t="shared" si="89"/>
        <v>530</v>
      </c>
      <c r="AQ58" s="469">
        <f t="shared" si="90"/>
        <v>350</v>
      </c>
      <c r="AR58" s="469"/>
      <c r="AS58" s="5">
        <f t="shared" si="51"/>
        <v>2.8571428571428572</v>
      </c>
      <c r="AT58" s="5">
        <f t="shared" si="91"/>
        <v>1.255779620849276</v>
      </c>
      <c r="AU58" s="5">
        <f t="shared" si="52"/>
        <v>1.6013632362935812</v>
      </c>
      <c r="AV58" s="5">
        <f t="shared" si="92"/>
        <v>0.7897985036787899</v>
      </c>
      <c r="AW58" s="177">
        <f t="shared" si="53"/>
        <v>0.4395228672972466</v>
      </c>
      <c r="AX58" s="177">
        <f t="shared" si="93"/>
        <v>8.8705263157894763</v>
      </c>
      <c r="AY58" s="177">
        <f t="shared" si="94"/>
        <v>1.1311646162145317</v>
      </c>
      <c r="AZ58" s="177">
        <f t="shared" si="54"/>
        <v>7.8419411185923549</v>
      </c>
      <c r="BA58" s="469">
        <f t="shared" si="95"/>
        <v>17.027319442995115</v>
      </c>
      <c r="BB58" s="469">
        <f t="shared" si="96"/>
        <v>13.157670074074073</v>
      </c>
      <c r="BC58" s="5">
        <f t="shared" si="97"/>
        <v>1.1911894950675059</v>
      </c>
      <c r="BD58" s="469">
        <f t="shared" si="98"/>
        <v>91.012896340589279</v>
      </c>
      <c r="BE58" s="5"/>
      <c r="BF58" s="177">
        <f t="shared" si="55"/>
        <v>1.0299988984541328</v>
      </c>
      <c r="BG58" s="177">
        <f t="shared" si="99"/>
        <v>1.744681800420107</v>
      </c>
      <c r="BH58" s="177"/>
      <c r="BI58" s="542">
        <f t="shared" si="100"/>
        <v>0.11669875038983998</v>
      </c>
      <c r="BJ58" s="542">
        <f t="shared" si="101"/>
        <v>0.18295139351247891</v>
      </c>
      <c r="BK58" s="542">
        <f t="shared" si="102"/>
        <v>1.7499999999999998E-2</v>
      </c>
      <c r="BL58" s="542">
        <f t="shared" si="103"/>
        <v>0.11885914687500002</v>
      </c>
      <c r="BM58">
        <f t="shared" si="104"/>
        <v>4.3499999999999997E-3</v>
      </c>
      <c r="BN58" s="469">
        <f t="shared" si="56"/>
        <v>440.35929077731902</v>
      </c>
      <c r="BO58" s="542">
        <f t="shared" si="105"/>
        <v>0.47700000000000004</v>
      </c>
      <c r="BP58" s="542"/>
      <c r="BR58" s="469">
        <f t="shared" si="58"/>
        <v>477.00000000000006</v>
      </c>
      <c r="BS58" s="542">
        <f t="shared" si="106"/>
        <v>0</v>
      </c>
      <c r="BT58" s="542">
        <f t="shared" si="107"/>
        <v>0</v>
      </c>
      <c r="BU58" s="542">
        <f t="shared" si="108"/>
        <v>0</v>
      </c>
      <c r="BV58" s="542">
        <f t="shared" si="109"/>
        <v>0</v>
      </c>
      <c r="BW58" s="469">
        <f t="shared" si="59"/>
        <v>0</v>
      </c>
      <c r="BX58" s="177">
        <f t="shared" si="60"/>
        <v>0.91735929077731904</v>
      </c>
      <c r="BY58" s="5">
        <f t="shared" si="61"/>
        <v>7.95</v>
      </c>
      <c r="BZ58" s="177">
        <f t="shared" si="62"/>
        <v>0.89654650717362527</v>
      </c>
      <c r="CA58" s="5">
        <f t="shared" si="63"/>
        <v>89.654650717362529</v>
      </c>
      <c r="CD58" s="576">
        <f t="shared" si="110"/>
        <v>-50</v>
      </c>
      <c r="CE58">
        <f t="shared" si="111"/>
        <v>-50</v>
      </c>
    </row>
    <row r="59" spans="5:83" x14ac:dyDescent="0.25">
      <c r="E59" s="174">
        <v>54</v>
      </c>
      <c r="F59" s="221">
        <f t="shared" si="112"/>
        <v>0.54</v>
      </c>
      <c r="G59" s="221"/>
      <c r="H59" s="221">
        <f t="shared" si="64"/>
        <v>8.1000000000000014</v>
      </c>
      <c r="I59" s="555">
        <f t="shared" si="65"/>
        <v>15</v>
      </c>
      <c r="J59" s="176">
        <f t="shared" si="66"/>
        <v>23.85</v>
      </c>
      <c r="K59" s="451">
        <f t="shared" si="67"/>
        <v>38.85</v>
      </c>
      <c r="L59" s="451"/>
      <c r="M59" s="221">
        <f t="shared" si="68"/>
        <v>0.61389961389961389</v>
      </c>
      <c r="N59" s="176">
        <f t="shared" si="5"/>
        <v>17.933542471042468</v>
      </c>
      <c r="O59" s="176">
        <f t="shared" si="49"/>
        <v>8.1000000000000014</v>
      </c>
      <c r="P59" s="221">
        <f t="shared" si="69"/>
        <v>1.195569498069498</v>
      </c>
      <c r="Q59" s="221">
        <f t="shared" si="70"/>
        <v>15</v>
      </c>
      <c r="R59" s="221">
        <f t="shared" si="71"/>
        <v>1.2584942084942083</v>
      </c>
      <c r="S59" s="176">
        <f t="shared" si="72"/>
        <v>44.296353332068065</v>
      </c>
      <c r="T59" s="176">
        <f t="shared" si="73"/>
        <v>15</v>
      </c>
      <c r="U59" s="221">
        <f t="shared" si="74"/>
        <v>1.8518371400198614</v>
      </c>
      <c r="V59" s="221">
        <f t="shared" si="75"/>
        <v>0.86419066534260203</v>
      </c>
      <c r="W59" s="221">
        <f t="shared" si="76"/>
        <v>0.54351614172490681</v>
      </c>
      <c r="X59" s="201">
        <f t="shared" si="77"/>
        <v>350</v>
      </c>
      <c r="Y59" s="451">
        <f t="shared" si="50"/>
        <v>350</v>
      </c>
      <c r="AA59" s="221">
        <f t="shared" si="78"/>
        <v>3.7585690646915135</v>
      </c>
      <c r="AB59" s="177">
        <f t="shared" si="79"/>
        <v>1.1031439602868174</v>
      </c>
      <c r="AC59" s="177">
        <f t="shared" si="80"/>
        <v>1.0883887252967701</v>
      </c>
      <c r="AD59" s="177"/>
      <c r="AE59" s="177">
        <f t="shared" si="81"/>
        <v>0.24067085953878403</v>
      </c>
      <c r="AF59" s="559">
        <f t="shared" si="82"/>
        <v>3648.3385739780751</v>
      </c>
      <c r="AG59" s="542">
        <f t="shared" si="83"/>
        <v>5.1804402515723262E-2</v>
      </c>
      <c r="AI59" s="177">
        <f t="shared" si="84"/>
        <v>2.7162240803300794</v>
      </c>
      <c r="AJ59" s="177">
        <f t="shared" si="85"/>
        <v>2.7162240803300794</v>
      </c>
      <c r="AK59" s="177">
        <f t="shared" si="86"/>
        <v>2.6046104298741328</v>
      </c>
      <c r="AM59" s="559">
        <f t="shared" si="87"/>
        <v>540</v>
      </c>
      <c r="AN59" s="469">
        <f t="shared" si="88"/>
        <v>350</v>
      </c>
      <c r="AP59">
        <f t="shared" si="89"/>
        <v>540</v>
      </c>
      <c r="AQ59" s="469">
        <f t="shared" si="90"/>
        <v>350</v>
      </c>
      <c r="AR59" s="469"/>
      <c r="AS59" s="5">
        <f t="shared" si="51"/>
        <v>2.8571428571428572</v>
      </c>
      <c r="AT59" s="5">
        <f t="shared" si="91"/>
        <v>1.2675712374873704</v>
      </c>
      <c r="AU59" s="5">
        <f t="shared" si="52"/>
        <v>1.5895716196554868</v>
      </c>
      <c r="AV59" s="5">
        <f t="shared" si="92"/>
        <v>0.79721461477193101</v>
      </c>
      <c r="AW59" s="177">
        <f t="shared" si="53"/>
        <v>0.44364993312057965</v>
      </c>
      <c r="AX59" s="177">
        <f t="shared" si="93"/>
        <v>9.037894736842107</v>
      </c>
      <c r="AY59" s="177">
        <f t="shared" si="94"/>
        <v>1.1333785865633488</v>
      </c>
      <c r="AZ59" s="177">
        <f t="shared" si="54"/>
        <v>7.9742945949305222</v>
      </c>
      <c r="BA59" s="469">
        <f t="shared" si="95"/>
        <v>17.027319442995115</v>
      </c>
      <c r="BB59" s="469">
        <f t="shared" si="96"/>
        <v>13.628304</v>
      </c>
      <c r="BC59" s="5">
        <f t="shared" si="97"/>
        <v>1.2047279643704747</v>
      </c>
      <c r="BD59" s="469">
        <f t="shared" si="98"/>
        <v>92.059860485680332</v>
      </c>
      <c r="BE59" s="5"/>
      <c r="BF59" s="177">
        <f t="shared" si="55"/>
        <v>1.0445402459072395</v>
      </c>
      <c r="BG59" s="177">
        <f t="shared" si="99"/>
        <v>1.7545683825242713</v>
      </c>
      <c r="BH59" s="177"/>
      <c r="BI59" s="542">
        <f t="shared" si="100"/>
        <v>0.1200170757851952</v>
      </c>
      <c r="BJ59" s="542">
        <f t="shared" si="101"/>
        <v>0.18466928466144131</v>
      </c>
      <c r="BK59" s="542">
        <f t="shared" si="102"/>
        <v>1.7499999999999998E-2</v>
      </c>
      <c r="BL59" s="542">
        <f t="shared" si="103"/>
        <v>0.11885914687500002</v>
      </c>
      <c r="BM59">
        <f t="shared" si="104"/>
        <v>4.3499999999999997E-3</v>
      </c>
      <c r="BN59" s="469">
        <f t="shared" si="56"/>
        <v>445.3955073216365</v>
      </c>
      <c r="BO59" s="542">
        <f t="shared" si="105"/>
        <v>0.48600000000000004</v>
      </c>
      <c r="BP59" s="542"/>
      <c r="BR59" s="469">
        <f t="shared" si="58"/>
        <v>486.00000000000006</v>
      </c>
      <c r="BS59" s="542">
        <f t="shared" si="106"/>
        <v>0</v>
      </c>
      <c r="BT59" s="542">
        <f t="shared" si="107"/>
        <v>0</v>
      </c>
      <c r="BU59" s="542">
        <f t="shared" si="108"/>
        <v>0</v>
      </c>
      <c r="BV59" s="542">
        <f t="shared" si="109"/>
        <v>0</v>
      </c>
      <c r="BW59" s="469">
        <f t="shared" si="59"/>
        <v>0</v>
      </c>
      <c r="BX59" s="177">
        <f t="shared" si="60"/>
        <v>0.93139550732163656</v>
      </c>
      <c r="BY59" s="5">
        <f t="shared" si="61"/>
        <v>8.1000000000000014</v>
      </c>
      <c r="BZ59" s="177">
        <f t="shared" si="62"/>
        <v>0.89687136317232852</v>
      </c>
      <c r="CA59" s="5">
        <f t="shared" si="63"/>
        <v>89.687136317232856</v>
      </c>
      <c r="CD59" s="576">
        <f t="shared" si="110"/>
        <v>-50</v>
      </c>
      <c r="CE59">
        <f t="shared" si="111"/>
        <v>-50</v>
      </c>
    </row>
    <row r="60" spans="5:83" x14ac:dyDescent="0.25">
      <c r="E60" s="174">
        <v>55</v>
      </c>
      <c r="F60" s="221">
        <f t="shared" si="112"/>
        <v>0.55000000000000004</v>
      </c>
      <c r="G60" s="221"/>
      <c r="H60" s="221">
        <f t="shared" si="64"/>
        <v>8.25</v>
      </c>
      <c r="I60" s="555">
        <f t="shared" si="65"/>
        <v>15</v>
      </c>
      <c r="J60" s="176">
        <f t="shared" si="66"/>
        <v>23.85</v>
      </c>
      <c r="K60" s="451">
        <f t="shared" si="67"/>
        <v>38.85</v>
      </c>
      <c r="L60" s="451"/>
      <c r="M60" s="221">
        <f t="shared" si="68"/>
        <v>0.61389961389961389</v>
      </c>
      <c r="N60" s="176">
        <f t="shared" si="5"/>
        <v>17.933542471042468</v>
      </c>
      <c r="O60" s="176">
        <f t="shared" si="49"/>
        <v>8.25</v>
      </c>
      <c r="P60" s="221">
        <f t="shared" si="69"/>
        <v>1.195569498069498</v>
      </c>
      <c r="Q60" s="221">
        <f t="shared" si="70"/>
        <v>15</v>
      </c>
      <c r="R60" s="221">
        <f t="shared" si="71"/>
        <v>1.2584942084942083</v>
      </c>
      <c r="S60" s="176">
        <f t="shared" si="72"/>
        <v>43.317177172334368</v>
      </c>
      <c r="T60" s="176">
        <f t="shared" si="73"/>
        <v>15</v>
      </c>
      <c r="U60" s="221">
        <f t="shared" si="74"/>
        <v>1.8861304203905993</v>
      </c>
      <c r="V60" s="221">
        <f t="shared" si="75"/>
        <v>0.88019419618227968</v>
      </c>
      <c r="W60" s="221">
        <f t="shared" si="76"/>
        <v>0.55358125546055326</v>
      </c>
      <c r="X60" s="201">
        <f t="shared" si="77"/>
        <v>350</v>
      </c>
      <c r="Y60" s="451">
        <f t="shared" si="50"/>
        <v>350</v>
      </c>
      <c r="AA60" s="221">
        <f t="shared" si="78"/>
        <v>3.7585690646915135</v>
      </c>
      <c r="AB60" s="177">
        <f t="shared" si="79"/>
        <v>1.1031439602868174</v>
      </c>
      <c r="AC60" s="177">
        <f t="shared" si="80"/>
        <v>1.0883887252967701</v>
      </c>
      <c r="AD60" s="177"/>
      <c r="AE60" s="177">
        <f t="shared" si="81"/>
        <v>0.24067085953878403</v>
      </c>
      <c r="AF60" s="559">
        <f t="shared" si="82"/>
        <v>3715.9003994221139</v>
      </c>
      <c r="AG60" s="542">
        <f t="shared" si="83"/>
        <v>5.1804402515723262E-2</v>
      </c>
      <c r="AI60" s="177">
        <f t="shared" si="84"/>
        <v>2.7412589328731665</v>
      </c>
      <c r="AJ60" s="177">
        <f t="shared" si="85"/>
        <v>2.7412589328731665</v>
      </c>
      <c r="AK60" s="177">
        <f t="shared" si="86"/>
        <v>2.6231547650912344</v>
      </c>
      <c r="AM60" s="559">
        <f t="shared" si="87"/>
        <v>550</v>
      </c>
      <c r="AN60" s="469">
        <f t="shared" si="88"/>
        <v>350</v>
      </c>
      <c r="AP60">
        <f t="shared" si="89"/>
        <v>550</v>
      </c>
      <c r="AQ60" s="469">
        <f t="shared" si="90"/>
        <v>350</v>
      </c>
      <c r="AS60" s="5">
        <f t="shared" si="51"/>
        <v>2.8571428571428572</v>
      </c>
      <c r="AT60" s="5">
        <f t="shared" si="91"/>
        <v>1.2792541686741443</v>
      </c>
      <c r="AU60" s="5">
        <f t="shared" si="52"/>
        <v>1.5778886884687129</v>
      </c>
      <c r="AV60" s="5">
        <f t="shared" si="92"/>
        <v>0.80456237023531085</v>
      </c>
      <c r="AW60" s="177">
        <f t="shared" si="53"/>
        <v>0.44773895903595051</v>
      </c>
      <c r="AX60" s="177">
        <f t="shared" si="93"/>
        <v>9.2052631578947413</v>
      </c>
      <c r="AY60" s="177">
        <f t="shared" si="94"/>
        <v>1.135417883865401</v>
      </c>
      <c r="AZ60" s="177">
        <f t="shared" si="54"/>
        <v>8.1073790440542215</v>
      </c>
      <c r="BA60" s="469">
        <f t="shared" si="95"/>
        <v>17.027319442995115</v>
      </c>
      <c r="BB60" s="469">
        <f t="shared" si="96"/>
        <v>14.107174074074075</v>
      </c>
      <c r="BC60" s="5">
        <f t="shared" si="97"/>
        <v>1.2180193384670768</v>
      </c>
      <c r="BD60" s="469">
        <f t="shared" si="98"/>
        <v>93.088292490293924</v>
      </c>
      <c r="BE60" s="5"/>
      <c r="BF60" s="177">
        <f t="shared" si="55"/>
        <v>1.0590144235934595</v>
      </c>
      <c r="BG60" s="177">
        <f t="shared" si="99"/>
        <v>1.764220625854368</v>
      </c>
      <c r="BH60" s="177"/>
      <c r="BI60" s="542">
        <f t="shared" si="100"/>
        <v>0.1233662704316886</v>
      </c>
      <c r="BJ60" s="542">
        <f t="shared" si="101"/>
        <v>0.18637134169871442</v>
      </c>
      <c r="BK60" s="542">
        <f t="shared" si="102"/>
        <v>1.7499999999999998E-2</v>
      </c>
      <c r="BL60" s="542">
        <f t="shared" si="103"/>
        <v>0.11885914687500002</v>
      </c>
      <c r="BM60">
        <f t="shared" si="104"/>
        <v>4.3499999999999997E-3</v>
      </c>
      <c r="BN60" s="469">
        <f t="shared" si="56"/>
        <v>450.44675900540307</v>
      </c>
      <c r="BO60" s="542">
        <f t="shared" si="105"/>
        <v>0.49500000000000005</v>
      </c>
      <c r="BP60" s="542"/>
      <c r="BR60" s="469">
        <f t="shared" si="58"/>
        <v>495.00000000000006</v>
      </c>
      <c r="BS60" s="542">
        <f t="shared" si="106"/>
        <v>0</v>
      </c>
      <c r="BT60" s="542">
        <f t="shared" si="107"/>
        <v>0</v>
      </c>
      <c r="BU60" s="542">
        <f t="shared" si="108"/>
        <v>0</v>
      </c>
      <c r="BV60" s="542">
        <f t="shared" si="109"/>
        <v>0</v>
      </c>
      <c r="BW60" s="469">
        <f t="shared" si="59"/>
        <v>0</v>
      </c>
      <c r="BX60" s="177">
        <f t="shared" si="60"/>
        <v>0.94544675900540309</v>
      </c>
      <c r="BY60" s="5">
        <f t="shared" si="61"/>
        <v>8.25</v>
      </c>
      <c r="BZ60" s="177">
        <f t="shared" si="62"/>
        <v>0.89718316208187532</v>
      </c>
      <c r="CA60" s="5">
        <f t="shared" si="63"/>
        <v>89.718316208187531</v>
      </c>
      <c r="CD60" s="576">
        <f t="shared" si="110"/>
        <v>-50</v>
      </c>
      <c r="CE60">
        <f t="shared" si="111"/>
        <v>-50</v>
      </c>
    </row>
    <row r="61" spans="5:83" x14ac:dyDescent="0.25">
      <c r="E61" s="174">
        <v>56</v>
      </c>
      <c r="F61" s="221">
        <f t="shared" si="112"/>
        <v>0.56000000000000005</v>
      </c>
      <c r="G61" s="221"/>
      <c r="H61" s="221">
        <f t="shared" si="64"/>
        <v>8.4</v>
      </c>
      <c r="I61" s="555">
        <f t="shared" si="65"/>
        <v>15</v>
      </c>
      <c r="J61" s="176">
        <f t="shared" si="66"/>
        <v>23.85</v>
      </c>
      <c r="K61" s="451">
        <f t="shared" si="67"/>
        <v>38.85</v>
      </c>
      <c r="L61" s="451"/>
      <c r="M61" s="221">
        <f t="shared" si="68"/>
        <v>0.61389961389961389</v>
      </c>
      <c r="N61" s="176">
        <f t="shared" si="5"/>
        <v>17.933542471042468</v>
      </c>
      <c r="O61" s="176">
        <f t="shared" si="49"/>
        <v>8.4</v>
      </c>
      <c r="P61" s="221">
        <f t="shared" si="69"/>
        <v>1.195569498069498</v>
      </c>
      <c r="Q61" s="221">
        <f t="shared" si="70"/>
        <v>15</v>
      </c>
      <c r="R61" s="221">
        <f t="shared" si="71"/>
        <v>1.2584942084942083</v>
      </c>
      <c r="S61" s="176">
        <f t="shared" si="72"/>
        <v>42.373159686401962</v>
      </c>
      <c r="T61" s="176">
        <f t="shared" si="73"/>
        <v>15</v>
      </c>
      <c r="U61" s="221">
        <f t="shared" si="74"/>
        <v>1.9204237007613374</v>
      </c>
      <c r="V61" s="221">
        <f t="shared" si="75"/>
        <v>0.89619772702195744</v>
      </c>
      <c r="W61" s="221">
        <f t="shared" si="76"/>
        <v>0.5636463691961997</v>
      </c>
      <c r="X61" s="201">
        <f t="shared" si="77"/>
        <v>350</v>
      </c>
      <c r="Y61" s="451">
        <f t="shared" si="50"/>
        <v>350</v>
      </c>
      <c r="AA61" s="221">
        <f t="shared" si="78"/>
        <v>3.7585690646915135</v>
      </c>
      <c r="AB61" s="177">
        <f t="shared" si="79"/>
        <v>1.1031439602868174</v>
      </c>
      <c r="AC61" s="177">
        <f t="shared" si="80"/>
        <v>1.0883887252967701</v>
      </c>
      <c r="AD61" s="177"/>
      <c r="AE61" s="177">
        <f t="shared" si="81"/>
        <v>0.24067085953878403</v>
      </c>
      <c r="AF61" s="559">
        <f t="shared" si="82"/>
        <v>3783.4622248661522</v>
      </c>
      <c r="AG61" s="542">
        <f t="shared" si="83"/>
        <v>5.1804402515723262E-2</v>
      </c>
      <c r="AI61" s="177">
        <f t="shared" si="84"/>
        <v>2.7660672116832004</v>
      </c>
      <c r="AJ61" s="177">
        <f t="shared" si="85"/>
        <v>2.7660672116832004</v>
      </c>
      <c r="AK61" s="177">
        <f t="shared" si="86"/>
        <v>2.6415312679134821</v>
      </c>
      <c r="AM61" s="559">
        <f t="shared" si="87"/>
        <v>560</v>
      </c>
      <c r="AN61" s="469">
        <f t="shared" si="88"/>
        <v>350</v>
      </c>
      <c r="AP61">
        <f t="shared" si="89"/>
        <v>560</v>
      </c>
      <c r="AQ61" s="469">
        <f t="shared" si="90"/>
        <v>350</v>
      </c>
      <c r="AS61" s="5">
        <f t="shared" si="51"/>
        <v>2.8571428571428572</v>
      </c>
      <c r="AT61" s="5">
        <f t="shared" si="91"/>
        <v>1.2908313654521602</v>
      </c>
      <c r="AU61" s="5">
        <f t="shared" si="52"/>
        <v>1.5663114916906971</v>
      </c>
      <c r="AV61" s="5">
        <f t="shared" si="92"/>
        <v>0.81184362607054084</v>
      </c>
      <c r="AW61" s="177">
        <f t="shared" si="53"/>
        <v>0.45179097790825606</v>
      </c>
      <c r="AX61" s="177">
        <f t="shared" si="93"/>
        <v>9.3726315789473702</v>
      </c>
      <c r="AY61" s="177">
        <f t="shared" si="94"/>
        <v>1.137287250867663</v>
      </c>
      <c r="AZ61" s="177">
        <f t="shared" si="54"/>
        <v>8.2412174864325358</v>
      </c>
      <c r="BA61" s="469">
        <f t="shared" si="95"/>
        <v>17.027319442995115</v>
      </c>
      <c r="BB61" s="469">
        <f t="shared" si="96"/>
        <v>14.594280296296295</v>
      </c>
      <c r="BC61" s="5">
        <f t="shared" si="97"/>
        <v>1.2310658741709339</v>
      </c>
      <c r="BD61" s="469">
        <f t="shared" si="98"/>
        <v>94.098361615451623</v>
      </c>
      <c r="BE61" s="5"/>
      <c r="BF61" s="177">
        <f t="shared" si="55"/>
        <v>1.0734229548031613</v>
      </c>
      <c r="BG61" s="177">
        <f t="shared" si="99"/>
        <v>1.7736439820015655</v>
      </c>
      <c r="BH61" s="177"/>
      <c r="BI61" s="542">
        <f t="shared" si="100"/>
        <v>0.12674605238881845</v>
      </c>
      <c r="BJ61" s="542">
        <f t="shared" si="101"/>
        <v>0.1880579945543116</v>
      </c>
      <c r="BK61" s="542">
        <f t="shared" si="102"/>
        <v>1.7499999999999998E-2</v>
      </c>
      <c r="BL61" s="542">
        <f t="shared" si="103"/>
        <v>0.11885914687500002</v>
      </c>
      <c r="BM61">
        <f t="shared" si="104"/>
        <v>4.3499999999999997E-3</v>
      </c>
      <c r="BN61" s="469">
        <f t="shared" si="56"/>
        <v>455.51319381813011</v>
      </c>
      <c r="BO61" s="542">
        <f t="shared" si="105"/>
        <v>0.50400000000000011</v>
      </c>
      <c r="BP61" s="542"/>
      <c r="BR61" s="469">
        <f t="shared" si="58"/>
        <v>504.00000000000011</v>
      </c>
      <c r="BS61" s="542">
        <f t="shared" si="106"/>
        <v>0</v>
      </c>
      <c r="BT61" s="542">
        <f t="shared" si="107"/>
        <v>0</v>
      </c>
      <c r="BU61" s="542">
        <f t="shared" si="108"/>
        <v>0</v>
      </c>
      <c r="BV61" s="542">
        <f t="shared" si="109"/>
        <v>0</v>
      </c>
      <c r="BW61" s="469">
        <f t="shared" si="59"/>
        <v>0</v>
      </c>
      <c r="BX61" s="177">
        <f t="shared" si="60"/>
        <v>0.95951319381813027</v>
      </c>
      <c r="BY61" s="5">
        <f t="shared" si="61"/>
        <v>8.4</v>
      </c>
      <c r="BZ61" s="177">
        <f t="shared" si="62"/>
        <v>0.89748257479332583</v>
      </c>
      <c r="CA61" s="5">
        <f t="shared" si="63"/>
        <v>89.74825747933258</v>
      </c>
      <c r="CD61" s="576">
        <f t="shared" si="110"/>
        <v>-50</v>
      </c>
      <c r="CE61">
        <f t="shared" si="111"/>
        <v>-50</v>
      </c>
    </row>
    <row r="62" spans="5:83" x14ac:dyDescent="0.25">
      <c r="E62" s="174">
        <v>57</v>
      </c>
      <c r="F62" s="221">
        <f t="shared" si="112"/>
        <v>0.56999999999999995</v>
      </c>
      <c r="G62" s="221"/>
      <c r="H62" s="221">
        <f t="shared" si="64"/>
        <v>8.5499999999999989</v>
      </c>
      <c r="I62" s="555">
        <f t="shared" si="65"/>
        <v>15</v>
      </c>
      <c r="J62" s="176">
        <f t="shared" si="66"/>
        <v>23.85</v>
      </c>
      <c r="K62" s="451">
        <f t="shared" si="67"/>
        <v>38.85</v>
      </c>
      <c r="L62" s="451"/>
      <c r="M62" s="221">
        <f t="shared" si="68"/>
        <v>0.61389961389961389</v>
      </c>
      <c r="N62" s="176">
        <f t="shared" si="5"/>
        <v>17.933542471042468</v>
      </c>
      <c r="O62" s="176">
        <f t="shared" si="49"/>
        <v>8.5499999999999989</v>
      </c>
      <c r="P62" s="221">
        <f t="shared" si="69"/>
        <v>1.195569498069498</v>
      </c>
      <c r="Q62" s="221">
        <f t="shared" si="70"/>
        <v>15</v>
      </c>
      <c r="R62" s="221">
        <f t="shared" si="71"/>
        <v>1.2584942084942083</v>
      </c>
      <c r="S62" s="176">
        <f t="shared" si="72"/>
        <v>41.462452290022867</v>
      </c>
      <c r="T62" s="176">
        <f t="shared" si="73"/>
        <v>15</v>
      </c>
      <c r="U62" s="221">
        <f t="shared" si="74"/>
        <v>1.9547169811320753</v>
      </c>
      <c r="V62" s="221">
        <f t="shared" si="75"/>
        <v>0.9122012578616352</v>
      </c>
      <c r="W62" s="221">
        <f t="shared" si="76"/>
        <v>0.57371148293184593</v>
      </c>
      <c r="X62" s="201">
        <f t="shared" si="77"/>
        <v>350</v>
      </c>
      <c r="Y62" s="451">
        <f t="shared" si="50"/>
        <v>350</v>
      </c>
      <c r="AA62" s="221">
        <f t="shared" si="78"/>
        <v>3.7585690646915135</v>
      </c>
      <c r="AB62" s="177">
        <f t="shared" si="79"/>
        <v>1.1031439602868174</v>
      </c>
      <c r="AC62" s="177">
        <f t="shared" si="80"/>
        <v>1.0883887252967701</v>
      </c>
      <c r="AD62" s="177"/>
      <c r="AE62" s="177">
        <f t="shared" si="81"/>
        <v>0.24067085953878403</v>
      </c>
      <c r="AF62" s="559">
        <f t="shared" si="82"/>
        <v>3851.02405031019</v>
      </c>
      <c r="AG62" s="542">
        <f t="shared" si="83"/>
        <v>5.1804402515723262E-2</v>
      </c>
      <c r="AI62" s="177">
        <f t="shared" si="84"/>
        <v>2.7906549593313783</v>
      </c>
      <c r="AJ62" s="177">
        <f t="shared" si="85"/>
        <v>2.7906549593313783</v>
      </c>
      <c r="AK62" s="177">
        <f t="shared" si="86"/>
        <v>2.6597444143195395</v>
      </c>
      <c r="AM62" s="559">
        <f t="shared" si="87"/>
        <v>570</v>
      </c>
      <c r="AN62" s="469">
        <f t="shared" si="88"/>
        <v>350</v>
      </c>
      <c r="AP62">
        <f t="shared" si="89"/>
        <v>570</v>
      </c>
      <c r="AQ62" s="469">
        <f t="shared" si="90"/>
        <v>350</v>
      </c>
      <c r="AS62" s="5">
        <f t="shared" si="51"/>
        <v>2.8571428571428572</v>
      </c>
      <c r="AT62" s="5">
        <f t="shared" si="91"/>
        <v>1.3023056476879766</v>
      </c>
      <c r="AU62" s="5">
        <f t="shared" si="52"/>
        <v>1.5548372094548806</v>
      </c>
      <c r="AV62" s="5">
        <f t="shared" si="92"/>
        <v>0.81906015577860147</v>
      </c>
      <c r="AW62" s="177">
        <f t="shared" si="53"/>
        <v>0.45580697669079179</v>
      </c>
      <c r="AX62" s="177">
        <f t="shared" si="93"/>
        <v>9.5399999999999991</v>
      </c>
      <c r="AY62" s="177">
        <f t="shared" si="94"/>
        <v>1.1389912194985337</v>
      </c>
      <c r="AZ62" s="177">
        <f t="shared" si="54"/>
        <v>8.3758327866655531</v>
      </c>
      <c r="BA62" s="469">
        <f t="shared" si="95"/>
        <v>17.027319442995115</v>
      </c>
      <c r="BB62" s="469">
        <f t="shared" si="96"/>
        <v>15.089622666666664</v>
      </c>
      <c r="BC62" s="5">
        <f t="shared" si="97"/>
        <v>1.2438697675639043</v>
      </c>
      <c r="BD62" s="469">
        <f t="shared" si="98"/>
        <v>95.090232567292816</v>
      </c>
      <c r="BE62" s="5"/>
      <c r="BF62" s="177">
        <f t="shared" si="55"/>
        <v>1.0877673017500133</v>
      </c>
      <c r="BG62" s="177">
        <f t="shared" si="99"/>
        <v>1.7828436542020385</v>
      </c>
      <c r="BH62" s="177"/>
      <c r="BI62" s="542">
        <f t="shared" si="100"/>
        <v>0.13015614730321551</v>
      </c>
      <c r="BJ62" s="542">
        <f t="shared" si="101"/>
        <v>0.18972965404754211</v>
      </c>
      <c r="BK62" s="542">
        <f t="shared" si="102"/>
        <v>1.7499999999999998E-2</v>
      </c>
      <c r="BL62" s="542">
        <f t="shared" si="103"/>
        <v>0.11885914687500002</v>
      </c>
      <c r="BM62">
        <f t="shared" si="104"/>
        <v>4.3499999999999997E-3</v>
      </c>
      <c r="BN62" s="469">
        <f t="shared" si="56"/>
        <v>460.59494822575772</v>
      </c>
      <c r="BO62" s="542">
        <f t="shared" si="105"/>
        <v>0.51300000000000001</v>
      </c>
      <c r="BP62" s="542"/>
      <c r="BR62" s="469">
        <f t="shared" si="58"/>
        <v>513</v>
      </c>
      <c r="BS62" s="542">
        <f t="shared" si="106"/>
        <v>0</v>
      </c>
      <c r="BT62" s="542">
        <f t="shared" si="107"/>
        <v>0</v>
      </c>
      <c r="BU62" s="542">
        <f t="shared" si="108"/>
        <v>0</v>
      </c>
      <c r="BV62" s="542">
        <f t="shared" si="109"/>
        <v>0</v>
      </c>
      <c r="BW62" s="469">
        <f t="shared" si="59"/>
        <v>0</v>
      </c>
      <c r="BX62" s="177">
        <f t="shared" si="60"/>
        <v>0.97359494822575776</v>
      </c>
      <c r="BY62" s="5">
        <f t="shared" si="61"/>
        <v>8.5499999999999989</v>
      </c>
      <c r="BZ62" s="177">
        <f t="shared" si="62"/>
        <v>0.89777022715491084</v>
      </c>
      <c r="CA62" s="5">
        <f t="shared" si="63"/>
        <v>89.777022715491086</v>
      </c>
      <c r="CD62" s="576">
        <f t="shared" si="110"/>
        <v>-50</v>
      </c>
      <c r="CE62">
        <f t="shared" si="111"/>
        <v>-50</v>
      </c>
    </row>
    <row r="63" spans="5:83" x14ac:dyDescent="0.25">
      <c r="E63" s="174">
        <v>58</v>
      </c>
      <c r="F63" s="221">
        <f t="shared" si="112"/>
        <v>0.57999999999999996</v>
      </c>
      <c r="G63" s="221"/>
      <c r="H63" s="221">
        <f t="shared" si="64"/>
        <v>8.6999999999999993</v>
      </c>
      <c r="I63" s="555">
        <f t="shared" si="65"/>
        <v>15</v>
      </c>
      <c r="J63" s="176">
        <f t="shared" si="66"/>
        <v>23.85</v>
      </c>
      <c r="K63" s="451">
        <f t="shared" si="67"/>
        <v>38.85</v>
      </c>
      <c r="L63" s="451"/>
      <c r="M63" s="221">
        <f t="shared" si="68"/>
        <v>0.61389961389961389</v>
      </c>
      <c r="N63" s="176">
        <f t="shared" si="5"/>
        <v>17.933542471042468</v>
      </c>
      <c r="O63" s="176">
        <f t="shared" si="49"/>
        <v>8.6999999999999993</v>
      </c>
      <c r="P63" s="221">
        <f t="shared" si="69"/>
        <v>1.195569498069498</v>
      </c>
      <c r="Q63" s="221">
        <f t="shared" si="70"/>
        <v>15</v>
      </c>
      <c r="R63" s="221">
        <f t="shared" si="71"/>
        <v>1.2584942084942083</v>
      </c>
      <c r="S63" s="176">
        <f t="shared" si="72"/>
        <v>40.583333907582606</v>
      </c>
      <c r="T63" s="176">
        <f t="shared" si="73"/>
        <v>15</v>
      </c>
      <c r="U63" s="221">
        <f t="shared" si="74"/>
        <v>1.9890102615028136</v>
      </c>
      <c r="V63" s="221">
        <f t="shared" si="75"/>
        <v>0.92820478870131307</v>
      </c>
      <c r="W63" s="221">
        <f t="shared" si="76"/>
        <v>0.58377659666749238</v>
      </c>
      <c r="X63" s="201">
        <f t="shared" si="77"/>
        <v>350</v>
      </c>
      <c r="Y63" s="451">
        <f t="shared" si="50"/>
        <v>350</v>
      </c>
      <c r="AA63" s="221">
        <f t="shared" si="78"/>
        <v>3.7585690646915135</v>
      </c>
      <c r="AB63" s="177">
        <f t="shared" si="79"/>
        <v>1.1031439602868174</v>
      </c>
      <c r="AC63" s="177">
        <f t="shared" si="80"/>
        <v>1.0883887252967701</v>
      </c>
      <c r="AD63" s="177"/>
      <c r="AE63" s="177">
        <f t="shared" si="81"/>
        <v>0.24067085953878403</v>
      </c>
      <c r="AF63" s="559">
        <f t="shared" si="82"/>
        <v>3918.5858757542283</v>
      </c>
      <c r="AG63" s="542">
        <f t="shared" si="83"/>
        <v>5.1804402515723262E-2</v>
      </c>
      <c r="AI63" s="177">
        <f t="shared" si="84"/>
        <v>2.8150279544851347</v>
      </c>
      <c r="AJ63" s="177">
        <f t="shared" si="85"/>
        <v>2.8150279544851347</v>
      </c>
      <c r="AK63" s="177">
        <f t="shared" si="86"/>
        <v>2.6777984848038034</v>
      </c>
      <c r="AM63" s="559">
        <f t="shared" si="87"/>
        <v>580</v>
      </c>
      <c r="AN63" s="469">
        <f t="shared" si="88"/>
        <v>350</v>
      </c>
      <c r="AP63">
        <f t="shared" si="89"/>
        <v>580</v>
      </c>
      <c r="AQ63" s="469">
        <f t="shared" si="90"/>
        <v>350</v>
      </c>
      <c r="AS63" s="5">
        <f t="shared" si="51"/>
        <v>2.8571428571428572</v>
      </c>
      <c r="AT63" s="5">
        <f t="shared" si="91"/>
        <v>1.3136797120930628</v>
      </c>
      <c r="AU63" s="5">
        <f t="shared" si="52"/>
        <v>1.5434631450497944</v>
      </c>
      <c r="AV63" s="5">
        <f t="shared" si="92"/>
        <v>0.82621365540444192</v>
      </c>
      <c r="AW63" s="177">
        <f t="shared" si="53"/>
        <v>0.45978789923257196</v>
      </c>
      <c r="AX63" s="177">
        <f t="shared" si="93"/>
        <v>9.7073684210526334</v>
      </c>
      <c r="AY63" s="177">
        <f t="shared" si="94"/>
        <v>1.1405341237585878</v>
      </c>
      <c r="AZ63" s="177">
        <f t="shared" si="54"/>
        <v>8.5112476854812211</v>
      </c>
      <c r="BA63" s="469">
        <f t="shared" si="95"/>
        <v>17.027319442995115</v>
      </c>
      <c r="BB63" s="469">
        <f t="shared" si="96"/>
        <v>15.593201185185182</v>
      </c>
      <c r="BC63" s="5">
        <f t="shared" si="97"/>
        <v>1.2564331566721132</v>
      </c>
      <c r="BD63" s="469">
        <f t="shared" si="98"/>
        <v>96.064065697776925</v>
      </c>
      <c r="BE63" s="5"/>
      <c r="BF63" s="177">
        <f t="shared" si="55"/>
        <v>1.1020488690464862</v>
      </c>
      <c r="BG63" s="177">
        <f t="shared" si="99"/>
        <v>1.7918246123503923</v>
      </c>
      <c r="BH63" s="177"/>
      <c r="BI63" s="542">
        <f t="shared" si="100"/>
        <v>0.13359628807433033</v>
      </c>
      <c r="BJ63" s="542">
        <f t="shared" si="101"/>
        <v>0.1913867130555581</v>
      </c>
      <c r="BK63" s="542">
        <f t="shared" si="102"/>
        <v>1.7499999999999998E-2</v>
      </c>
      <c r="BL63" s="542">
        <f t="shared" si="103"/>
        <v>0.11885914687500002</v>
      </c>
      <c r="BM63">
        <f t="shared" si="104"/>
        <v>4.3499999999999997E-3</v>
      </c>
      <c r="BN63" s="469">
        <f t="shared" si="56"/>
        <v>465.69214800488851</v>
      </c>
      <c r="BO63" s="542">
        <f t="shared" si="105"/>
        <v>0.52200000000000002</v>
      </c>
      <c r="BP63" s="542"/>
      <c r="BR63" s="469">
        <f t="shared" si="58"/>
        <v>522</v>
      </c>
      <c r="BS63" s="542">
        <f t="shared" si="106"/>
        <v>0</v>
      </c>
      <c r="BT63" s="542">
        <f t="shared" si="107"/>
        <v>0</v>
      </c>
      <c r="BU63" s="542">
        <f t="shared" si="108"/>
        <v>0</v>
      </c>
      <c r="BV63" s="542">
        <f t="shared" si="109"/>
        <v>0</v>
      </c>
      <c r="BW63" s="469">
        <f t="shared" si="59"/>
        <v>0</v>
      </c>
      <c r="BX63" s="177">
        <f t="shared" si="60"/>
        <v>0.98769214800488858</v>
      </c>
      <c r="BY63" s="5">
        <f t="shared" si="61"/>
        <v>8.6999999999999993</v>
      </c>
      <c r="BZ63" s="177">
        <f t="shared" si="62"/>
        <v>0.89804670370246054</v>
      </c>
      <c r="CA63" s="5">
        <f t="shared" si="63"/>
        <v>89.804670370246058</v>
      </c>
      <c r="CD63" s="576">
        <f t="shared" si="110"/>
        <v>-50</v>
      </c>
      <c r="CE63">
        <f t="shared" si="111"/>
        <v>-50</v>
      </c>
    </row>
    <row r="64" spans="5:83" x14ac:dyDescent="0.25">
      <c r="E64" s="174">
        <v>59</v>
      </c>
      <c r="F64" s="221">
        <f t="shared" si="112"/>
        <v>0.59</v>
      </c>
      <c r="G64" s="221"/>
      <c r="H64" s="221">
        <f t="shared" si="64"/>
        <v>8.85</v>
      </c>
      <c r="I64" s="555">
        <f t="shared" si="65"/>
        <v>15</v>
      </c>
      <c r="J64" s="176">
        <f t="shared" si="66"/>
        <v>23.85</v>
      </c>
      <c r="K64" s="451">
        <f t="shared" si="67"/>
        <v>38.85</v>
      </c>
      <c r="L64" s="451"/>
      <c r="M64" s="221">
        <f t="shared" si="68"/>
        <v>0.61389961389961389</v>
      </c>
      <c r="N64" s="176">
        <f t="shared" si="5"/>
        <v>17.933542471042468</v>
      </c>
      <c r="O64" s="176">
        <f t="shared" si="49"/>
        <v>8.85</v>
      </c>
      <c r="P64" s="221">
        <f t="shared" si="69"/>
        <v>1.195569498069498</v>
      </c>
      <c r="Q64" s="221">
        <f t="shared" si="70"/>
        <v>15</v>
      </c>
      <c r="R64" s="221">
        <f t="shared" si="71"/>
        <v>1.2584942084942083</v>
      </c>
      <c r="S64" s="176">
        <f t="shared" si="72"/>
        <v>39.734200166456084</v>
      </c>
      <c r="T64" s="176">
        <f t="shared" si="73"/>
        <v>15</v>
      </c>
      <c r="U64" s="221">
        <f t="shared" si="74"/>
        <v>2.0233035418735517</v>
      </c>
      <c r="V64" s="221">
        <f t="shared" si="75"/>
        <v>0.94420831954099071</v>
      </c>
      <c r="W64" s="221">
        <f t="shared" si="76"/>
        <v>0.59384171040313882</v>
      </c>
      <c r="X64" s="201">
        <f t="shared" si="77"/>
        <v>350</v>
      </c>
      <c r="Y64" s="451">
        <f t="shared" si="50"/>
        <v>350</v>
      </c>
      <c r="AA64" s="221">
        <f t="shared" si="78"/>
        <v>3.7585690646915135</v>
      </c>
      <c r="AB64" s="177">
        <f t="shared" si="79"/>
        <v>1.1031439602868174</v>
      </c>
      <c r="AC64" s="177">
        <f t="shared" si="80"/>
        <v>1.0883887252967701</v>
      </c>
      <c r="AD64" s="177"/>
      <c r="AE64" s="177">
        <f t="shared" si="81"/>
        <v>0.24067085953878403</v>
      </c>
      <c r="AF64" s="559">
        <f t="shared" si="82"/>
        <v>3986.147701198267</v>
      </c>
      <c r="AG64" s="542">
        <f t="shared" si="83"/>
        <v>5.1804402515723262E-2</v>
      </c>
      <c r="AI64" s="177">
        <f t="shared" si="84"/>
        <v>2.8391917277677301</v>
      </c>
      <c r="AJ64" s="177">
        <f t="shared" si="85"/>
        <v>2.8391917277677301</v>
      </c>
      <c r="AK64" s="177">
        <f t="shared" si="86"/>
        <v>2.6956975761242443</v>
      </c>
      <c r="AM64" s="559">
        <f t="shared" si="87"/>
        <v>590</v>
      </c>
      <c r="AN64" s="469">
        <f t="shared" si="88"/>
        <v>350</v>
      </c>
      <c r="AP64">
        <f t="shared" si="89"/>
        <v>590</v>
      </c>
      <c r="AQ64" s="469">
        <f t="shared" si="90"/>
        <v>350</v>
      </c>
      <c r="AS64" s="5">
        <f t="shared" si="51"/>
        <v>2.8571428571428572</v>
      </c>
      <c r="AT64" s="5">
        <f t="shared" si="91"/>
        <v>1.3249561396249405</v>
      </c>
      <c r="AU64" s="5">
        <f t="shared" si="52"/>
        <v>1.5321867175179167</v>
      </c>
      <c r="AV64" s="5">
        <f t="shared" si="92"/>
        <v>0.83330574819178649</v>
      </c>
      <c r="AW64" s="177">
        <f t="shared" si="53"/>
        <v>0.46373464886872917</v>
      </c>
      <c r="AX64" s="177">
        <f t="shared" si="93"/>
        <v>9.8747368421052659</v>
      </c>
      <c r="AY64" s="177">
        <f t="shared" si="94"/>
        <v>1.1419201116152708</v>
      </c>
      <c r="AZ64" s="177">
        <f t="shared" si="54"/>
        <v>8.6474848298601525</v>
      </c>
      <c r="BA64" s="469">
        <f t="shared" si="95"/>
        <v>17.027319442995115</v>
      </c>
      <c r="BB64" s="469">
        <f t="shared" si="96"/>
        <v>16.105015851851849</v>
      </c>
      <c r="BC64" s="5">
        <f t="shared" si="97"/>
        <v>1.2687581239797485</v>
      </c>
      <c r="BD64" s="469">
        <f t="shared" si="98"/>
        <v>97.020017193217981</v>
      </c>
      <c r="BE64" s="5"/>
      <c r="BF64" s="177">
        <f t="shared" si="55"/>
        <v>1.1162690069251728</v>
      </c>
      <c r="BG64" s="177">
        <f t="shared" si="99"/>
        <v>1.8005916068530587</v>
      </c>
      <c r="BH64" s="177"/>
      <c r="BI64" s="542">
        <f t="shared" si="100"/>
        <v>0.13706621454038828</v>
      </c>
      <c r="BJ64" s="542">
        <f t="shared" si="101"/>
        <v>0.19302954759160859</v>
      </c>
      <c r="BK64" s="542">
        <f t="shared" si="102"/>
        <v>1.7499999999999998E-2</v>
      </c>
      <c r="BL64" s="542">
        <f t="shared" si="103"/>
        <v>0.11885914687500002</v>
      </c>
      <c r="BM64">
        <f t="shared" si="104"/>
        <v>4.3499999999999997E-3</v>
      </c>
      <c r="BN64" s="469">
        <f t="shared" si="56"/>
        <v>470.80490900699698</v>
      </c>
      <c r="BO64" s="542">
        <f t="shared" si="105"/>
        <v>0.53100000000000003</v>
      </c>
      <c r="BP64" s="542"/>
      <c r="BR64" s="469">
        <f t="shared" si="58"/>
        <v>531</v>
      </c>
      <c r="BS64" s="542">
        <f t="shared" si="106"/>
        <v>0</v>
      </c>
      <c r="BT64" s="542">
        <f t="shared" si="107"/>
        <v>0</v>
      </c>
      <c r="BU64" s="542">
        <f t="shared" si="108"/>
        <v>0</v>
      </c>
      <c r="BV64" s="542">
        <f t="shared" si="109"/>
        <v>0</v>
      </c>
      <c r="BW64" s="469">
        <f t="shared" si="59"/>
        <v>0</v>
      </c>
      <c r="BX64" s="177">
        <f t="shared" si="60"/>
        <v>1.0018049090069969</v>
      </c>
      <c r="BY64" s="5">
        <f t="shared" si="61"/>
        <v>8.85</v>
      </c>
      <c r="BZ64" s="177">
        <f t="shared" si="62"/>
        <v>0.8983125510239145</v>
      </c>
      <c r="CA64" s="5">
        <f t="shared" si="63"/>
        <v>89.831255102391452</v>
      </c>
      <c r="CD64" s="576">
        <f t="shared" si="110"/>
        <v>-50</v>
      </c>
      <c r="CE64">
        <f t="shared" si="111"/>
        <v>-50</v>
      </c>
    </row>
    <row r="65" spans="5:83" x14ac:dyDescent="0.25">
      <c r="E65" s="174">
        <v>60</v>
      </c>
      <c r="F65" s="221">
        <f t="shared" si="112"/>
        <v>0.6</v>
      </c>
      <c r="G65" s="221"/>
      <c r="H65" s="221">
        <f t="shared" si="64"/>
        <v>9</v>
      </c>
      <c r="I65" s="555">
        <f t="shared" si="65"/>
        <v>15</v>
      </c>
      <c r="J65" s="176">
        <f t="shared" si="66"/>
        <v>23.85</v>
      </c>
      <c r="K65" s="451">
        <f t="shared" si="67"/>
        <v>38.85</v>
      </c>
      <c r="L65" s="451"/>
      <c r="M65" s="221">
        <f t="shared" si="68"/>
        <v>0.61389961389961389</v>
      </c>
      <c r="N65" s="176">
        <f t="shared" si="5"/>
        <v>17.933542471042468</v>
      </c>
      <c r="O65" s="176">
        <f t="shared" si="49"/>
        <v>9</v>
      </c>
      <c r="P65" s="221">
        <f t="shared" si="69"/>
        <v>1.195569498069498</v>
      </c>
      <c r="Q65" s="221">
        <f t="shared" si="70"/>
        <v>15</v>
      </c>
      <c r="R65" s="221">
        <f t="shared" si="71"/>
        <v>1.2584942084942083</v>
      </c>
      <c r="S65" s="176">
        <f t="shared" si="72"/>
        <v>38.913553671926962</v>
      </c>
      <c r="T65" s="176">
        <f t="shared" si="73"/>
        <v>15</v>
      </c>
      <c r="U65" s="221">
        <f t="shared" si="74"/>
        <v>2.0575968222442902</v>
      </c>
      <c r="V65" s="221">
        <f t="shared" si="75"/>
        <v>0.96021185038066881</v>
      </c>
      <c r="W65" s="221">
        <f t="shared" si="76"/>
        <v>0.60390682413878527</v>
      </c>
      <c r="X65" s="201">
        <f t="shared" si="77"/>
        <v>350</v>
      </c>
      <c r="Y65" s="451">
        <f t="shared" si="50"/>
        <v>350</v>
      </c>
      <c r="AA65" s="221">
        <f t="shared" si="78"/>
        <v>3.7585690646915135</v>
      </c>
      <c r="AB65" s="177">
        <f t="shared" si="79"/>
        <v>1.1031439602868174</v>
      </c>
      <c r="AC65" s="177">
        <f t="shared" si="80"/>
        <v>1.0883887252967701</v>
      </c>
      <c r="AD65" s="177"/>
      <c r="AE65" s="177">
        <f t="shared" si="81"/>
        <v>0.24067085953878403</v>
      </c>
      <c r="AF65" s="559">
        <f t="shared" si="82"/>
        <v>4053.7095266423053</v>
      </c>
      <c r="AG65" s="542">
        <f t="shared" si="83"/>
        <v>5.1804402515723262E-2</v>
      </c>
      <c r="AI65" s="177">
        <f t="shared" si="84"/>
        <v>2.8631515764130704</v>
      </c>
      <c r="AJ65" s="177">
        <f t="shared" si="85"/>
        <v>2.8631515764130704</v>
      </c>
      <c r="AK65" s="177">
        <f t="shared" si="86"/>
        <v>2.7134456121578303</v>
      </c>
      <c r="AM65" s="559">
        <f t="shared" si="87"/>
        <v>600</v>
      </c>
      <c r="AN65" s="469">
        <f t="shared" si="88"/>
        <v>350</v>
      </c>
      <c r="AP65">
        <f t="shared" si="89"/>
        <v>600</v>
      </c>
      <c r="AQ65" s="469">
        <f t="shared" si="90"/>
        <v>350</v>
      </c>
      <c r="AS65" s="5">
        <f t="shared" si="51"/>
        <v>2.8571428571428572</v>
      </c>
      <c r="AT65" s="5">
        <f t="shared" si="91"/>
        <v>1.3361374023260995</v>
      </c>
      <c r="AU65" s="5">
        <f t="shared" si="52"/>
        <v>1.5210054548167578</v>
      </c>
      <c r="AV65" s="5">
        <f t="shared" si="92"/>
        <v>0.84033798888433919</v>
      </c>
      <c r="AW65" s="177">
        <f t="shared" si="53"/>
        <v>0.46764809081413478</v>
      </c>
      <c r="AX65" s="177">
        <f t="shared" si="93"/>
        <v>10.042105263157895</v>
      </c>
      <c r="AY65" s="177">
        <f t="shared" si="94"/>
        <v>1.1431531559940133</v>
      </c>
      <c r="AZ65" s="177">
        <f t="shared" si="54"/>
        <v>8.784566801485072</v>
      </c>
      <c r="BA65" s="469">
        <f t="shared" si="95"/>
        <v>17.027319442995115</v>
      </c>
      <c r="BB65" s="469">
        <f t="shared" si="96"/>
        <v>16.625066666666665</v>
      </c>
      <c r="BC65" s="5">
        <f t="shared" si="97"/>
        <v>1.2808466987930593</v>
      </c>
      <c r="BD65" s="469">
        <f t="shared" si="98"/>
        <v>97.9582392515847</v>
      </c>
      <c r="BE65" s="5"/>
      <c r="BF65" s="177">
        <f t="shared" si="55"/>
        <v>1.1304290142285021</v>
      </c>
      <c r="BG65" s="177">
        <f t="shared" si="99"/>
        <v>1.80914918142917</v>
      </c>
      <c r="BH65" s="177"/>
      <c r="BI65" s="542">
        <f t="shared" si="100"/>
        <v>0.14056567318305851</v>
      </c>
      <c r="BJ65" s="542">
        <f t="shared" si="101"/>
        <v>0.19465851780138366</v>
      </c>
      <c r="BK65" s="542">
        <f t="shared" si="102"/>
        <v>1.7499999999999998E-2</v>
      </c>
      <c r="BL65" s="542">
        <f t="shared" si="103"/>
        <v>0.11885914687500002</v>
      </c>
      <c r="BM65">
        <f t="shared" si="104"/>
        <v>4.3499999999999997E-3</v>
      </c>
      <c r="BN65" s="469">
        <f t="shared" si="56"/>
        <v>475.93333785944219</v>
      </c>
      <c r="BO65" s="542">
        <f t="shared" si="105"/>
        <v>0.54</v>
      </c>
      <c r="BP65" s="542"/>
      <c r="BR65" s="469">
        <f t="shared" si="58"/>
        <v>540</v>
      </c>
      <c r="BS65" s="542">
        <f t="shared" si="106"/>
        <v>0</v>
      </c>
      <c r="BT65" s="542">
        <f t="shared" si="107"/>
        <v>0</v>
      </c>
      <c r="BU65" s="542">
        <f t="shared" si="108"/>
        <v>0</v>
      </c>
      <c r="BV65" s="542">
        <f t="shared" si="109"/>
        <v>0</v>
      </c>
      <c r="BW65" s="469">
        <f t="shared" si="59"/>
        <v>0</v>
      </c>
      <c r="BX65" s="177">
        <f t="shared" si="60"/>
        <v>1.0159333378594422</v>
      </c>
      <c r="BY65" s="5">
        <f t="shared" si="61"/>
        <v>9</v>
      </c>
      <c r="BZ65" s="177">
        <f t="shared" si="62"/>
        <v>0.89856828079922479</v>
      </c>
      <c r="CA65" s="5">
        <f t="shared" si="63"/>
        <v>89.856828079922479</v>
      </c>
      <c r="CD65" s="576">
        <f t="shared" si="110"/>
        <v>-50</v>
      </c>
      <c r="CE65">
        <f t="shared" si="111"/>
        <v>-50</v>
      </c>
    </row>
    <row r="66" spans="5:83" x14ac:dyDescent="0.25">
      <c r="E66" s="174">
        <v>61</v>
      </c>
      <c r="F66" s="221">
        <f t="shared" si="112"/>
        <v>0.61</v>
      </c>
      <c r="G66" s="221"/>
      <c r="H66" s="221">
        <f t="shared" si="64"/>
        <v>9.15</v>
      </c>
      <c r="I66" s="555">
        <f t="shared" si="65"/>
        <v>15</v>
      </c>
      <c r="J66" s="176">
        <f t="shared" si="66"/>
        <v>23.85</v>
      </c>
      <c r="K66" s="451">
        <f t="shared" si="67"/>
        <v>38.85</v>
      </c>
      <c r="L66" s="451"/>
      <c r="M66" s="221">
        <f t="shared" si="68"/>
        <v>0.61389961389961389</v>
      </c>
      <c r="N66" s="176">
        <f t="shared" si="5"/>
        <v>17.933542471042468</v>
      </c>
      <c r="O66" s="176">
        <f t="shared" si="49"/>
        <v>9.15</v>
      </c>
      <c r="P66" s="221">
        <f t="shared" si="69"/>
        <v>1.195569498069498</v>
      </c>
      <c r="Q66" s="221">
        <f t="shared" si="70"/>
        <v>15</v>
      </c>
      <c r="R66" s="221">
        <f t="shared" si="71"/>
        <v>1.2584942084942083</v>
      </c>
      <c r="S66" s="176">
        <f t="shared" si="72"/>
        <v>38.119995238671422</v>
      </c>
      <c r="T66" s="176">
        <f t="shared" si="73"/>
        <v>15</v>
      </c>
      <c r="U66" s="221">
        <f t="shared" si="74"/>
        <v>2.0918901026150283</v>
      </c>
      <c r="V66" s="221">
        <f t="shared" si="75"/>
        <v>0.97621538122034657</v>
      </c>
      <c r="W66" s="221">
        <f t="shared" si="76"/>
        <v>0.61397193787443172</v>
      </c>
      <c r="X66" s="201">
        <f t="shared" si="77"/>
        <v>350</v>
      </c>
      <c r="Y66" s="451">
        <f t="shared" si="50"/>
        <v>350</v>
      </c>
      <c r="AA66" s="221">
        <f t="shared" si="78"/>
        <v>3.7585690646915135</v>
      </c>
      <c r="AB66" s="177">
        <f t="shared" si="79"/>
        <v>1.1031439602868174</v>
      </c>
      <c r="AC66" s="177">
        <f t="shared" si="80"/>
        <v>1.0883887252967701</v>
      </c>
      <c r="AD66" s="177"/>
      <c r="AE66" s="177">
        <f t="shared" si="81"/>
        <v>0.24067085953878403</v>
      </c>
      <c r="AF66" s="559">
        <f t="shared" si="82"/>
        <v>4121.2713520863435</v>
      </c>
      <c r="AG66" s="542">
        <f t="shared" si="83"/>
        <v>5.1804402515723262E-2</v>
      </c>
      <c r="AI66" s="177">
        <f t="shared" si="84"/>
        <v>2.8869125778257634</v>
      </c>
      <c r="AJ66" s="177">
        <f t="shared" si="85"/>
        <v>2.8869125778257634</v>
      </c>
      <c r="AK66" s="177">
        <f t="shared" si="86"/>
        <v>2.7310463539450103</v>
      </c>
      <c r="AM66" s="559">
        <f t="shared" si="87"/>
        <v>610</v>
      </c>
      <c r="AN66" s="469">
        <f t="shared" si="88"/>
        <v>350</v>
      </c>
      <c r="AP66">
        <f t="shared" si="89"/>
        <v>610</v>
      </c>
      <c r="AQ66" s="469">
        <f t="shared" si="90"/>
        <v>350</v>
      </c>
      <c r="AS66" s="5">
        <f t="shared" si="51"/>
        <v>2.8571428571428572</v>
      </c>
      <c r="AT66" s="5">
        <f t="shared" si="91"/>
        <v>1.3472258696520227</v>
      </c>
      <c r="AU66" s="5">
        <f t="shared" si="52"/>
        <v>1.5099169874908345</v>
      </c>
      <c r="AV66" s="5">
        <f t="shared" si="92"/>
        <v>0.84731186770567468</v>
      </c>
      <c r="AW66" s="177">
        <f t="shared" si="53"/>
        <v>0.47152905437820797</v>
      </c>
      <c r="AX66" s="177">
        <f t="shared" si="93"/>
        <v>10.209473684210529</v>
      </c>
      <c r="AY66" s="177">
        <f t="shared" si="94"/>
        <v>1.1442370649482698</v>
      </c>
      <c r="AZ66" s="177">
        <f t="shared" si="54"/>
        <v>8.9225161436909861</v>
      </c>
      <c r="BA66" s="469">
        <f t="shared" si="95"/>
        <v>17.027319442995115</v>
      </c>
      <c r="BB66" s="469">
        <f t="shared" si="96"/>
        <v>17.153353629629628</v>
      </c>
      <c r="BC66" s="5">
        <f t="shared" si="97"/>
        <v>1.2927008594658373</v>
      </c>
      <c r="BD66" s="469">
        <f t="shared" si="98"/>
        <v>98.87888024941148</v>
      </c>
      <c r="BE66" s="5"/>
      <c r="BF66" s="177">
        <f t="shared" si="55"/>
        <v>1.1445301411870774</v>
      </c>
      <c r="BG66" s="177">
        <f t="shared" si="99"/>
        <v>1.8175016849548162</v>
      </c>
      <c r="BH66" s="177"/>
      <c r="BI66" s="542">
        <f t="shared" si="100"/>
        <v>0.14409441684942825</v>
      </c>
      <c r="BJ66" s="542">
        <f t="shared" si="101"/>
        <v>0.1962739688849291</v>
      </c>
      <c r="BK66" s="542">
        <f t="shared" si="102"/>
        <v>1.7499999999999998E-2</v>
      </c>
      <c r="BL66" s="542">
        <f t="shared" si="103"/>
        <v>0.11885914687500002</v>
      </c>
      <c r="BM66">
        <f t="shared" si="104"/>
        <v>4.3499999999999997E-3</v>
      </c>
      <c r="BN66" s="469">
        <f t="shared" si="56"/>
        <v>481.07753260935743</v>
      </c>
      <c r="BO66" s="542">
        <f t="shared" si="105"/>
        <v>0.54900000000000004</v>
      </c>
      <c r="BP66" s="542"/>
      <c r="BR66" s="469">
        <f t="shared" si="58"/>
        <v>549</v>
      </c>
      <c r="BS66" s="542">
        <f t="shared" si="106"/>
        <v>0</v>
      </c>
      <c r="BT66" s="542">
        <f t="shared" si="107"/>
        <v>0</v>
      </c>
      <c r="BU66" s="542">
        <f t="shared" si="108"/>
        <v>0</v>
      </c>
      <c r="BV66" s="542">
        <f t="shared" si="109"/>
        <v>0</v>
      </c>
      <c r="BW66" s="469">
        <f t="shared" si="59"/>
        <v>0</v>
      </c>
      <c r="BX66" s="177">
        <f t="shared" si="60"/>
        <v>1.0300775326093574</v>
      </c>
      <c r="BY66" s="5">
        <f t="shared" si="61"/>
        <v>9.15</v>
      </c>
      <c r="BZ66" s="177">
        <f t="shared" si="62"/>
        <v>0.89881437255170604</v>
      </c>
      <c r="CA66" s="5">
        <f t="shared" si="63"/>
        <v>89.88143725517061</v>
      </c>
      <c r="CD66" s="576">
        <f t="shared" si="110"/>
        <v>-50</v>
      </c>
      <c r="CE66">
        <f t="shared" si="111"/>
        <v>-50</v>
      </c>
    </row>
    <row r="67" spans="5:83" x14ac:dyDescent="0.25">
      <c r="E67" s="174">
        <v>62</v>
      </c>
      <c r="F67" s="221">
        <f t="shared" si="112"/>
        <v>0.62</v>
      </c>
      <c r="G67" s="221"/>
      <c r="H67" s="221">
        <f t="shared" si="64"/>
        <v>9.3000000000000007</v>
      </c>
      <c r="I67" s="555">
        <f t="shared" si="65"/>
        <v>15</v>
      </c>
      <c r="J67" s="176">
        <f t="shared" si="66"/>
        <v>23.85</v>
      </c>
      <c r="K67" s="451">
        <f t="shared" si="67"/>
        <v>38.85</v>
      </c>
      <c r="L67" s="451"/>
      <c r="M67" s="221">
        <f t="shared" si="68"/>
        <v>0.61389961389961389</v>
      </c>
      <c r="N67" s="176">
        <f t="shared" si="5"/>
        <v>17.933542471042468</v>
      </c>
      <c r="O67" s="176">
        <f t="shared" si="49"/>
        <v>9.3000000000000007</v>
      </c>
      <c r="P67" s="221">
        <f t="shared" si="69"/>
        <v>1.195569498069498</v>
      </c>
      <c r="Q67" s="221">
        <f t="shared" si="70"/>
        <v>15</v>
      </c>
      <c r="R67" s="221">
        <f t="shared" si="71"/>
        <v>1.2584942084942083</v>
      </c>
      <c r="S67" s="176">
        <f t="shared" si="72"/>
        <v>37.352215970807158</v>
      </c>
      <c r="T67" s="176">
        <f t="shared" si="73"/>
        <v>15</v>
      </c>
      <c r="U67" s="221">
        <f t="shared" si="74"/>
        <v>2.1261833829857664</v>
      </c>
      <c r="V67" s="221">
        <f t="shared" si="75"/>
        <v>0.99221891206002433</v>
      </c>
      <c r="W67" s="221">
        <f t="shared" si="76"/>
        <v>0.62403705161007816</v>
      </c>
      <c r="X67" s="201">
        <f t="shared" si="77"/>
        <v>350</v>
      </c>
      <c r="Y67" s="451">
        <f t="shared" si="50"/>
        <v>350</v>
      </c>
      <c r="AA67" s="221">
        <f t="shared" si="78"/>
        <v>3.7585690646915135</v>
      </c>
      <c r="AB67" s="177">
        <f t="shared" si="79"/>
        <v>1.1031439602868174</v>
      </c>
      <c r="AC67" s="177">
        <f t="shared" si="80"/>
        <v>1.0883887252967701</v>
      </c>
      <c r="AD67" s="177"/>
      <c r="AE67" s="177">
        <f t="shared" si="81"/>
        <v>0.24067085953878403</v>
      </c>
      <c r="AF67" s="559">
        <f t="shared" si="82"/>
        <v>4188.8331775303823</v>
      </c>
      <c r="AG67" s="542">
        <f t="shared" si="83"/>
        <v>5.1804402515723262E-2</v>
      </c>
      <c r="AI67" s="177">
        <f t="shared" si="84"/>
        <v>2.9104796021447288</v>
      </c>
      <c r="AJ67" s="177">
        <f t="shared" si="85"/>
        <v>2.9104796021447288</v>
      </c>
      <c r="AK67" s="177">
        <f t="shared" si="86"/>
        <v>2.7485034089960956</v>
      </c>
      <c r="AM67" s="559">
        <f t="shared" si="87"/>
        <v>620</v>
      </c>
      <c r="AN67" s="469">
        <f t="shared" si="88"/>
        <v>350</v>
      </c>
      <c r="AP67">
        <f t="shared" si="89"/>
        <v>620</v>
      </c>
      <c r="AQ67" s="469">
        <f t="shared" si="90"/>
        <v>350</v>
      </c>
      <c r="AS67" s="5">
        <f t="shared" si="51"/>
        <v>2.8571428571428572</v>
      </c>
      <c r="AT67" s="5">
        <f t="shared" si="91"/>
        <v>1.3582238143342067</v>
      </c>
      <c r="AU67" s="5">
        <f t="shared" si="52"/>
        <v>1.4989190428086505</v>
      </c>
      <c r="AV67" s="5">
        <f t="shared" si="92"/>
        <v>0.85422881404667095</v>
      </c>
      <c r="AW67" s="177">
        <f t="shared" si="53"/>
        <v>0.47537833501697235</v>
      </c>
      <c r="AX67" s="177">
        <f t="shared" si="93"/>
        <v>10.376842105263158</v>
      </c>
      <c r="AY67" s="177">
        <f t="shared" si="94"/>
        <v>1.1451754910822305</v>
      </c>
      <c r="AZ67" s="177">
        <f t="shared" si="54"/>
        <v>9.061355387074066</v>
      </c>
      <c r="BA67" s="469">
        <f t="shared" si="95"/>
        <v>17.027319442995115</v>
      </c>
      <c r="BB67" s="469">
        <f t="shared" si="96"/>
        <v>17.68987674074074</v>
      </c>
      <c r="BC67" s="5">
        <f t="shared" si="97"/>
        <v>1.3043225354966503</v>
      </c>
      <c r="BD67" s="469">
        <f t="shared" si="98"/>
        <v>99.782084899090876</v>
      </c>
      <c r="BE67" s="5"/>
      <c r="BF67" s="177">
        <f t="shared" si="55"/>
        <v>1.158573592004793</v>
      </c>
      <c r="BG67" s="177">
        <f t="shared" si="99"/>
        <v>1.8256532824364282</v>
      </c>
      <c r="BH67" s="177"/>
      <c r="BI67" s="542">
        <f t="shared" si="100"/>
        <v>0.14765220448999775</v>
      </c>
      <c r="BJ67" s="542">
        <f t="shared" si="101"/>
        <v>0.19787623195081477</v>
      </c>
      <c r="BK67" s="542">
        <f t="shared" si="102"/>
        <v>1.7499999999999998E-2</v>
      </c>
      <c r="BL67" s="542">
        <f t="shared" si="103"/>
        <v>0.11885914687500002</v>
      </c>
      <c r="BM67">
        <f t="shared" si="104"/>
        <v>4.3499999999999997E-3</v>
      </c>
      <c r="BN67" s="469">
        <f t="shared" si="56"/>
        <v>486.23758331581263</v>
      </c>
      <c r="BO67" s="542">
        <f t="shared" si="105"/>
        <v>0.55800000000000005</v>
      </c>
      <c r="BP67" s="542"/>
      <c r="BR67" s="469">
        <f t="shared" si="58"/>
        <v>558</v>
      </c>
      <c r="BS67" s="542">
        <f t="shared" si="106"/>
        <v>0</v>
      </c>
      <c r="BT67" s="542">
        <f t="shared" si="107"/>
        <v>0</v>
      </c>
      <c r="BU67" s="542">
        <f t="shared" si="108"/>
        <v>0</v>
      </c>
      <c r="BV67" s="542">
        <f t="shared" si="109"/>
        <v>0</v>
      </c>
      <c r="BW67" s="469">
        <f t="shared" si="59"/>
        <v>0</v>
      </c>
      <c r="BX67" s="177">
        <f t="shared" si="60"/>
        <v>1.0442375833158126</v>
      </c>
      <c r="BY67" s="5">
        <f t="shared" si="61"/>
        <v>9.3000000000000007</v>
      </c>
      <c r="BZ67" s="177">
        <f t="shared" si="62"/>
        <v>0.89905127614237512</v>
      </c>
      <c r="CA67" s="5">
        <f t="shared" si="63"/>
        <v>89.905127614237514</v>
      </c>
      <c r="CD67" s="576">
        <f t="shared" si="110"/>
        <v>-50</v>
      </c>
      <c r="CE67">
        <f t="shared" si="111"/>
        <v>-50</v>
      </c>
    </row>
    <row r="68" spans="5:83" x14ac:dyDescent="0.25">
      <c r="E68" s="174">
        <v>63</v>
      </c>
      <c r="F68" s="221">
        <f t="shared" si="112"/>
        <v>0.63</v>
      </c>
      <c r="G68" s="221"/>
      <c r="H68" s="221">
        <f t="shared" si="64"/>
        <v>9.4499999999999993</v>
      </c>
      <c r="I68" s="555">
        <f t="shared" si="65"/>
        <v>15</v>
      </c>
      <c r="J68" s="176">
        <f t="shared" si="66"/>
        <v>23.85</v>
      </c>
      <c r="K68" s="451">
        <f t="shared" si="67"/>
        <v>38.85</v>
      </c>
      <c r="L68" s="451"/>
      <c r="M68" s="221">
        <f t="shared" si="68"/>
        <v>0.61389961389961389</v>
      </c>
      <c r="N68" s="176">
        <f t="shared" si="5"/>
        <v>17.933542471042468</v>
      </c>
      <c r="O68" s="176">
        <f t="shared" si="49"/>
        <v>9.4499999999999993</v>
      </c>
      <c r="P68" s="221">
        <f t="shared" si="69"/>
        <v>1.195569498069498</v>
      </c>
      <c r="Q68" s="221">
        <f t="shared" si="70"/>
        <v>15</v>
      </c>
      <c r="R68" s="221">
        <f t="shared" si="71"/>
        <v>1.2584942084942083</v>
      </c>
      <c r="S68" s="176">
        <f t="shared" si="72"/>
        <v>36.60899009622208</v>
      </c>
      <c r="T68" s="176">
        <f t="shared" si="73"/>
        <v>15</v>
      </c>
      <c r="U68" s="221">
        <f t="shared" si="74"/>
        <v>2.1604766633565045</v>
      </c>
      <c r="V68" s="221">
        <f t="shared" si="75"/>
        <v>1.0082224428997022</v>
      </c>
      <c r="W68" s="221">
        <f t="shared" si="76"/>
        <v>0.63410216534572461</v>
      </c>
      <c r="X68" s="201">
        <f t="shared" si="77"/>
        <v>350</v>
      </c>
      <c r="Y68" s="451">
        <f t="shared" si="50"/>
        <v>350</v>
      </c>
      <c r="AA68" s="221">
        <f t="shared" si="78"/>
        <v>3.7585690646915135</v>
      </c>
      <c r="AB68" s="177">
        <f t="shared" si="79"/>
        <v>1.1031439602868174</v>
      </c>
      <c r="AC68" s="177">
        <f t="shared" si="80"/>
        <v>1.0883887252967701</v>
      </c>
      <c r="AD68" s="177"/>
      <c r="AE68" s="177">
        <f t="shared" si="81"/>
        <v>0.24067085953878403</v>
      </c>
      <c r="AF68" s="559">
        <f t="shared" si="82"/>
        <v>4256.395002974421</v>
      </c>
      <c r="AG68" s="542">
        <f t="shared" si="83"/>
        <v>5.1804402515723262E-2</v>
      </c>
      <c r="AI68" s="177">
        <f t="shared" si="84"/>
        <v>2.9338573238984345</v>
      </c>
      <c r="AJ68" s="177">
        <f t="shared" si="85"/>
        <v>2.9338573238984345</v>
      </c>
      <c r="AK68" s="177">
        <f t="shared" si="86"/>
        <v>2.7658202399247664</v>
      </c>
      <c r="AM68" s="559">
        <f t="shared" si="87"/>
        <v>630</v>
      </c>
      <c r="AN68" s="469">
        <f t="shared" si="88"/>
        <v>350</v>
      </c>
      <c r="AP68">
        <f t="shared" si="89"/>
        <v>630</v>
      </c>
      <c r="AQ68" s="469">
        <f t="shared" si="90"/>
        <v>350</v>
      </c>
      <c r="AS68" s="5">
        <f t="shared" si="51"/>
        <v>2.8571428571428572</v>
      </c>
      <c r="AT68" s="5">
        <f t="shared" si="91"/>
        <v>1.3691334178192696</v>
      </c>
      <c r="AU68" s="5">
        <f t="shared" si="52"/>
        <v>1.4880094393235876</v>
      </c>
      <c r="AV68" s="5">
        <f t="shared" si="92"/>
        <v>0.86109019988633295</v>
      </c>
      <c r="AW68" s="177">
        <f t="shared" si="53"/>
        <v>0.47919669623674432</v>
      </c>
      <c r="AX68" s="177">
        <f t="shared" si="93"/>
        <v>10.544210526315791</v>
      </c>
      <c r="AY68" s="177">
        <f t="shared" si="94"/>
        <v>1.1459719402922466</v>
      </c>
      <c r="AZ68" s="177">
        <f t="shared" si="54"/>
        <v>9.2011070739016514</v>
      </c>
      <c r="BA68" s="469">
        <f t="shared" si="95"/>
        <v>17.027319442995115</v>
      </c>
      <c r="BB68" s="469">
        <f t="shared" si="96"/>
        <v>18.234635999999998</v>
      </c>
      <c r="BC68" s="5">
        <f t="shared" si="97"/>
        <v>1.3157136095071724</v>
      </c>
      <c r="BD68" s="469">
        <f t="shared" si="98"/>
        <v>100.66799439724845</v>
      </c>
      <c r="BE68" s="5"/>
      <c r="BF68" s="177">
        <f t="shared" si="55"/>
        <v>1.1725605272670681</v>
      </c>
      <c r="BG68" s="177">
        <f t="shared" si="99"/>
        <v>1.8336079651900803</v>
      </c>
      <c r="BH68" s="177"/>
      <c r="BI68" s="542">
        <f t="shared" si="100"/>
        <v>0.15123880091153072</v>
      </c>
      <c r="BJ68" s="542">
        <f t="shared" si="101"/>
        <v>0.19946562480854482</v>
      </c>
      <c r="BK68" s="542">
        <f t="shared" si="102"/>
        <v>1.7499999999999998E-2</v>
      </c>
      <c r="BL68" s="542">
        <f t="shared" si="103"/>
        <v>0.11885914687500002</v>
      </c>
      <c r="BM68">
        <f t="shared" si="104"/>
        <v>4.3499999999999997E-3</v>
      </c>
      <c r="BN68" s="469">
        <f t="shared" si="56"/>
        <v>491.41357259507561</v>
      </c>
      <c r="BO68" s="542">
        <f t="shared" si="105"/>
        <v>0.56700000000000006</v>
      </c>
      <c r="BP68" s="542"/>
      <c r="BR68" s="469">
        <f t="shared" si="58"/>
        <v>567.00000000000011</v>
      </c>
      <c r="BS68" s="542">
        <f t="shared" si="106"/>
        <v>0</v>
      </c>
      <c r="BT68" s="542">
        <f t="shared" si="107"/>
        <v>0</v>
      </c>
      <c r="BU68" s="542">
        <f t="shared" si="108"/>
        <v>0</v>
      </c>
      <c r="BV68" s="542">
        <f t="shared" si="109"/>
        <v>0</v>
      </c>
      <c r="BW68" s="469">
        <f t="shared" si="59"/>
        <v>0</v>
      </c>
      <c r="BX68" s="177">
        <f t="shared" si="60"/>
        <v>1.0584135725950756</v>
      </c>
      <c r="BY68" s="5">
        <f t="shared" si="61"/>
        <v>9.4499999999999993</v>
      </c>
      <c r="BZ68" s="177">
        <f t="shared" si="62"/>
        <v>0.89927941403492961</v>
      </c>
      <c r="CA68" s="5">
        <f t="shared" si="63"/>
        <v>89.927941403492966</v>
      </c>
      <c r="CD68" s="576">
        <f t="shared" si="110"/>
        <v>-50</v>
      </c>
      <c r="CE68">
        <f t="shared" si="111"/>
        <v>-50</v>
      </c>
    </row>
    <row r="69" spans="5:83" x14ac:dyDescent="0.25">
      <c r="E69" s="174">
        <v>64</v>
      </c>
      <c r="F69" s="221">
        <f t="shared" si="112"/>
        <v>0.64</v>
      </c>
      <c r="G69" s="221"/>
      <c r="H69" s="221">
        <f t="shared" ref="H69:H100" si="113">F69*Vout</f>
        <v>9.6</v>
      </c>
      <c r="I69" s="555">
        <f t="shared" ref="I69:I105" si="114">Vin</f>
        <v>15</v>
      </c>
      <c r="J69" s="176">
        <f t="shared" ref="J69:J105" si="115">(T69+Vfwd1)*Nps</f>
        <v>23.85</v>
      </c>
      <c r="K69" s="451">
        <f t="shared" ref="K69:K105" si="116">(Vout+Vfwd1)*Nps+I69</f>
        <v>38.85</v>
      </c>
      <c r="L69" s="451"/>
      <c r="M69" s="221">
        <f t="shared" ref="M69:M105" si="117">(Vout+Vfwd1)*Nps/((Vout+Vfwd1)*Nps+I69)</f>
        <v>0.61389961389961389</v>
      </c>
      <c r="N69" s="176">
        <f t="shared" ref="N69:N105" si="118">M69*I69*Isw_max*0.5*Efficiency</f>
        <v>17.933542471042468</v>
      </c>
      <c r="O69" s="176">
        <f t="shared" si="49"/>
        <v>9.6</v>
      </c>
      <c r="P69" s="221">
        <f t="shared" ref="P69:P100" si="119">N69/Vout</f>
        <v>1.195569498069498</v>
      </c>
      <c r="Q69" s="221">
        <f t="shared" ref="Q69:Q105" si="120">MIN(Vout,N69/F69)</f>
        <v>15</v>
      </c>
      <c r="R69" s="221">
        <f t="shared" ref="R69:R100" si="121">Isw_max/2*I69*Nps*(Q69+Vfwd1)/Q69/(I69+Nps*(Q69+Vfwd1))</f>
        <v>1.2584942084942083</v>
      </c>
      <c r="S69" s="176">
        <f t="shared" ref="S69:S105" si="122">(SQRT(Isw_max^2*Nps^2*I69^2+4*Isw_max*F69/Efficiency*(Nps^2*Vfwd1*I69-Nps*I69^2)+4*(F69/Efficiency)^2*Nps^2*Vfwd1^2+8*(F69/Efficiency)^2*Nps*Vfwd1*I69+4*(F69/Efficiency)^2*I69^2)-2*F69/Efficiency*I69-2*F69/Efficiency*Nps*Vfwd1+Isw_max*Nps*I69)/(4*F69/Efficiency*Nps)</f>
        <v>35.889168472683686</v>
      </c>
      <c r="T69" s="176">
        <f t="shared" ref="T69:T100" si="123">MIN(Vout, S69)</f>
        <v>15</v>
      </c>
      <c r="U69" s="221">
        <f t="shared" ref="U69:U105" si="124">MIN(2*Vout*F69/(Efficiency*I69*M69), Isw_max)</f>
        <v>2.1947699437272425</v>
      </c>
      <c r="V69" s="221">
        <f t="shared" ref="V69:V100" si="125">L*U69/I69*1000000</f>
        <v>1.02422597373938</v>
      </c>
      <c r="W69" s="221">
        <f t="shared" ref="W69:W105" si="126">L*U69/J69*1000000</f>
        <v>0.64416727908137095</v>
      </c>
      <c r="X69" s="201">
        <f t="shared" ref="X69:X105" si="127">IF(1/((350000*L)*(1/I69+1/J69))&gt;Isw_min, 350, 0.001/((Isw_min*L)*(1/I69+1/J69)))</f>
        <v>350</v>
      </c>
      <c r="Y69" s="451">
        <f t="shared" si="50"/>
        <v>350</v>
      </c>
      <c r="AA69" s="221">
        <f t="shared" ref="AA69:AA105" si="128">1/((X69*1000*L)*(1/I69+1/J69))</f>
        <v>3.7585690646915135</v>
      </c>
      <c r="AB69" s="177">
        <f t="shared" ref="AB69:AB100" si="129">L*AA69/J69*1000000</f>
        <v>1.1031439602868174</v>
      </c>
      <c r="AC69" s="177">
        <f t="shared" ref="AC69:AC100" si="130">0.5*AB69*AA69*Nps*X69/1000</f>
        <v>1.0883887252967701</v>
      </c>
      <c r="AD69" s="177"/>
      <c r="AE69" s="177">
        <f t="shared" ref="AE69:AE105" si="131">L*Isw_min/J69*1000000</f>
        <v>0.24067085953878403</v>
      </c>
      <c r="AF69" s="559">
        <f t="shared" ref="AF69:AF100" si="132">MAX(12, F69/(0.5*AE69/1000000*Isw_min*Nps)/1000)</f>
        <v>4323.9568284184597</v>
      </c>
      <c r="AG69" s="542">
        <f t="shared" ref="AG69:AG105" si="133">0.5*AE69/1000000*Isw_min*Nps*X69*1000</f>
        <v>5.1804402515723262E-2</v>
      </c>
      <c r="AI69" s="177">
        <f t="shared" ref="AI69:AI105" si="134">SQRT(F69/Efficiency/(0.5*L/J69*Fsw_DCM*Nps))</f>
        <v>2.9570502328307562</v>
      </c>
      <c r="AJ69" s="177">
        <f t="shared" ref="AJ69:AJ100" si="135">MAX(IF(F69&gt;AC69,U69,AI69),Isw_min)</f>
        <v>2.9570502328307562</v>
      </c>
      <c r="AK69" s="177">
        <f t="shared" ref="AK69:AK100" si="136">IF(F69&gt;AG69, (AJ69-Isw_min)/1.08*0.8+1.2, AF69*0.2/350+1)</f>
        <v>2.7830001724672266</v>
      </c>
      <c r="AM69" s="559">
        <f t="shared" ref="AM69:AM105" si="137">F69*1000</f>
        <v>640</v>
      </c>
      <c r="AN69" s="469">
        <f t="shared" ref="AN69:AN105" si="138">IF(F69&gt;AG69, Y69, AF69)</f>
        <v>350</v>
      </c>
      <c r="AP69">
        <f t="shared" ref="AP69:AP103" si="139">IF(H69&gt;N69, "",AM69)</f>
        <v>640</v>
      </c>
      <c r="AQ69" s="469">
        <f t="shared" ref="AQ69:AQ103" si="140">IF(H69&gt;N69, "",AN69)</f>
        <v>350</v>
      </c>
      <c r="AS69" s="5">
        <f t="shared" si="51"/>
        <v>2.8571428571428572</v>
      </c>
      <c r="AT69" s="5">
        <f t="shared" ref="AT69:AT105" si="141">L*AJ69/I69*1000000</f>
        <v>1.3799567753210196</v>
      </c>
      <c r="AU69" s="5">
        <f t="shared" si="52"/>
        <v>1.4771860818218376</v>
      </c>
      <c r="AV69" s="5">
        <f t="shared" ref="AV69:AV105" si="142">L*AJ69/J69*1000000</f>
        <v>0.86789734296919452</v>
      </c>
      <c r="AW69" s="177">
        <f t="shared" si="53"/>
        <v>0.48298487136235685</v>
      </c>
      <c r="AX69" s="177">
        <f t="shared" ref="AX69:AX132" si="143">0.5*L*AJ69^2*AN69*1000</f>
        <v>10.711578947368427</v>
      </c>
      <c r="AY69" s="177">
        <f t="shared" ref="AY69:AY132" si="144">AJ69*Nps/2*(1-AW69)</f>
        <v>1.1466297798862246</v>
      </c>
      <c r="AZ69" s="177">
        <f t="shared" si="54"/>
        <v>9.3417937814516669</v>
      </c>
      <c r="BA69" s="469">
        <f t="shared" ref="BA69:BA105" si="145">L*Isw_max^2/(2*Vout_ripple*Vout)*1000000000*((1+M69)/2)^2</f>
        <v>17.027319442995115</v>
      </c>
      <c r="BB69" s="469">
        <f t="shared" ref="BB69:BB105" si="146">L*F69^2/(2*Cout*Vout*Nps^2)*1000000000*((1+M69)/(1-M69))^2+F69*RCoutEsr</f>
        <v>18.787631407407403</v>
      </c>
      <c r="BC69" s="5">
        <f t="shared" ref="BC69:BC105" si="147">H69/Efficiency/I69*AU69/Vinripple1</f>
        <v>1.3268759191101418</v>
      </c>
      <c r="BD69" s="469">
        <f t="shared" ref="BD69:BD105" si="148">((BY69/I69/Efficiency)*AU69/Cin+(BY69/I69/Efficiency)*RCinEsr)*1000</f>
        <v>101.5367465648396</v>
      </c>
      <c r="BE69" s="5"/>
      <c r="BF69" s="177">
        <f t="shared" si="55"/>
        <v>1.1864920661869094</v>
      </c>
      <c r="BG69" s="177">
        <f t="shared" ref="BG69:BG132" si="149">AJ69*Nps*SQRT((1-AW69)/3)</f>
        <v>1.8413695602956077</v>
      </c>
      <c r="BH69" s="177"/>
      <c r="BI69" s="542">
        <f t="shared" ref="BI69:BI105" si="150">Rdson*BF69^2</f>
        <v>0.15485397654369296</v>
      </c>
      <c r="BJ69" s="542">
        <f t="shared" ref="BJ69:BJ105" si="151">0.5*K69*AJ69*AN69*1000*Trise</f>
        <v>0.20104245270458107</v>
      </c>
      <c r="BK69" s="542">
        <f t="shared" ref="BK69:BK105" si="152">Qg*Vdd*AN69*1000</f>
        <v>1.7499999999999998E-2</v>
      </c>
      <c r="BL69" s="542">
        <f t="shared" ref="BL69:BL105" si="153">0.5*(Coss+Csw)*K69^2*AN69*1000</f>
        <v>0.11885914687500002</v>
      </c>
      <c r="BM69">
        <f t="shared" ref="BM69:BM105" si="154">I69*IQ</f>
        <v>4.3499999999999997E-3</v>
      </c>
      <c r="BN69" s="469">
        <f t="shared" si="56"/>
        <v>496.60557612327409</v>
      </c>
      <c r="BO69" s="542">
        <f t="shared" ref="BO69:BO105" si="155">Vfwd2*F69</f>
        <v>0.57600000000000007</v>
      </c>
      <c r="BP69" s="542"/>
      <c r="BR69" s="469">
        <f t="shared" si="58"/>
        <v>576.00000000000011</v>
      </c>
      <c r="BS69" s="542">
        <f t="shared" ref="BS69:BS105" si="156">Rdcr_pri*BF69^2</f>
        <v>0</v>
      </c>
      <c r="BT69" s="542">
        <f t="shared" ref="BT69:BT105" si="157">Rdcr_sec*BG69^2</f>
        <v>0</v>
      </c>
      <c r="BU69" s="542">
        <f t="shared" ref="BU69:BU105" si="158">AJ69^2.5*AN69^2.5*k_core</f>
        <v>0</v>
      </c>
      <c r="BV69" s="542">
        <f t="shared" ref="BV69:BV105" si="159">0.5*Lleak*0.000000001*AJ69^2*AN69*1000</f>
        <v>0</v>
      </c>
      <c r="BW69" s="469">
        <f t="shared" si="59"/>
        <v>0</v>
      </c>
      <c r="BX69" s="177">
        <f t="shared" si="60"/>
        <v>1.0726055761232742</v>
      </c>
      <c r="BY69" s="5">
        <f t="shared" si="61"/>
        <v>9.6</v>
      </c>
      <c r="BZ69" s="177">
        <f t="shared" si="62"/>
        <v>0.89949918335566481</v>
      </c>
      <c r="CA69" s="5">
        <f t="shared" si="63"/>
        <v>89.94991833556648</v>
      </c>
      <c r="CD69" s="576">
        <f t="shared" ref="CD69:CD105" si="160">IF(ABS(F69-Ioutmax_Vinnom)&lt;Iout/200, AN69, -50)</f>
        <v>-50</v>
      </c>
      <c r="CE69">
        <f t="shared" ref="CE69:CE105" si="161">IF(ABS(F69-Ioutmax_Vinnom)&lt;Iout/200, N69*BZ69, -50)</f>
        <v>-50</v>
      </c>
    </row>
    <row r="70" spans="5:83" x14ac:dyDescent="0.25">
      <c r="E70" s="174">
        <v>65</v>
      </c>
      <c r="F70" s="221">
        <f t="shared" ref="F70:F101" si="162">IF(PLOT_TYPE=1, E70/100*Iout_max, min_I*EXP(N70*rr/100))</f>
        <v>0.65</v>
      </c>
      <c r="G70" s="221"/>
      <c r="H70" s="221">
        <f t="shared" si="113"/>
        <v>9.75</v>
      </c>
      <c r="I70" s="555">
        <f t="shared" si="114"/>
        <v>15</v>
      </c>
      <c r="J70" s="176">
        <f t="shared" si="115"/>
        <v>23.85</v>
      </c>
      <c r="K70" s="451">
        <f t="shared" si="116"/>
        <v>38.85</v>
      </c>
      <c r="L70" s="451"/>
      <c r="M70" s="221">
        <f t="shared" si="117"/>
        <v>0.61389961389961389</v>
      </c>
      <c r="N70" s="176">
        <f t="shared" si="118"/>
        <v>17.933542471042468</v>
      </c>
      <c r="O70" s="176">
        <f t="shared" ref="O70:O133" si="163">T70*F70</f>
        <v>9.75</v>
      </c>
      <c r="P70" s="221">
        <f t="shared" si="119"/>
        <v>1.195569498069498</v>
      </c>
      <c r="Q70" s="221">
        <f t="shared" si="120"/>
        <v>15</v>
      </c>
      <c r="R70" s="221">
        <f t="shared" si="121"/>
        <v>1.2584942084942083</v>
      </c>
      <c r="S70" s="176">
        <f t="shared" si="122"/>
        <v>35.191672693383133</v>
      </c>
      <c r="T70" s="176">
        <f t="shared" si="123"/>
        <v>15</v>
      </c>
      <c r="U70" s="221">
        <f t="shared" si="124"/>
        <v>2.2290632240979811</v>
      </c>
      <c r="V70" s="221">
        <f t="shared" si="125"/>
        <v>1.0402295045790579</v>
      </c>
      <c r="W70" s="221">
        <f t="shared" si="126"/>
        <v>0.65423239281701751</v>
      </c>
      <c r="X70" s="201">
        <f t="shared" si="127"/>
        <v>350</v>
      </c>
      <c r="Y70" s="451">
        <f t="shared" ref="Y70:Y105" si="164">MIN(1/(V70+W70)*1000, 350)</f>
        <v>350</v>
      </c>
      <c r="AA70" s="221">
        <f t="shared" si="128"/>
        <v>3.7585690646915135</v>
      </c>
      <c r="AB70" s="177">
        <f t="shared" si="129"/>
        <v>1.1031439602868174</v>
      </c>
      <c r="AC70" s="177">
        <f t="shared" si="130"/>
        <v>1.0883887252967701</v>
      </c>
      <c r="AD70" s="177"/>
      <c r="AE70" s="177">
        <f t="shared" si="131"/>
        <v>0.24067085953878403</v>
      </c>
      <c r="AF70" s="559">
        <f t="shared" si="132"/>
        <v>4391.5186538624976</v>
      </c>
      <c r="AG70" s="542">
        <f t="shared" si="133"/>
        <v>5.1804402515723262E-2</v>
      </c>
      <c r="AI70" s="177">
        <f t="shared" si="134"/>
        <v>2.9800626439684739</v>
      </c>
      <c r="AJ70" s="177">
        <f t="shared" si="135"/>
        <v>2.9800626439684739</v>
      </c>
      <c r="AK70" s="177">
        <f t="shared" si="136"/>
        <v>2.8000464029396106</v>
      </c>
      <c r="AM70" s="559">
        <f t="shared" si="137"/>
        <v>650</v>
      </c>
      <c r="AN70" s="469">
        <f t="shared" si="138"/>
        <v>350</v>
      </c>
      <c r="AP70">
        <f t="shared" si="139"/>
        <v>650</v>
      </c>
      <c r="AQ70" s="469">
        <f t="shared" si="140"/>
        <v>350</v>
      </c>
      <c r="AS70" s="5">
        <f t="shared" ref="AS70:AS133" si="165">1/AN70*1000</f>
        <v>2.8571428571428572</v>
      </c>
      <c r="AT70" s="5">
        <f t="shared" si="141"/>
        <v>1.3906959005186212</v>
      </c>
      <c r="AU70" s="5">
        <f t="shared" ref="AU70:AU105" si="166">AS70-AT70</f>
        <v>1.466446956624236</v>
      </c>
      <c r="AV70" s="5">
        <f t="shared" si="142"/>
        <v>0.87465150976013906</v>
      </c>
      <c r="AW70" s="177">
        <f t="shared" ref="AW70:AW105" si="167">AT70/AS70</f>
        <v>0.4867435651815174</v>
      </c>
      <c r="AX70" s="177">
        <f t="shared" si="143"/>
        <v>10.878947368421052</v>
      </c>
      <c r="AY70" s="177">
        <f t="shared" si="144"/>
        <v>1.14715224613425</v>
      </c>
      <c r="AZ70" s="177">
        <f t="shared" ref="AZ70:AZ133" si="168">AX70/AY70</f>
        <v>9.4834381443977058</v>
      </c>
      <c r="BA70" s="469">
        <f t="shared" si="145"/>
        <v>17.027319442995115</v>
      </c>
      <c r="BB70" s="469">
        <f t="shared" si="146"/>
        <v>19.348862962962958</v>
      </c>
      <c r="BC70" s="5">
        <f t="shared" si="147"/>
        <v>1.3378112586747415</v>
      </c>
      <c r="BD70" s="469">
        <f t="shared" si="148"/>
        <v>102.38847597955298</v>
      </c>
      <c r="BE70" s="5"/>
      <c r="BF70" s="177">
        <f t="shared" ref="BF70:BF133" si="169">AJ70*SQRT(AW70/3)</f>
        <v>1.2003692887020823</v>
      </c>
      <c r="BG70" s="177">
        <f t="shared" si="149"/>
        <v>1.8489417393874816</v>
      </c>
      <c r="BH70" s="177"/>
      <c r="BI70" s="542">
        <f t="shared" si="150"/>
        <v>0.15849750721850572</v>
      </c>
      <c r="BJ70" s="542">
        <f t="shared" si="151"/>
        <v>0.20260700900680662</v>
      </c>
      <c r="BK70" s="542">
        <f t="shared" si="152"/>
        <v>1.7499999999999998E-2</v>
      </c>
      <c r="BL70" s="542">
        <f t="shared" si="153"/>
        <v>0.11885914687500002</v>
      </c>
      <c r="BM70">
        <f t="shared" si="154"/>
        <v>4.3499999999999997E-3</v>
      </c>
      <c r="BN70" s="469">
        <f t="shared" ref="BN70:BN105" si="170">SUM(BI70:BM70)*1000</f>
        <v>501.8136631003124</v>
      </c>
      <c r="BO70" s="542">
        <f t="shared" si="155"/>
        <v>0.58500000000000008</v>
      </c>
      <c r="BP70" s="542"/>
      <c r="BR70" s="469">
        <f t="shared" ref="BR70:BR105" si="171">SUM(BO70:BQ70)*1000</f>
        <v>585.00000000000011</v>
      </c>
      <c r="BS70" s="542">
        <f t="shared" si="156"/>
        <v>0</v>
      </c>
      <c r="BT70" s="542">
        <f t="shared" si="157"/>
        <v>0</v>
      </c>
      <c r="BU70" s="542">
        <f t="shared" si="158"/>
        <v>0</v>
      </c>
      <c r="BV70" s="542">
        <f t="shared" si="159"/>
        <v>0</v>
      </c>
      <c r="BW70" s="469">
        <f t="shared" ref="BW70:BW105" si="172">SUM(BS70:BV70)*1000</f>
        <v>0</v>
      </c>
      <c r="BX70" s="177">
        <f t="shared" ref="BX70:BX105" si="173">SUM(BI70:BM70,BO70:BQ70,BS70:BV70)</f>
        <v>1.0868136631003125</v>
      </c>
      <c r="BY70" s="5">
        <f t="shared" ref="BY70:BY105" si="174">MIN(H70,O70)</f>
        <v>9.75</v>
      </c>
      <c r="BZ70" s="177">
        <f t="shared" ref="BZ70:BZ105" si="175">BY70/(BY70+BX70)</f>
        <v>0.89971095776972287</v>
      </c>
      <c r="CA70" s="5">
        <f t="shared" ref="CA70:CA105" si="176">BZ70*100</f>
        <v>89.971095776972291</v>
      </c>
      <c r="CD70" s="576">
        <f t="shared" si="160"/>
        <v>-50</v>
      </c>
      <c r="CE70">
        <f t="shared" si="161"/>
        <v>-50</v>
      </c>
    </row>
    <row r="71" spans="5:83" x14ac:dyDescent="0.25">
      <c r="E71" s="174">
        <v>66</v>
      </c>
      <c r="F71" s="221">
        <f t="shared" si="162"/>
        <v>0.66</v>
      </c>
      <c r="G71" s="221"/>
      <c r="H71" s="221">
        <f t="shared" si="113"/>
        <v>9.9</v>
      </c>
      <c r="I71" s="555">
        <f t="shared" si="114"/>
        <v>15</v>
      </c>
      <c r="J71" s="176">
        <f t="shared" si="115"/>
        <v>23.85</v>
      </c>
      <c r="K71" s="451">
        <f t="shared" si="116"/>
        <v>38.85</v>
      </c>
      <c r="L71" s="451"/>
      <c r="M71" s="221">
        <f t="shared" si="117"/>
        <v>0.61389961389961389</v>
      </c>
      <c r="N71" s="176">
        <f t="shared" si="118"/>
        <v>17.933542471042468</v>
      </c>
      <c r="O71" s="176">
        <f t="shared" si="163"/>
        <v>9.9</v>
      </c>
      <c r="P71" s="221">
        <f t="shared" si="119"/>
        <v>1.195569498069498</v>
      </c>
      <c r="Q71" s="221">
        <f t="shared" si="120"/>
        <v>15</v>
      </c>
      <c r="R71" s="221">
        <f t="shared" si="121"/>
        <v>1.2584942084942083</v>
      </c>
      <c r="S71" s="176">
        <f t="shared" si="122"/>
        <v>34.515489728337414</v>
      </c>
      <c r="T71" s="176">
        <f t="shared" si="123"/>
        <v>15</v>
      </c>
      <c r="U71" s="221">
        <f t="shared" si="124"/>
        <v>2.2633565044687192</v>
      </c>
      <c r="V71" s="221">
        <f t="shared" si="125"/>
        <v>1.0562330354187357</v>
      </c>
      <c r="W71" s="221">
        <f t="shared" si="126"/>
        <v>0.66429750655266384</v>
      </c>
      <c r="X71" s="201">
        <f t="shared" si="127"/>
        <v>350</v>
      </c>
      <c r="Y71" s="451">
        <f t="shared" si="164"/>
        <v>350</v>
      </c>
      <c r="AA71" s="221">
        <f t="shared" si="128"/>
        <v>3.7585690646915135</v>
      </c>
      <c r="AB71" s="177">
        <f t="shared" si="129"/>
        <v>1.1031439602868174</v>
      </c>
      <c r="AC71" s="177">
        <f t="shared" si="130"/>
        <v>1.0883887252967701</v>
      </c>
      <c r="AD71" s="177"/>
      <c r="AE71" s="177">
        <f t="shared" si="131"/>
        <v>0.24067085953878403</v>
      </c>
      <c r="AF71" s="559">
        <f t="shared" si="132"/>
        <v>4459.0804793065354</v>
      </c>
      <c r="AG71" s="542">
        <f t="shared" si="133"/>
        <v>5.1804402515723262E-2</v>
      </c>
      <c r="AI71" s="177">
        <f t="shared" si="134"/>
        <v>3.0028987069943462</v>
      </c>
      <c r="AJ71" s="177">
        <f t="shared" si="135"/>
        <v>3.0028987069943462</v>
      </c>
      <c r="AK71" s="177">
        <f t="shared" si="136"/>
        <v>2.8169620051809972</v>
      </c>
      <c r="AM71" s="559">
        <f t="shared" si="137"/>
        <v>660</v>
      </c>
      <c r="AN71" s="469">
        <f t="shared" si="138"/>
        <v>350</v>
      </c>
      <c r="AP71">
        <f t="shared" si="139"/>
        <v>660</v>
      </c>
      <c r="AQ71" s="469">
        <f t="shared" si="140"/>
        <v>350</v>
      </c>
      <c r="AS71" s="5">
        <f t="shared" si="165"/>
        <v>2.8571428571428572</v>
      </c>
      <c r="AT71" s="5">
        <f t="shared" si="141"/>
        <v>1.4013527299306947</v>
      </c>
      <c r="AU71" s="5">
        <f t="shared" si="166"/>
        <v>1.4557901272121625</v>
      </c>
      <c r="AV71" s="5">
        <f t="shared" si="142"/>
        <v>0.88135391819540554</v>
      </c>
      <c r="AW71" s="177">
        <f t="shared" si="167"/>
        <v>0.49047345547574311</v>
      </c>
      <c r="AX71" s="177">
        <f t="shared" si="143"/>
        <v>11.046315789473686</v>
      </c>
      <c r="AY71" s="177">
        <f t="shared" si="144"/>
        <v>1.1475424512983914</v>
      </c>
      <c r="AZ71" s="177">
        <f t="shared" si="168"/>
        <v>9.6260628763452623</v>
      </c>
      <c r="BA71" s="469">
        <f t="shared" si="145"/>
        <v>17.027319442995115</v>
      </c>
      <c r="BB71" s="469">
        <f t="shared" si="146"/>
        <v>19.918330666666666</v>
      </c>
      <c r="BC71" s="5">
        <f t="shared" si="147"/>
        <v>1.3485213809965295</v>
      </c>
      <c r="BD71" s="469">
        <f t="shared" si="148"/>
        <v>103.22331410105551</v>
      </c>
      <c r="BE71" s="5"/>
      <c r="BF71" s="177">
        <f t="shared" si="169"/>
        <v>1.2141932374353994</v>
      </c>
      <c r="BG71" s="177">
        <f t="shared" si="149"/>
        <v>1.8563280268382154</v>
      </c>
      <c r="BH71" s="177"/>
      <c r="BI71" s="542">
        <f t="shared" si="150"/>
        <v>0.16216917396172417</v>
      </c>
      <c r="BJ71" s="542">
        <f t="shared" si="151"/>
        <v>0.20415957584177816</v>
      </c>
      <c r="BK71" s="542">
        <f t="shared" si="152"/>
        <v>1.7499999999999998E-2</v>
      </c>
      <c r="BL71" s="542">
        <f t="shared" si="153"/>
        <v>0.11885914687500002</v>
      </c>
      <c r="BM71">
        <f t="shared" si="154"/>
        <v>4.3499999999999997E-3</v>
      </c>
      <c r="BN71" s="469">
        <f t="shared" si="170"/>
        <v>507.03789667850231</v>
      </c>
      <c r="BO71" s="542">
        <f t="shared" si="155"/>
        <v>0.59400000000000008</v>
      </c>
      <c r="BP71" s="542"/>
      <c r="BR71" s="469">
        <f t="shared" si="171"/>
        <v>594.00000000000011</v>
      </c>
      <c r="BS71" s="542">
        <f t="shared" si="156"/>
        <v>0</v>
      </c>
      <c r="BT71" s="542">
        <f t="shared" si="157"/>
        <v>0</v>
      </c>
      <c r="BU71" s="542">
        <f t="shared" si="158"/>
        <v>0</v>
      </c>
      <c r="BV71" s="542">
        <f t="shared" si="159"/>
        <v>0</v>
      </c>
      <c r="BW71" s="469">
        <f t="shared" si="172"/>
        <v>0</v>
      </c>
      <c r="BX71" s="177">
        <f t="shared" si="173"/>
        <v>1.1010378966785024</v>
      </c>
      <c r="BY71" s="5">
        <f t="shared" si="174"/>
        <v>9.9</v>
      </c>
      <c r="BZ71" s="177">
        <f t="shared" si="175"/>
        <v>0.89991508919254481</v>
      </c>
      <c r="CA71" s="5">
        <f t="shared" si="176"/>
        <v>89.991508919254485</v>
      </c>
      <c r="CD71" s="576">
        <f t="shared" si="160"/>
        <v>-50</v>
      </c>
      <c r="CE71">
        <f t="shared" si="161"/>
        <v>-50</v>
      </c>
    </row>
    <row r="72" spans="5:83" x14ac:dyDescent="0.25">
      <c r="E72" s="174">
        <v>67</v>
      </c>
      <c r="F72" s="221">
        <f t="shared" si="162"/>
        <v>0.67</v>
      </c>
      <c r="G72" s="221"/>
      <c r="H72" s="221">
        <f t="shared" si="113"/>
        <v>10.050000000000001</v>
      </c>
      <c r="I72" s="555">
        <f t="shared" si="114"/>
        <v>15</v>
      </c>
      <c r="J72" s="176">
        <f t="shared" si="115"/>
        <v>23.85</v>
      </c>
      <c r="K72" s="451">
        <f t="shared" si="116"/>
        <v>38.85</v>
      </c>
      <c r="L72" s="451"/>
      <c r="M72" s="221">
        <f t="shared" si="117"/>
        <v>0.61389961389961389</v>
      </c>
      <c r="N72" s="176">
        <f t="shared" si="118"/>
        <v>17.933542471042468</v>
      </c>
      <c r="O72" s="176">
        <f t="shared" si="163"/>
        <v>10.050000000000001</v>
      </c>
      <c r="P72" s="221">
        <f t="shared" si="119"/>
        <v>1.195569498069498</v>
      </c>
      <c r="Q72" s="221">
        <f t="shared" si="120"/>
        <v>15</v>
      </c>
      <c r="R72" s="221">
        <f t="shared" si="121"/>
        <v>1.2584942084942083</v>
      </c>
      <c r="S72" s="176">
        <f t="shared" si="122"/>
        <v>33.859667045664622</v>
      </c>
      <c r="T72" s="176">
        <f t="shared" si="123"/>
        <v>15</v>
      </c>
      <c r="U72" s="221">
        <f t="shared" si="124"/>
        <v>2.2976497848394573</v>
      </c>
      <c r="V72" s="221">
        <f t="shared" si="125"/>
        <v>1.0722365662584135</v>
      </c>
      <c r="W72" s="221">
        <f t="shared" si="126"/>
        <v>0.67436262028831029</v>
      </c>
      <c r="X72" s="201">
        <f t="shared" si="127"/>
        <v>350</v>
      </c>
      <c r="Y72" s="451">
        <f t="shared" si="164"/>
        <v>350</v>
      </c>
      <c r="AA72" s="221">
        <f t="shared" si="128"/>
        <v>3.7585690646915135</v>
      </c>
      <c r="AB72" s="177">
        <f t="shared" si="129"/>
        <v>1.1031439602868174</v>
      </c>
      <c r="AC72" s="177">
        <f t="shared" si="130"/>
        <v>1.0883887252967701</v>
      </c>
      <c r="AD72" s="177"/>
      <c r="AE72" s="177">
        <f t="shared" si="131"/>
        <v>0.24067085953878403</v>
      </c>
      <c r="AF72" s="559">
        <f t="shared" si="132"/>
        <v>4526.642304750575</v>
      </c>
      <c r="AG72" s="542">
        <f t="shared" si="133"/>
        <v>5.1804402515723262E-2</v>
      </c>
      <c r="AI72" s="177">
        <f t="shared" si="134"/>
        <v>3.0255624149834128</v>
      </c>
      <c r="AJ72" s="177">
        <f t="shared" si="135"/>
        <v>3.0255624149834128</v>
      </c>
      <c r="AK72" s="177">
        <f t="shared" si="136"/>
        <v>2.8337499370247503</v>
      </c>
      <c r="AM72" s="559">
        <f t="shared" si="137"/>
        <v>670</v>
      </c>
      <c r="AN72" s="469">
        <f t="shared" si="138"/>
        <v>350</v>
      </c>
      <c r="AP72">
        <f t="shared" si="139"/>
        <v>670</v>
      </c>
      <c r="AQ72" s="469">
        <f t="shared" si="140"/>
        <v>350</v>
      </c>
      <c r="AS72" s="5">
        <f t="shared" si="165"/>
        <v>2.8571428571428572</v>
      </c>
      <c r="AT72" s="5">
        <f t="shared" si="141"/>
        <v>1.4119291269922594</v>
      </c>
      <c r="AU72" s="5">
        <f t="shared" si="166"/>
        <v>1.4452137301505978</v>
      </c>
      <c r="AV72" s="5">
        <f t="shared" si="142"/>
        <v>0.88800574024670387</v>
      </c>
      <c r="AW72" s="177">
        <f t="shared" si="167"/>
        <v>0.49417519444729074</v>
      </c>
      <c r="AX72" s="177">
        <f t="shared" si="143"/>
        <v>11.213684210526321</v>
      </c>
      <c r="AY72" s="177">
        <f t="shared" si="144"/>
        <v>1.1478033901849278</v>
      </c>
      <c r="AZ72" s="177">
        <f t="shared" si="168"/>
        <v>9.7696907906149608</v>
      </c>
      <c r="BA72" s="469">
        <f t="shared" si="145"/>
        <v>17.027319442995115</v>
      </c>
      <c r="BB72" s="469">
        <f t="shared" si="146"/>
        <v>20.496034518518517</v>
      </c>
      <c r="BC72" s="5">
        <f t="shared" si="147"/>
        <v>1.3590079988784571</v>
      </c>
      <c r="BD72" s="469">
        <f t="shared" si="148"/>
        <v>104.04138938956849</v>
      </c>
      <c r="BE72" s="5"/>
      <c r="BF72" s="177">
        <f t="shared" si="169"/>
        <v>1.2279649195289901</v>
      </c>
      <c r="BG72" s="177">
        <f t="shared" si="149"/>
        <v>1.8635318073845852</v>
      </c>
      <c r="BH72" s="177"/>
      <c r="BI72" s="542">
        <f t="shared" si="150"/>
        <v>0.16586876279532231</v>
      </c>
      <c r="BJ72" s="542">
        <f t="shared" si="151"/>
        <v>0.2057004246886848</v>
      </c>
      <c r="BK72" s="542">
        <f t="shared" si="152"/>
        <v>1.7499999999999998E-2</v>
      </c>
      <c r="BL72" s="542">
        <f t="shared" si="153"/>
        <v>0.11885914687500002</v>
      </c>
      <c r="BM72">
        <f t="shared" si="154"/>
        <v>4.3499999999999997E-3</v>
      </c>
      <c r="BN72" s="469">
        <f t="shared" si="170"/>
        <v>512.2783343590072</v>
      </c>
      <c r="BO72" s="542">
        <f t="shared" si="155"/>
        <v>0.60300000000000009</v>
      </c>
      <c r="BP72" s="542"/>
      <c r="BR72" s="469">
        <f t="shared" si="171"/>
        <v>603.00000000000011</v>
      </c>
      <c r="BS72" s="542">
        <f t="shared" si="156"/>
        <v>0</v>
      </c>
      <c r="BT72" s="542">
        <f t="shared" si="157"/>
        <v>0</v>
      </c>
      <c r="BU72" s="542">
        <f t="shared" si="158"/>
        <v>0</v>
      </c>
      <c r="BV72" s="542">
        <f t="shared" si="159"/>
        <v>0</v>
      </c>
      <c r="BW72" s="469">
        <f t="shared" si="172"/>
        <v>0</v>
      </c>
      <c r="BX72" s="177">
        <f t="shared" si="173"/>
        <v>1.1152783343590071</v>
      </c>
      <c r="BY72" s="5">
        <f t="shared" si="174"/>
        <v>10.050000000000001</v>
      </c>
      <c r="BZ72" s="177">
        <f t="shared" si="175"/>
        <v>0.90011190935321761</v>
      </c>
      <c r="CA72" s="5">
        <f t="shared" si="176"/>
        <v>90.011190935321764</v>
      </c>
      <c r="CD72" s="576">
        <f t="shared" si="160"/>
        <v>-50</v>
      </c>
      <c r="CE72">
        <f t="shared" si="161"/>
        <v>-50</v>
      </c>
    </row>
    <row r="73" spans="5:83" x14ac:dyDescent="0.25">
      <c r="E73" s="174">
        <v>68</v>
      </c>
      <c r="F73" s="221">
        <f t="shared" si="162"/>
        <v>0.68</v>
      </c>
      <c r="G73" s="221"/>
      <c r="H73" s="221">
        <f t="shared" si="113"/>
        <v>10.200000000000001</v>
      </c>
      <c r="I73" s="555">
        <f t="shared" si="114"/>
        <v>15</v>
      </c>
      <c r="J73" s="176">
        <f t="shared" si="115"/>
        <v>23.85</v>
      </c>
      <c r="K73" s="451">
        <f t="shared" si="116"/>
        <v>38.85</v>
      </c>
      <c r="L73" s="451"/>
      <c r="M73" s="221">
        <f t="shared" si="117"/>
        <v>0.61389961389961389</v>
      </c>
      <c r="N73" s="176">
        <f t="shared" si="118"/>
        <v>17.933542471042468</v>
      </c>
      <c r="O73" s="176">
        <f t="shared" si="163"/>
        <v>10.200000000000001</v>
      </c>
      <c r="P73" s="221">
        <f t="shared" si="119"/>
        <v>1.195569498069498</v>
      </c>
      <c r="Q73" s="221">
        <f t="shared" si="120"/>
        <v>15</v>
      </c>
      <c r="R73" s="221">
        <f t="shared" si="121"/>
        <v>1.2584942084942083</v>
      </c>
      <c r="S73" s="176">
        <f t="shared" si="122"/>
        <v>33.223308163333186</v>
      </c>
      <c r="T73" s="176">
        <f t="shared" si="123"/>
        <v>15</v>
      </c>
      <c r="U73" s="221">
        <f t="shared" si="124"/>
        <v>2.3319430652101958</v>
      </c>
      <c r="V73" s="221">
        <f t="shared" si="125"/>
        <v>1.0882400970980914</v>
      </c>
      <c r="W73" s="221">
        <f t="shared" si="126"/>
        <v>0.68442773402395685</v>
      </c>
      <c r="X73" s="201">
        <f t="shared" si="127"/>
        <v>350</v>
      </c>
      <c r="Y73" s="451">
        <f t="shared" si="164"/>
        <v>350</v>
      </c>
      <c r="AA73" s="221">
        <f t="shared" si="128"/>
        <v>3.7585690646915135</v>
      </c>
      <c r="AB73" s="177">
        <f t="shared" si="129"/>
        <v>1.1031439602868174</v>
      </c>
      <c r="AC73" s="177">
        <f t="shared" si="130"/>
        <v>1.0883887252967701</v>
      </c>
      <c r="AD73" s="177"/>
      <c r="AE73" s="177">
        <f t="shared" si="131"/>
        <v>0.24067085953878403</v>
      </c>
      <c r="AF73" s="559">
        <f t="shared" si="132"/>
        <v>4594.2041301946128</v>
      </c>
      <c r="AG73" s="542">
        <f t="shared" si="133"/>
        <v>5.1804402515723262E-2</v>
      </c>
      <c r="AI73" s="177">
        <f t="shared" si="134"/>
        <v>3.0480576125546257</v>
      </c>
      <c r="AJ73" s="177">
        <f t="shared" si="135"/>
        <v>3.0480576125546257</v>
      </c>
      <c r="AK73" s="177">
        <f t="shared" si="136"/>
        <v>2.8504130463367598</v>
      </c>
      <c r="AM73" s="559">
        <f t="shared" si="137"/>
        <v>680</v>
      </c>
      <c r="AN73" s="469">
        <f t="shared" si="138"/>
        <v>350</v>
      </c>
      <c r="AP73">
        <f t="shared" si="139"/>
        <v>680</v>
      </c>
      <c r="AQ73" s="469">
        <f t="shared" si="140"/>
        <v>350</v>
      </c>
      <c r="AS73" s="5">
        <f t="shared" si="165"/>
        <v>2.8571428571428572</v>
      </c>
      <c r="AT73" s="5">
        <f t="shared" si="141"/>
        <v>1.4224268858588254</v>
      </c>
      <c r="AU73" s="5">
        <f t="shared" si="166"/>
        <v>1.4347159712840318</v>
      </c>
      <c r="AV73" s="5">
        <f t="shared" si="142"/>
        <v>0.89460810431372639</v>
      </c>
      <c r="AW73" s="177">
        <f t="shared" si="167"/>
        <v>0.49784941005058886</v>
      </c>
      <c r="AX73" s="177">
        <f t="shared" si="143"/>
        <v>11.38105263157895</v>
      </c>
      <c r="AY73" s="177">
        <f t="shared" si="144"/>
        <v>1.1479379462580743</v>
      </c>
      <c r="AZ73" s="177">
        <f t="shared" si="168"/>
        <v>9.9143448203604478</v>
      </c>
      <c r="BA73" s="469">
        <f t="shared" si="145"/>
        <v>17.027319442995115</v>
      </c>
      <c r="BB73" s="469">
        <f t="shared" si="146"/>
        <v>21.081974518518518</v>
      </c>
      <c r="BC73" s="5">
        <f t="shared" si="147"/>
        <v>1.3692727866289711</v>
      </c>
      <c r="BD73" s="469">
        <f t="shared" si="148"/>
        <v>104.84282741822547</v>
      </c>
      <c r="BE73" s="5"/>
      <c r="BF73" s="177">
        <f t="shared" si="169"/>
        <v>1.2416853083624169</v>
      </c>
      <c r="BG73" s="177">
        <f t="shared" si="149"/>
        <v>1.8705563332421311</v>
      </c>
      <c r="BH73" s="177"/>
      <c r="BI73" s="542">
        <f t="shared" si="150"/>
        <v>0.16959606455033771</v>
      </c>
      <c r="BJ73" s="542">
        <f t="shared" si="151"/>
        <v>0.20722981693355763</v>
      </c>
      <c r="BK73" s="542">
        <f t="shared" si="152"/>
        <v>1.7499999999999998E-2</v>
      </c>
      <c r="BL73" s="542">
        <f t="shared" si="153"/>
        <v>0.11885914687500002</v>
      </c>
      <c r="BM73">
        <f t="shared" si="154"/>
        <v>4.3499999999999997E-3</v>
      </c>
      <c r="BN73" s="469">
        <f t="shared" si="170"/>
        <v>517.53502835889526</v>
      </c>
      <c r="BO73" s="542">
        <f t="shared" si="155"/>
        <v>0.6120000000000001</v>
      </c>
      <c r="BP73" s="542"/>
      <c r="BR73" s="469">
        <f t="shared" si="171"/>
        <v>612.00000000000011</v>
      </c>
      <c r="BS73" s="542">
        <f t="shared" si="156"/>
        <v>0</v>
      </c>
      <c r="BT73" s="542">
        <f t="shared" si="157"/>
        <v>0</v>
      </c>
      <c r="BU73" s="542">
        <f t="shared" si="158"/>
        <v>0</v>
      </c>
      <c r="BV73" s="542">
        <f t="shared" si="159"/>
        <v>0</v>
      </c>
      <c r="BW73" s="469">
        <f t="shared" si="172"/>
        <v>0</v>
      </c>
      <c r="BX73" s="177">
        <f t="shared" si="173"/>
        <v>1.1295350283588954</v>
      </c>
      <c r="BY73" s="5">
        <f t="shared" si="174"/>
        <v>10.200000000000001</v>
      </c>
      <c r="BZ73" s="177">
        <f t="shared" si="175"/>
        <v>0.90030173122448864</v>
      </c>
      <c r="CA73" s="5">
        <f t="shared" si="176"/>
        <v>90.030173122448858</v>
      </c>
      <c r="CD73" s="576">
        <f t="shared" si="160"/>
        <v>-50</v>
      </c>
      <c r="CE73">
        <f t="shared" si="161"/>
        <v>-50</v>
      </c>
    </row>
    <row r="74" spans="5:83" x14ac:dyDescent="0.25">
      <c r="E74" s="174">
        <v>69</v>
      </c>
      <c r="F74" s="221">
        <f t="shared" si="162"/>
        <v>0.69</v>
      </c>
      <c r="G74" s="221"/>
      <c r="H74" s="221">
        <f t="shared" si="113"/>
        <v>10.35</v>
      </c>
      <c r="I74" s="555">
        <f t="shared" si="114"/>
        <v>15</v>
      </c>
      <c r="J74" s="176">
        <f t="shared" si="115"/>
        <v>23.85</v>
      </c>
      <c r="K74" s="451">
        <f t="shared" si="116"/>
        <v>38.85</v>
      </c>
      <c r="L74" s="451"/>
      <c r="M74" s="221">
        <f t="shared" si="117"/>
        <v>0.61389961389961389</v>
      </c>
      <c r="N74" s="176">
        <f t="shared" si="118"/>
        <v>17.933542471042468</v>
      </c>
      <c r="O74" s="176">
        <f t="shared" si="163"/>
        <v>10.35</v>
      </c>
      <c r="P74" s="221">
        <f t="shared" si="119"/>
        <v>1.195569498069498</v>
      </c>
      <c r="Q74" s="221">
        <f t="shared" si="120"/>
        <v>15</v>
      </c>
      <c r="R74" s="221">
        <f t="shared" si="121"/>
        <v>1.2584942084942083</v>
      </c>
      <c r="S74" s="176">
        <f t="shared" si="122"/>
        <v>32.605568587713748</v>
      </c>
      <c r="T74" s="176">
        <f t="shared" si="123"/>
        <v>15</v>
      </c>
      <c r="U74" s="221">
        <f t="shared" si="124"/>
        <v>2.3662363455809334</v>
      </c>
      <c r="V74" s="221">
        <f t="shared" si="125"/>
        <v>1.104243627937769</v>
      </c>
      <c r="W74" s="221">
        <f t="shared" si="126"/>
        <v>0.69449284775960318</v>
      </c>
      <c r="X74" s="201">
        <f t="shared" si="127"/>
        <v>350</v>
      </c>
      <c r="Y74" s="451">
        <f t="shared" si="164"/>
        <v>350</v>
      </c>
      <c r="AA74" s="221">
        <f t="shared" si="128"/>
        <v>3.7585690646915135</v>
      </c>
      <c r="AB74" s="177">
        <f t="shared" si="129"/>
        <v>1.1031439602868174</v>
      </c>
      <c r="AC74" s="177">
        <f t="shared" si="130"/>
        <v>1.0883887252967701</v>
      </c>
      <c r="AD74" s="177"/>
      <c r="AE74" s="177">
        <f t="shared" si="131"/>
        <v>0.24067085953878403</v>
      </c>
      <c r="AF74" s="559">
        <f t="shared" si="132"/>
        <v>4661.7659556386507</v>
      </c>
      <c r="AG74" s="542">
        <f t="shared" si="133"/>
        <v>5.1804402515723262E-2</v>
      </c>
      <c r="AI74" s="177">
        <f t="shared" si="134"/>
        <v>3.0703880034849256</v>
      </c>
      <c r="AJ74" s="177">
        <f t="shared" si="135"/>
        <v>3.0703880034849256</v>
      </c>
      <c r="AK74" s="177">
        <f t="shared" si="136"/>
        <v>2.8669540766555004</v>
      </c>
      <c r="AM74" s="559">
        <f t="shared" si="137"/>
        <v>690</v>
      </c>
      <c r="AN74" s="469">
        <f t="shared" si="138"/>
        <v>350</v>
      </c>
      <c r="AP74">
        <f t="shared" si="139"/>
        <v>690</v>
      </c>
      <c r="AQ74" s="469">
        <f t="shared" si="140"/>
        <v>350</v>
      </c>
      <c r="AS74" s="5">
        <f t="shared" si="165"/>
        <v>2.8571428571428572</v>
      </c>
      <c r="AT74" s="5">
        <f t="shared" si="141"/>
        <v>1.432847734959632</v>
      </c>
      <c r="AU74" s="5">
        <f t="shared" si="166"/>
        <v>1.4242951221832252</v>
      </c>
      <c r="AV74" s="5">
        <f t="shared" si="142"/>
        <v>0.90116209745888798</v>
      </c>
      <c r="AW74" s="177">
        <f t="shared" si="167"/>
        <v>0.50149670723587114</v>
      </c>
      <c r="AX74" s="177">
        <f t="shared" si="143"/>
        <v>11.548421052631578</v>
      </c>
      <c r="AY74" s="177">
        <f t="shared" si="144"/>
        <v>1.1479488973505363</v>
      </c>
      <c r="AZ74" s="177">
        <f t="shared" si="168"/>
        <v>10.060048038101096</v>
      </c>
      <c r="BA74" s="469">
        <f t="shared" si="145"/>
        <v>17.027319442995115</v>
      </c>
      <c r="BB74" s="469">
        <f t="shared" si="146"/>
        <v>21.676150666666658</v>
      </c>
      <c r="BC74" s="5">
        <f t="shared" si="147"/>
        <v>1.3793173814827024</v>
      </c>
      <c r="BD74" s="469">
        <f t="shared" si="148"/>
        <v>105.62775097962371</v>
      </c>
      <c r="BE74" s="5"/>
      <c r="BF74" s="177">
        <f t="shared" si="169"/>
        <v>1.255355345163587</v>
      </c>
      <c r="BG74" s="177">
        <f t="shared" si="149"/>
        <v>1.8774047307490291</v>
      </c>
      <c r="BH74" s="177"/>
      <c r="BI74" s="542">
        <f t="shared" si="150"/>
        <v>0.17335087468938676</v>
      </c>
      <c r="BJ74" s="542">
        <f t="shared" si="151"/>
        <v>0.20874800438693139</v>
      </c>
      <c r="BK74" s="542">
        <f t="shared" si="152"/>
        <v>1.7499999999999998E-2</v>
      </c>
      <c r="BL74" s="542">
        <f t="shared" si="153"/>
        <v>0.11885914687500002</v>
      </c>
      <c r="BM74">
        <f t="shared" si="154"/>
        <v>4.3499999999999997E-3</v>
      </c>
      <c r="BN74" s="469">
        <f t="shared" si="170"/>
        <v>522.8080259513182</v>
      </c>
      <c r="BO74" s="542">
        <f t="shared" si="155"/>
        <v>0.621</v>
      </c>
      <c r="BP74" s="542"/>
      <c r="BR74" s="469">
        <f t="shared" si="171"/>
        <v>621</v>
      </c>
      <c r="BS74" s="542">
        <f t="shared" si="156"/>
        <v>0</v>
      </c>
      <c r="BT74" s="542">
        <f t="shared" si="157"/>
        <v>0</v>
      </c>
      <c r="BU74" s="542">
        <f t="shared" si="158"/>
        <v>0</v>
      </c>
      <c r="BV74" s="542">
        <f t="shared" si="159"/>
        <v>0</v>
      </c>
      <c r="BW74" s="469">
        <f t="shared" si="172"/>
        <v>0</v>
      </c>
      <c r="BX74" s="177">
        <f t="shared" si="173"/>
        <v>1.1438080259513181</v>
      </c>
      <c r="BY74" s="5">
        <f t="shared" si="174"/>
        <v>10.35</v>
      </c>
      <c r="BZ74" s="177">
        <f t="shared" si="175"/>
        <v>0.90048485033256442</v>
      </c>
      <c r="CA74" s="5">
        <f t="shared" si="176"/>
        <v>90.048485033256441</v>
      </c>
      <c r="CD74" s="576">
        <f t="shared" si="160"/>
        <v>-50</v>
      </c>
      <c r="CE74">
        <f t="shared" si="161"/>
        <v>-50</v>
      </c>
    </row>
    <row r="75" spans="5:83" x14ac:dyDescent="0.25">
      <c r="E75" s="174">
        <v>70</v>
      </c>
      <c r="F75" s="221">
        <f t="shared" si="162"/>
        <v>0.7</v>
      </c>
      <c r="G75" s="221"/>
      <c r="H75" s="221">
        <f t="shared" si="113"/>
        <v>10.5</v>
      </c>
      <c r="I75" s="555">
        <f t="shared" si="114"/>
        <v>15</v>
      </c>
      <c r="J75" s="176">
        <f t="shared" si="115"/>
        <v>23.85</v>
      </c>
      <c r="K75" s="451">
        <f t="shared" si="116"/>
        <v>38.85</v>
      </c>
      <c r="L75" s="451"/>
      <c r="M75" s="221">
        <f t="shared" si="117"/>
        <v>0.61389961389961389</v>
      </c>
      <c r="N75" s="176">
        <f t="shared" si="118"/>
        <v>17.933542471042468</v>
      </c>
      <c r="O75" s="176">
        <f t="shared" si="163"/>
        <v>10.5</v>
      </c>
      <c r="P75" s="221">
        <f t="shared" si="119"/>
        <v>1.195569498069498</v>
      </c>
      <c r="Q75" s="221">
        <f t="shared" si="120"/>
        <v>15</v>
      </c>
      <c r="R75" s="221">
        <f t="shared" si="121"/>
        <v>1.2584942084942083</v>
      </c>
      <c r="S75" s="176">
        <f t="shared" si="122"/>
        <v>32.005652100253421</v>
      </c>
      <c r="T75" s="176">
        <f t="shared" si="123"/>
        <v>15</v>
      </c>
      <c r="U75" s="221">
        <f t="shared" si="124"/>
        <v>2.4005296259516715</v>
      </c>
      <c r="V75" s="221">
        <f t="shared" si="125"/>
        <v>1.1202471587774467</v>
      </c>
      <c r="W75" s="221">
        <f t="shared" si="126"/>
        <v>0.70455796149524952</v>
      </c>
      <c r="X75" s="201">
        <f t="shared" si="127"/>
        <v>350</v>
      </c>
      <c r="Y75" s="451">
        <f t="shared" si="164"/>
        <v>350</v>
      </c>
      <c r="AA75" s="221">
        <f t="shared" si="128"/>
        <v>3.7585690646915135</v>
      </c>
      <c r="AB75" s="177">
        <f t="shared" si="129"/>
        <v>1.1031439602868174</v>
      </c>
      <c r="AC75" s="177">
        <f t="shared" si="130"/>
        <v>1.0883887252967701</v>
      </c>
      <c r="AD75" s="177"/>
      <c r="AE75" s="177">
        <f t="shared" si="131"/>
        <v>0.24067085953878403</v>
      </c>
      <c r="AF75" s="559">
        <f t="shared" si="132"/>
        <v>4729.3277810826894</v>
      </c>
      <c r="AG75" s="542">
        <f t="shared" si="133"/>
        <v>5.1804402515723262E-2</v>
      </c>
      <c r="AI75" s="177">
        <f t="shared" si="134"/>
        <v>3.0925571578284679</v>
      </c>
      <c r="AJ75" s="177">
        <f t="shared" si="135"/>
        <v>3.0925571578284679</v>
      </c>
      <c r="AK75" s="177">
        <f t="shared" si="136"/>
        <v>2.8833756724655317</v>
      </c>
      <c r="AM75" s="559">
        <f t="shared" si="137"/>
        <v>700</v>
      </c>
      <c r="AN75" s="469">
        <f t="shared" si="138"/>
        <v>350</v>
      </c>
      <c r="AP75">
        <f t="shared" si="139"/>
        <v>700</v>
      </c>
      <c r="AQ75" s="469">
        <f t="shared" si="140"/>
        <v>350</v>
      </c>
      <c r="AS75" s="5">
        <f t="shared" si="165"/>
        <v>2.8571428571428572</v>
      </c>
      <c r="AT75" s="5">
        <f t="shared" si="141"/>
        <v>1.4431933403199517</v>
      </c>
      <c r="AU75" s="5">
        <f t="shared" si="166"/>
        <v>1.4139495168229055</v>
      </c>
      <c r="AV75" s="5">
        <f t="shared" si="142"/>
        <v>0.9076687674968249</v>
      </c>
      <c r="AW75" s="177">
        <f t="shared" si="167"/>
        <v>0.50511766911198308</v>
      </c>
      <c r="AX75" s="177">
        <f t="shared" si="143"/>
        <v>11.715789473684213</v>
      </c>
      <c r="AY75" s="177">
        <f t="shared" si="144"/>
        <v>1.1478389210029298</v>
      </c>
      <c r="AZ75" s="177">
        <f t="shared" si="168"/>
        <v>10.206823674743042</v>
      </c>
      <c r="BA75" s="469">
        <f t="shared" si="145"/>
        <v>17.027319442995115</v>
      </c>
      <c r="BB75" s="469">
        <f t="shared" si="146"/>
        <v>22.278562962962951</v>
      </c>
      <c r="BC75" s="5">
        <f t="shared" si="147"/>
        <v>1.3891433849488193</v>
      </c>
      <c r="BD75" s="469">
        <f t="shared" si="148"/>
        <v>106.3962801869509</v>
      </c>
      <c r="BE75" s="5"/>
      <c r="BF75" s="177">
        <f t="shared" si="169"/>
        <v>1.268975940520606</v>
      </c>
      <c r="BG75" s="177">
        <f t="shared" si="149"/>
        <v>1.8840800065766092</v>
      </c>
      <c r="BH75" s="177"/>
      <c r="BI75" s="542">
        <f t="shared" si="150"/>
        <v>0.17713299313821723</v>
      </c>
      <c r="BJ75" s="542">
        <f t="shared" si="151"/>
        <v>0.21025522976786298</v>
      </c>
      <c r="BK75" s="542">
        <f t="shared" si="152"/>
        <v>1.7499999999999998E-2</v>
      </c>
      <c r="BL75" s="542">
        <f t="shared" si="153"/>
        <v>0.11885914687500002</v>
      </c>
      <c r="BM75">
        <f t="shared" si="154"/>
        <v>4.3499999999999997E-3</v>
      </c>
      <c r="BN75" s="469">
        <f t="shared" si="170"/>
        <v>528.09736978108026</v>
      </c>
      <c r="BO75" s="542">
        <f t="shared" si="155"/>
        <v>0.63</v>
      </c>
      <c r="BP75" s="542"/>
      <c r="BR75" s="469">
        <f t="shared" si="171"/>
        <v>630</v>
      </c>
      <c r="BS75" s="542">
        <f t="shared" si="156"/>
        <v>0</v>
      </c>
      <c r="BT75" s="542">
        <f t="shared" si="157"/>
        <v>0</v>
      </c>
      <c r="BU75" s="542">
        <f t="shared" si="158"/>
        <v>0</v>
      </c>
      <c r="BV75" s="542">
        <f t="shared" si="159"/>
        <v>0</v>
      </c>
      <c r="BW75" s="469">
        <f t="shared" si="172"/>
        <v>0</v>
      </c>
      <c r="BX75" s="177">
        <f t="shared" si="173"/>
        <v>1.1580973697810801</v>
      </c>
      <c r="BY75" s="5">
        <f t="shared" si="174"/>
        <v>10.5</v>
      </c>
      <c r="BZ75" s="177">
        <f t="shared" si="175"/>
        <v>0.90066154595834991</v>
      </c>
      <c r="CA75" s="5">
        <f t="shared" si="176"/>
        <v>90.066154595834988</v>
      </c>
      <c r="CD75" s="576">
        <f t="shared" si="160"/>
        <v>-50</v>
      </c>
      <c r="CE75">
        <f t="shared" si="161"/>
        <v>-50</v>
      </c>
    </row>
    <row r="76" spans="5:83" x14ac:dyDescent="0.25">
      <c r="E76" s="174">
        <v>71</v>
      </c>
      <c r="F76" s="221">
        <f t="shared" si="162"/>
        <v>0.71</v>
      </c>
      <c r="G76" s="221"/>
      <c r="H76" s="221">
        <f t="shared" si="113"/>
        <v>10.649999999999999</v>
      </c>
      <c r="I76" s="555">
        <f t="shared" si="114"/>
        <v>15</v>
      </c>
      <c r="J76" s="176">
        <f t="shared" si="115"/>
        <v>23.85</v>
      </c>
      <c r="K76" s="451">
        <f t="shared" si="116"/>
        <v>38.85</v>
      </c>
      <c r="L76" s="451"/>
      <c r="M76" s="221">
        <f t="shared" si="117"/>
        <v>0.61389961389961389</v>
      </c>
      <c r="N76" s="176">
        <f t="shared" si="118"/>
        <v>17.933542471042468</v>
      </c>
      <c r="O76" s="176">
        <f t="shared" si="163"/>
        <v>10.649999999999999</v>
      </c>
      <c r="P76" s="221">
        <f t="shared" si="119"/>
        <v>1.195569498069498</v>
      </c>
      <c r="Q76" s="221">
        <f t="shared" si="120"/>
        <v>15</v>
      </c>
      <c r="R76" s="221">
        <f t="shared" si="121"/>
        <v>1.2584942084942083</v>
      </c>
      <c r="S76" s="176">
        <f t="shared" si="122"/>
        <v>31.422807357950234</v>
      </c>
      <c r="T76" s="176">
        <f t="shared" si="123"/>
        <v>15</v>
      </c>
      <c r="U76" s="221">
        <f t="shared" si="124"/>
        <v>2.4348229063224096</v>
      </c>
      <c r="V76" s="221">
        <f t="shared" si="125"/>
        <v>1.1362506896171245</v>
      </c>
      <c r="W76" s="221">
        <f t="shared" si="126"/>
        <v>0.71462307523089585</v>
      </c>
      <c r="X76" s="201">
        <f t="shared" si="127"/>
        <v>350</v>
      </c>
      <c r="Y76" s="451">
        <f t="shared" si="164"/>
        <v>350</v>
      </c>
      <c r="AA76" s="221">
        <f t="shared" si="128"/>
        <v>3.7585690646915135</v>
      </c>
      <c r="AB76" s="177">
        <f t="shared" si="129"/>
        <v>1.1031439602868174</v>
      </c>
      <c r="AC76" s="177">
        <f t="shared" si="130"/>
        <v>1.0883887252967701</v>
      </c>
      <c r="AD76" s="177"/>
      <c r="AE76" s="177">
        <f t="shared" si="131"/>
        <v>0.24067085953878403</v>
      </c>
      <c r="AF76" s="559">
        <f t="shared" si="132"/>
        <v>4796.8896065267281</v>
      </c>
      <c r="AG76" s="542">
        <f t="shared" si="133"/>
        <v>5.1804402515723262E-2</v>
      </c>
      <c r="AI76" s="177">
        <f t="shared" si="134"/>
        <v>3.1145685185797465</v>
      </c>
      <c r="AJ76" s="177">
        <f t="shared" si="135"/>
        <v>3.1145685185797465</v>
      </c>
      <c r="AK76" s="177">
        <f t="shared" si="136"/>
        <v>2.8996803841331458</v>
      </c>
      <c r="AM76" s="559">
        <f t="shared" si="137"/>
        <v>710</v>
      </c>
      <c r="AN76" s="469">
        <f t="shared" si="138"/>
        <v>350</v>
      </c>
      <c r="AP76">
        <f t="shared" si="139"/>
        <v>710</v>
      </c>
      <c r="AQ76" s="469">
        <f t="shared" si="140"/>
        <v>350</v>
      </c>
      <c r="AS76" s="5">
        <f t="shared" si="165"/>
        <v>2.8571428571428572</v>
      </c>
      <c r="AT76" s="5">
        <f t="shared" si="141"/>
        <v>1.4534653086705485</v>
      </c>
      <c r="AU76" s="5">
        <f t="shared" si="166"/>
        <v>1.4036775484723087</v>
      </c>
      <c r="AV76" s="5">
        <f t="shared" si="142"/>
        <v>0.9141291249500304</v>
      </c>
      <c r="AW76" s="177">
        <f t="shared" si="167"/>
        <v>0.50871285803469191</v>
      </c>
      <c r="AX76" s="177">
        <f t="shared" si="143"/>
        <v>11.883157894736843</v>
      </c>
      <c r="AY76" s="177">
        <f t="shared" si="144"/>
        <v>1.1476105994611254</v>
      </c>
      <c r="AZ76" s="177">
        <f t="shared" si="168"/>
        <v>10.35469513815638</v>
      </c>
      <c r="BA76" s="469">
        <f t="shared" si="145"/>
        <v>17.027319442995115</v>
      </c>
      <c r="BB76" s="469">
        <f t="shared" si="146"/>
        <v>22.889211407407402</v>
      </c>
      <c r="BC76" s="5">
        <f t="shared" si="147"/>
        <v>1.3987523640917041</v>
      </c>
      <c r="BD76" s="469">
        <f t="shared" si="148"/>
        <v>107.14853257003568</v>
      </c>
      <c r="BE76" s="5"/>
      <c r="BF76" s="177">
        <f t="shared" si="169"/>
        <v>1.282547975801984</v>
      </c>
      <c r="BG76" s="177">
        <f t="shared" si="149"/>
        <v>1.8905850535403195</v>
      </c>
      <c r="BH76" s="177"/>
      <c r="BI76" s="542">
        <f t="shared" si="150"/>
        <v>0.18094222412571431</v>
      </c>
      <c r="BJ76" s="542">
        <f t="shared" si="151"/>
        <v>0.21175172715694054</v>
      </c>
      <c r="BK76" s="542">
        <f t="shared" si="152"/>
        <v>1.7499999999999998E-2</v>
      </c>
      <c r="BL76" s="542">
        <f t="shared" si="153"/>
        <v>0.11885914687500002</v>
      </c>
      <c r="BM76">
        <f t="shared" si="154"/>
        <v>4.3499999999999997E-3</v>
      </c>
      <c r="BN76" s="469">
        <f t="shared" si="170"/>
        <v>533.40309815765488</v>
      </c>
      <c r="BO76" s="542">
        <f t="shared" si="155"/>
        <v>0.63900000000000001</v>
      </c>
      <c r="BP76" s="542"/>
      <c r="BR76" s="469">
        <f t="shared" si="171"/>
        <v>639</v>
      </c>
      <c r="BS76" s="542">
        <f t="shared" si="156"/>
        <v>0</v>
      </c>
      <c r="BT76" s="542">
        <f t="shared" si="157"/>
        <v>0</v>
      </c>
      <c r="BU76" s="542">
        <f t="shared" si="158"/>
        <v>0</v>
      </c>
      <c r="BV76" s="542">
        <f t="shared" si="159"/>
        <v>0</v>
      </c>
      <c r="BW76" s="469">
        <f t="shared" si="172"/>
        <v>0</v>
      </c>
      <c r="BX76" s="177">
        <f t="shared" si="173"/>
        <v>1.172403098157655</v>
      </c>
      <c r="BY76" s="5">
        <f t="shared" si="174"/>
        <v>10.649999999999999</v>
      </c>
      <c r="BZ76" s="177">
        <f t="shared" si="175"/>
        <v>0.90083208224050848</v>
      </c>
      <c r="CA76" s="5">
        <f t="shared" si="176"/>
        <v>90.08320822405085</v>
      </c>
      <c r="CD76" s="576">
        <f t="shared" si="160"/>
        <v>-50</v>
      </c>
      <c r="CE76">
        <f t="shared" si="161"/>
        <v>-50</v>
      </c>
    </row>
    <row r="77" spans="5:83" x14ac:dyDescent="0.25">
      <c r="E77" s="174">
        <v>72</v>
      </c>
      <c r="F77" s="221">
        <f t="shared" si="162"/>
        <v>0.72</v>
      </c>
      <c r="G77" s="221"/>
      <c r="H77" s="221">
        <f t="shared" si="113"/>
        <v>10.799999999999999</v>
      </c>
      <c r="I77" s="555">
        <f t="shared" si="114"/>
        <v>15</v>
      </c>
      <c r="J77" s="176">
        <f t="shared" si="115"/>
        <v>23.85</v>
      </c>
      <c r="K77" s="451">
        <f t="shared" si="116"/>
        <v>38.85</v>
      </c>
      <c r="L77" s="451"/>
      <c r="M77" s="221">
        <f t="shared" si="117"/>
        <v>0.61389961389961389</v>
      </c>
      <c r="N77" s="176">
        <f t="shared" si="118"/>
        <v>17.933542471042468</v>
      </c>
      <c r="O77" s="176">
        <f t="shared" si="163"/>
        <v>10.799999999999999</v>
      </c>
      <c r="P77" s="221">
        <f t="shared" si="119"/>
        <v>1.195569498069498</v>
      </c>
      <c r="Q77" s="221">
        <f t="shared" si="120"/>
        <v>15</v>
      </c>
      <c r="R77" s="221">
        <f t="shared" si="121"/>
        <v>1.2584942084942083</v>
      </c>
      <c r="S77" s="176">
        <f t="shared" si="122"/>
        <v>30.856324777119188</v>
      </c>
      <c r="T77" s="176">
        <f t="shared" si="123"/>
        <v>15</v>
      </c>
      <c r="U77" s="221">
        <f t="shared" si="124"/>
        <v>2.4691161866931477</v>
      </c>
      <c r="V77" s="221">
        <f t="shared" si="125"/>
        <v>1.1522542204568023</v>
      </c>
      <c r="W77" s="221">
        <f t="shared" si="126"/>
        <v>0.7246881889665423</v>
      </c>
      <c r="X77" s="201">
        <f t="shared" si="127"/>
        <v>350</v>
      </c>
      <c r="Y77" s="451">
        <f t="shared" si="164"/>
        <v>350</v>
      </c>
      <c r="AA77" s="221">
        <f t="shared" si="128"/>
        <v>3.7585690646915135</v>
      </c>
      <c r="AB77" s="177">
        <f t="shared" si="129"/>
        <v>1.1031439602868174</v>
      </c>
      <c r="AC77" s="177">
        <f t="shared" si="130"/>
        <v>1.0883887252967701</v>
      </c>
      <c r="AD77" s="177"/>
      <c r="AE77" s="177">
        <f t="shared" si="131"/>
        <v>0.24067085953878403</v>
      </c>
      <c r="AF77" s="559">
        <f t="shared" si="132"/>
        <v>4864.4514319707669</v>
      </c>
      <c r="AG77" s="542">
        <f t="shared" si="133"/>
        <v>5.1804402515723262E-2</v>
      </c>
      <c r="AI77" s="177">
        <f t="shared" si="134"/>
        <v>3.13642540791583</v>
      </c>
      <c r="AJ77" s="177">
        <f t="shared" si="135"/>
        <v>3.13642540791583</v>
      </c>
      <c r="AK77" s="177">
        <f t="shared" si="136"/>
        <v>2.9158706725302448</v>
      </c>
      <c r="AM77" s="559">
        <f t="shared" si="137"/>
        <v>720</v>
      </c>
      <c r="AN77" s="469">
        <f t="shared" si="138"/>
        <v>350</v>
      </c>
      <c r="AP77">
        <f t="shared" si="139"/>
        <v>720</v>
      </c>
      <c r="AQ77" s="469">
        <f t="shared" si="140"/>
        <v>350</v>
      </c>
      <c r="AS77" s="5">
        <f t="shared" si="165"/>
        <v>2.8571428571428572</v>
      </c>
      <c r="AT77" s="5">
        <f t="shared" si="141"/>
        <v>1.4636651903607207</v>
      </c>
      <c r="AU77" s="5">
        <f t="shared" si="166"/>
        <v>1.3934776667821365</v>
      </c>
      <c r="AV77" s="5">
        <f t="shared" si="142"/>
        <v>0.92054414488095637</v>
      </c>
      <c r="AW77" s="177">
        <f t="shared" si="167"/>
        <v>0.51228281662625219</v>
      </c>
      <c r="AX77" s="177">
        <f t="shared" si="143"/>
        <v>12.050526315789476</v>
      </c>
      <c r="AY77" s="177">
        <f t="shared" si="144"/>
        <v>1.1472664243579249</v>
      </c>
      <c r="AZ77" s="177">
        <f t="shared" si="168"/>
        <v>10.503686031371162</v>
      </c>
      <c r="BA77" s="469">
        <f t="shared" si="145"/>
        <v>17.027319442995115</v>
      </c>
      <c r="BB77" s="469">
        <f t="shared" si="146"/>
        <v>23.508095999999998</v>
      </c>
      <c r="BC77" s="5">
        <f t="shared" si="147"/>
        <v>1.4081458527482642</v>
      </c>
      <c r="BD77" s="469">
        <f t="shared" si="148"/>
        <v>107.88462316664612</v>
      </c>
      <c r="BE77" s="5"/>
      <c r="BF77" s="177">
        <f t="shared" si="169"/>
        <v>1.2960723044919722</v>
      </c>
      <c r="BG77" s="177">
        <f t="shared" si="149"/>
        <v>1.8969226560418695</v>
      </c>
      <c r="BH77" s="177"/>
      <c r="BI77" s="542">
        <f t="shared" si="150"/>
        <v>0.18477837603182445</v>
      </c>
      <c r="BJ77" s="542">
        <f t="shared" si="151"/>
        <v>0.21323772242067754</v>
      </c>
      <c r="BK77" s="542">
        <f t="shared" si="152"/>
        <v>1.7499999999999998E-2</v>
      </c>
      <c r="BL77" s="542">
        <f t="shared" si="153"/>
        <v>0.11885914687500002</v>
      </c>
      <c r="BM77">
        <f t="shared" si="154"/>
        <v>4.3499999999999997E-3</v>
      </c>
      <c r="BN77" s="469">
        <f t="shared" si="170"/>
        <v>538.72524532750197</v>
      </c>
      <c r="BO77" s="542">
        <f t="shared" si="155"/>
        <v>0.64800000000000002</v>
      </c>
      <c r="BP77" s="542"/>
      <c r="BR77" s="469">
        <f t="shared" si="171"/>
        <v>648</v>
      </c>
      <c r="BS77" s="542">
        <f t="shared" si="156"/>
        <v>0</v>
      </c>
      <c r="BT77" s="542">
        <f t="shared" si="157"/>
        <v>0</v>
      </c>
      <c r="BU77" s="542">
        <f t="shared" si="158"/>
        <v>0</v>
      </c>
      <c r="BV77" s="542">
        <f t="shared" si="159"/>
        <v>0</v>
      </c>
      <c r="BW77" s="469">
        <f t="shared" si="172"/>
        <v>0</v>
      </c>
      <c r="BX77" s="177">
        <f t="shared" si="173"/>
        <v>1.1867252453275019</v>
      </c>
      <c r="BY77" s="5">
        <f t="shared" si="174"/>
        <v>10.799999999999999</v>
      </c>
      <c r="BZ77" s="177">
        <f t="shared" si="175"/>
        <v>0.90099670918960173</v>
      </c>
      <c r="CA77" s="5">
        <f t="shared" si="176"/>
        <v>90.099670918960172</v>
      </c>
      <c r="CD77" s="576">
        <f t="shared" si="160"/>
        <v>-50</v>
      </c>
      <c r="CE77">
        <f t="shared" si="161"/>
        <v>-50</v>
      </c>
    </row>
    <row r="78" spans="5:83" x14ac:dyDescent="0.25">
      <c r="E78" s="174">
        <v>73</v>
      </c>
      <c r="F78" s="221">
        <f t="shared" si="162"/>
        <v>0.73</v>
      </c>
      <c r="G78" s="221"/>
      <c r="H78" s="221">
        <f t="shared" si="113"/>
        <v>10.95</v>
      </c>
      <c r="I78" s="555">
        <f t="shared" si="114"/>
        <v>15</v>
      </c>
      <c r="J78" s="176">
        <f t="shared" si="115"/>
        <v>23.85</v>
      </c>
      <c r="K78" s="451">
        <f t="shared" si="116"/>
        <v>38.85</v>
      </c>
      <c r="L78" s="451"/>
      <c r="M78" s="221">
        <f t="shared" si="117"/>
        <v>0.61389961389961389</v>
      </c>
      <c r="N78" s="176">
        <f t="shared" si="118"/>
        <v>17.933542471042468</v>
      </c>
      <c r="O78" s="176">
        <f t="shared" si="163"/>
        <v>10.95</v>
      </c>
      <c r="P78" s="221">
        <f t="shared" si="119"/>
        <v>1.195569498069498</v>
      </c>
      <c r="Q78" s="221">
        <f t="shared" si="120"/>
        <v>15</v>
      </c>
      <c r="R78" s="221">
        <f t="shared" si="121"/>
        <v>1.2584942084942083</v>
      </c>
      <c r="S78" s="176">
        <f t="shared" si="122"/>
        <v>30.305533673285137</v>
      </c>
      <c r="T78" s="176">
        <f t="shared" si="123"/>
        <v>15</v>
      </c>
      <c r="U78" s="221">
        <f t="shared" si="124"/>
        <v>2.5034094670638862</v>
      </c>
      <c r="V78" s="221">
        <f t="shared" si="125"/>
        <v>1.1682577512964805</v>
      </c>
      <c r="W78" s="221">
        <f t="shared" si="126"/>
        <v>0.73475330270218886</v>
      </c>
      <c r="X78" s="201">
        <f t="shared" si="127"/>
        <v>350</v>
      </c>
      <c r="Y78" s="451">
        <f t="shared" si="164"/>
        <v>350</v>
      </c>
      <c r="AA78" s="221">
        <f t="shared" si="128"/>
        <v>3.7585690646915135</v>
      </c>
      <c r="AB78" s="177">
        <f t="shared" si="129"/>
        <v>1.1031439602868174</v>
      </c>
      <c r="AC78" s="177">
        <f t="shared" si="130"/>
        <v>1.0883887252967701</v>
      </c>
      <c r="AD78" s="177"/>
      <c r="AE78" s="177">
        <f t="shared" si="131"/>
        <v>0.24067085953878403</v>
      </c>
      <c r="AF78" s="559">
        <f t="shared" si="132"/>
        <v>4932.0132574148047</v>
      </c>
      <c r="AG78" s="542">
        <f t="shared" si="133"/>
        <v>5.1804402515723262E-2</v>
      </c>
      <c r="AI78" s="177">
        <f t="shared" si="134"/>
        <v>3.1581310330497567</v>
      </c>
      <c r="AJ78" s="177">
        <f t="shared" si="135"/>
        <v>3.1581310330497567</v>
      </c>
      <c r="AK78" s="177">
        <f t="shared" si="136"/>
        <v>2.9319489133701904</v>
      </c>
      <c r="AM78" s="559">
        <f t="shared" si="137"/>
        <v>730</v>
      </c>
      <c r="AN78" s="469">
        <f t="shared" si="138"/>
        <v>350</v>
      </c>
      <c r="AP78">
        <f t="shared" si="139"/>
        <v>730</v>
      </c>
      <c r="AQ78" s="469">
        <f t="shared" si="140"/>
        <v>350</v>
      </c>
      <c r="AS78" s="5">
        <f t="shared" si="165"/>
        <v>2.8571428571428572</v>
      </c>
      <c r="AT78" s="5">
        <f t="shared" si="141"/>
        <v>1.4737944820898863</v>
      </c>
      <c r="AU78" s="5">
        <f t="shared" si="166"/>
        <v>1.3833483750529709</v>
      </c>
      <c r="AV78" s="5">
        <f t="shared" si="142"/>
        <v>0.92691476860999134</v>
      </c>
      <c r="AW78" s="177">
        <f t="shared" si="167"/>
        <v>0.51582806873146014</v>
      </c>
      <c r="AX78" s="177">
        <f t="shared" si="143"/>
        <v>12.217894736842107</v>
      </c>
      <c r="AY78" s="177">
        <f t="shared" si="144"/>
        <v>1.1468088011031072</v>
      </c>
      <c r="AZ78" s="177">
        <f t="shared" si="168"/>
        <v>10.65382017045021</v>
      </c>
      <c r="BA78" s="469">
        <f t="shared" si="145"/>
        <v>17.027319442995115</v>
      </c>
      <c r="BB78" s="469">
        <f t="shared" si="146"/>
        <v>24.135216740740734</v>
      </c>
      <c r="BC78" s="5">
        <f t="shared" si="147"/>
        <v>1.4173253526858509</v>
      </c>
      <c r="BD78" s="469">
        <f t="shared" si="148"/>
        <v>108.60466460933357</v>
      </c>
      <c r="BE78" s="5"/>
      <c r="BF78" s="177">
        <f t="shared" si="169"/>
        <v>1.3095497534471972</v>
      </c>
      <c r="BG78" s="177">
        <f t="shared" si="149"/>
        <v>1.9030954951705155</v>
      </c>
      <c r="BH78" s="177"/>
      <c r="BI78" s="542">
        <f t="shared" si="150"/>
        <v>0.18864126124289762</v>
      </c>
      <c r="BJ78" s="542">
        <f t="shared" si="151"/>
        <v>0.21471343360947034</v>
      </c>
      <c r="BK78" s="542">
        <f t="shared" si="152"/>
        <v>1.7499999999999998E-2</v>
      </c>
      <c r="BL78" s="542">
        <f t="shared" si="153"/>
        <v>0.11885914687500002</v>
      </c>
      <c r="BM78">
        <f t="shared" si="154"/>
        <v>4.3499999999999997E-3</v>
      </c>
      <c r="BN78" s="469">
        <f t="shared" si="170"/>
        <v>544.06384172736796</v>
      </c>
      <c r="BO78" s="542">
        <f t="shared" si="155"/>
        <v>0.65700000000000003</v>
      </c>
      <c r="BP78" s="542"/>
      <c r="BR78" s="469">
        <f t="shared" si="171"/>
        <v>657</v>
      </c>
      <c r="BS78" s="542">
        <f t="shared" si="156"/>
        <v>0</v>
      </c>
      <c r="BT78" s="542">
        <f t="shared" si="157"/>
        <v>0</v>
      </c>
      <c r="BU78" s="542">
        <f t="shared" si="158"/>
        <v>0</v>
      </c>
      <c r="BV78" s="542">
        <f t="shared" si="159"/>
        <v>0</v>
      </c>
      <c r="BW78" s="469">
        <f t="shared" si="172"/>
        <v>0</v>
      </c>
      <c r="BX78" s="177">
        <f t="shared" si="173"/>
        <v>1.201063841727368</v>
      </c>
      <c r="BY78" s="5">
        <f t="shared" si="174"/>
        <v>10.95</v>
      </c>
      <c r="BZ78" s="177">
        <f t="shared" si="175"/>
        <v>0.90115566362157906</v>
      </c>
      <c r="CA78" s="5">
        <f t="shared" si="176"/>
        <v>90.115566362157907</v>
      </c>
      <c r="CD78" s="576">
        <f t="shared" si="160"/>
        <v>-50</v>
      </c>
      <c r="CE78">
        <f t="shared" si="161"/>
        <v>-50</v>
      </c>
    </row>
    <row r="79" spans="5:83" x14ac:dyDescent="0.25">
      <c r="E79" s="174">
        <v>74</v>
      </c>
      <c r="F79" s="221">
        <f t="shared" si="162"/>
        <v>0.74</v>
      </c>
      <c r="G79" s="221"/>
      <c r="H79" s="221">
        <f t="shared" si="113"/>
        <v>11.1</v>
      </c>
      <c r="I79" s="555">
        <f t="shared" si="114"/>
        <v>15</v>
      </c>
      <c r="J79" s="176">
        <f t="shared" si="115"/>
        <v>23.85</v>
      </c>
      <c r="K79" s="451">
        <f t="shared" si="116"/>
        <v>38.85</v>
      </c>
      <c r="L79" s="451"/>
      <c r="M79" s="221">
        <f t="shared" si="117"/>
        <v>0.61389961389961389</v>
      </c>
      <c r="N79" s="176">
        <f t="shared" si="118"/>
        <v>17.933542471042468</v>
      </c>
      <c r="O79" s="176">
        <f t="shared" si="163"/>
        <v>11.1</v>
      </c>
      <c r="P79" s="221">
        <f t="shared" si="119"/>
        <v>1.195569498069498</v>
      </c>
      <c r="Q79" s="221">
        <f t="shared" si="120"/>
        <v>15</v>
      </c>
      <c r="R79" s="221">
        <f t="shared" si="121"/>
        <v>1.2584942084942083</v>
      </c>
      <c r="S79" s="176">
        <f t="shared" si="122"/>
        <v>29.769799632973761</v>
      </c>
      <c r="T79" s="176">
        <f t="shared" si="123"/>
        <v>15</v>
      </c>
      <c r="U79" s="221">
        <f t="shared" si="124"/>
        <v>2.5377027474346243</v>
      </c>
      <c r="V79" s="221">
        <f t="shared" si="125"/>
        <v>1.184261282136158</v>
      </c>
      <c r="W79" s="221">
        <f t="shared" si="126"/>
        <v>0.74481841643783508</v>
      </c>
      <c r="X79" s="201">
        <f t="shared" si="127"/>
        <v>350</v>
      </c>
      <c r="Y79" s="451">
        <f t="shared" si="164"/>
        <v>350</v>
      </c>
      <c r="AA79" s="221">
        <f t="shared" si="128"/>
        <v>3.7585690646915135</v>
      </c>
      <c r="AB79" s="177">
        <f t="shared" si="129"/>
        <v>1.1031439602868174</v>
      </c>
      <c r="AC79" s="177">
        <f t="shared" si="130"/>
        <v>1.0883887252967701</v>
      </c>
      <c r="AD79" s="177"/>
      <c r="AE79" s="177">
        <f t="shared" si="131"/>
        <v>0.24067085953878403</v>
      </c>
      <c r="AF79" s="559">
        <f t="shared" si="132"/>
        <v>4999.5750828588434</v>
      </c>
      <c r="AG79" s="542">
        <f t="shared" si="133"/>
        <v>5.1804402515723262E-2</v>
      </c>
      <c r="AI79" s="177">
        <f t="shared" si="134"/>
        <v>3.1796884917242867</v>
      </c>
      <c r="AJ79" s="177">
        <f t="shared" si="135"/>
        <v>3.1796884917242867</v>
      </c>
      <c r="AK79" s="177">
        <f t="shared" si="136"/>
        <v>2.9479174012772491</v>
      </c>
      <c r="AM79" s="559">
        <f t="shared" si="137"/>
        <v>740</v>
      </c>
      <c r="AN79" s="469">
        <f t="shared" si="138"/>
        <v>350</v>
      </c>
      <c r="AP79">
        <f t="shared" si="139"/>
        <v>740</v>
      </c>
      <c r="AQ79" s="469">
        <f t="shared" si="140"/>
        <v>350</v>
      </c>
      <c r="AS79" s="5">
        <f t="shared" si="165"/>
        <v>2.8571428571428572</v>
      </c>
      <c r="AT79" s="5">
        <f t="shared" si="141"/>
        <v>1.4838546294713337</v>
      </c>
      <c r="AU79" s="5">
        <f t="shared" si="166"/>
        <v>1.3732882276715235</v>
      </c>
      <c r="AV79" s="5">
        <f t="shared" si="142"/>
        <v>0.93324190532788287</v>
      </c>
      <c r="AW79" s="177">
        <f t="shared" si="167"/>
        <v>0.51934912031496683</v>
      </c>
      <c r="AX79" s="177">
        <f t="shared" si="143"/>
        <v>12.385263157894737</v>
      </c>
      <c r="AY79" s="177">
        <f t="shared" si="144"/>
        <v>1.1462400530037411</v>
      </c>
      <c r="AZ79" s="177">
        <f t="shared" si="168"/>
        <v>10.805121602092816</v>
      </c>
      <c r="BA79" s="469">
        <f t="shared" si="145"/>
        <v>17.027319442995115</v>
      </c>
      <c r="BB79" s="469">
        <f t="shared" si="146"/>
        <v>24.770573629629624</v>
      </c>
      <c r="BC79" s="5">
        <f t="shared" si="147"/>
        <v>1.4262923347044596</v>
      </c>
      <c r="BD79" s="469">
        <f t="shared" si="148"/>
        <v>109.30876720809762</v>
      </c>
      <c r="BE79" s="5"/>
      <c r="BF79" s="177">
        <f t="shared" si="169"/>
        <v>1.3229811240802545</v>
      </c>
      <c r="BG79" s="177">
        <f t="shared" si="149"/>
        <v>1.9091061534889651</v>
      </c>
      <c r="BH79" s="177"/>
      <c r="BI79" s="542">
        <f t="shared" si="150"/>
        <v>0.19253069601399189</v>
      </c>
      <c r="BJ79" s="542">
        <f t="shared" si="151"/>
        <v>0.21617907133110495</v>
      </c>
      <c r="BK79" s="542">
        <f t="shared" si="152"/>
        <v>1.7499999999999998E-2</v>
      </c>
      <c r="BL79" s="542">
        <f t="shared" si="153"/>
        <v>0.11885914687500002</v>
      </c>
      <c r="BM79">
        <f t="shared" si="154"/>
        <v>4.3499999999999997E-3</v>
      </c>
      <c r="BN79" s="469">
        <f t="shared" si="170"/>
        <v>549.41891422009678</v>
      </c>
      <c r="BO79" s="542">
        <f t="shared" si="155"/>
        <v>0.66600000000000004</v>
      </c>
      <c r="BP79" s="542"/>
      <c r="BR79" s="469">
        <f t="shared" si="171"/>
        <v>666</v>
      </c>
      <c r="BS79" s="542">
        <f t="shared" si="156"/>
        <v>0</v>
      </c>
      <c r="BT79" s="542">
        <f t="shared" si="157"/>
        <v>0</v>
      </c>
      <c r="BU79" s="542">
        <f t="shared" si="158"/>
        <v>0</v>
      </c>
      <c r="BV79" s="542">
        <f t="shared" si="159"/>
        <v>0</v>
      </c>
      <c r="BW79" s="469">
        <f t="shared" si="172"/>
        <v>0</v>
      </c>
      <c r="BX79" s="177">
        <f t="shared" si="173"/>
        <v>1.2154189142200968</v>
      </c>
      <c r="BY79" s="5">
        <f t="shared" si="174"/>
        <v>11.1</v>
      </c>
      <c r="BZ79" s="177">
        <f t="shared" si="175"/>
        <v>0.9013091700180248</v>
      </c>
      <c r="CA79" s="5">
        <f t="shared" si="176"/>
        <v>90.130917001802473</v>
      </c>
      <c r="CD79" s="576">
        <f t="shared" si="160"/>
        <v>-50</v>
      </c>
      <c r="CE79">
        <f t="shared" si="161"/>
        <v>-50</v>
      </c>
    </row>
    <row r="80" spans="5:83" x14ac:dyDescent="0.25">
      <c r="E80" s="174">
        <v>75</v>
      </c>
      <c r="F80" s="221">
        <f t="shared" si="162"/>
        <v>0.75</v>
      </c>
      <c r="G80" s="221"/>
      <c r="H80" s="221">
        <f t="shared" si="113"/>
        <v>11.25</v>
      </c>
      <c r="I80" s="555">
        <f t="shared" si="114"/>
        <v>15</v>
      </c>
      <c r="J80" s="176">
        <f t="shared" si="115"/>
        <v>23.85</v>
      </c>
      <c r="K80" s="451">
        <f t="shared" si="116"/>
        <v>38.85</v>
      </c>
      <c r="L80" s="451"/>
      <c r="M80" s="221">
        <f t="shared" si="117"/>
        <v>0.61389961389961389</v>
      </c>
      <c r="N80" s="176">
        <f t="shared" si="118"/>
        <v>17.933542471042468</v>
      </c>
      <c r="O80" s="176">
        <f t="shared" si="163"/>
        <v>11.25</v>
      </c>
      <c r="P80" s="221">
        <f t="shared" si="119"/>
        <v>1.195569498069498</v>
      </c>
      <c r="Q80" s="221">
        <f t="shared" si="120"/>
        <v>15</v>
      </c>
      <c r="R80" s="221">
        <f t="shared" si="121"/>
        <v>1.2584942084942083</v>
      </c>
      <c r="S80" s="176">
        <f t="shared" si="122"/>
        <v>29.248522095756947</v>
      </c>
      <c r="T80" s="176">
        <f t="shared" si="123"/>
        <v>15</v>
      </c>
      <c r="U80" s="221">
        <f t="shared" si="124"/>
        <v>2.5719960278053624</v>
      </c>
      <c r="V80" s="221">
        <f t="shared" si="125"/>
        <v>1.2002648129758358</v>
      </c>
      <c r="W80" s="221">
        <f t="shared" si="126"/>
        <v>0.75488353017348153</v>
      </c>
      <c r="X80" s="201">
        <f t="shared" si="127"/>
        <v>350</v>
      </c>
      <c r="Y80" s="451">
        <f t="shared" si="164"/>
        <v>350</v>
      </c>
      <c r="AA80" s="221">
        <f t="shared" si="128"/>
        <v>3.7585690646915135</v>
      </c>
      <c r="AB80" s="177">
        <f t="shared" si="129"/>
        <v>1.1031439602868174</v>
      </c>
      <c r="AC80" s="177">
        <f t="shared" si="130"/>
        <v>1.0883887252967701</v>
      </c>
      <c r="AD80" s="177"/>
      <c r="AE80" s="177">
        <f t="shared" si="131"/>
        <v>0.24067085953878403</v>
      </c>
      <c r="AF80" s="559">
        <f t="shared" si="132"/>
        <v>5067.1369083028821</v>
      </c>
      <c r="AG80" s="542">
        <f t="shared" si="133"/>
        <v>5.1804402515723262E-2</v>
      </c>
      <c r="AI80" s="177">
        <f t="shared" si="134"/>
        <v>3.2011007773726545</v>
      </c>
      <c r="AJ80" s="177">
        <f t="shared" si="135"/>
        <v>3.2011007773726545</v>
      </c>
      <c r="AK80" s="177">
        <f t="shared" si="136"/>
        <v>2.9637783536093742</v>
      </c>
      <c r="AM80" s="559">
        <f t="shared" si="137"/>
        <v>750</v>
      </c>
      <c r="AN80" s="469">
        <f t="shared" si="138"/>
        <v>350</v>
      </c>
      <c r="AP80">
        <f t="shared" si="139"/>
        <v>750</v>
      </c>
      <c r="AQ80" s="469">
        <f t="shared" si="140"/>
        <v>350</v>
      </c>
      <c r="AS80" s="5">
        <f t="shared" si="165"/>
        <v>2.8571428571428572</v>
      </c>
      <c r="AT80" s="5">
        <f t="shared" si="141"/>
        <v>1.4938470294405721</v>
      </c>
      <c r="AU80" s="5">
        <f t="shared" si="166"/>
        <v>1.3632958277022851</v>
      </c>
      <c r="AV80" s="5">
        <f t="shared" si="142"/>
        <v>0.93952643361042265</v>
      </c>
      <c r="AW80" s="177">
        <f t="shared" si="167"/>
        <v>0.52284646030420023</v>
      </c>
      <c r="AX80" s="177">
        <f t="shared" si="143"/>
        <v>12.55263157894737</v>
      </c>
      <c r="AY80" s="177">
        <f t="shared" si="144"/>
        <v>1.1455624251347536</v>
      </c>
      <c r="AZ80" s="177">
        <f t="shared" si="168"/>
        <v>10.957614621019708</v>
      </c>
      <c r="BA80" s="469">
        <f t="shared" si="145"/>
        <v>17.027319442995115</v>
      </c>
      <c r="BB80" s="469">
        <f t="shared" si="146"/>
        <v>25.414166666666663</v>
      </c>
      <c r="BC80" s="5">
        <f t="shared" si="147"/>
        <v>1.4350482396866158</v>
      </c>
      <c r="BD80" s="469">
        <f t="shared" si="148"/>
        <v>109.99703902912776</v>
      </c>
      <c r="BE80" s="5"/>
      <c r="BF80" s="177">
        <f t="shared" si="169"/>
        <v>1.336367193475422</v>
      </c>
      <c r="BG80" s="177">
        <f t="shared" si="149"/>
        <v>1.9149571195271613</v>
      </c>
      <c r="BH80" s="177"/>
      <c r="BI80" s="542">
        <f t="shared" si="150"/>
        <v>0.19644650033771135</v>
      </c>
      <c r="BJ80" s="542">
        <f t="shared" si="151"/>
        <v>0.21763483910162335</v>
      </c>
      <c r="BK80" s="542">
        <f t="shared" si="152"/>
        <v>1.7499999999999998E-2</v>
      </c>
      <c r="BL80" s="542">
        <f t="shared" si="153"/>
        <v>0.11885914687500002</v>
      </c>
      <c r="BM80">
        <f t="shared" si="154"/>
        <v>4.3499999999999997E-3</v>
      </c>
      <c r="BN80" s="469">
        <f t="shared" si="170"/>
        <v>554.79048631433466</v>
      </c>
      <c r="BO80" s="542">
        <f t="shared" si="155"/>
        <v>0.67500000000000004</v>
      </c>
      <c r="BP80" s="542"/>
      <c r="BR80" s="469">
        <f t="shared" si="171"/>
        <v>675</v>
      </c>
      <c r="BS80" s="542">
        <f t="shared" si="156"/>
        <v>0</v>
      </c>
      <c r="BT80" s="542">
        <f t="shared" si="157"/>
        <v>0</v>
      </c>
      <c r="BU80" s="542">
        <f t="shared" si="158"/>
        <v>0</v>
      </c>
      <c r="BV80" s="542">
        <f t="shared" si="159"/>
        <v>0</v>
      </c>
      <c r="BW80" s="469">
        <f t="shared" si="172"/>
        <v>0</v>
      </c>
      <c r="BX80" s="177">
        <f t="shared" si="173"/>
        <v>1.2297904863143347</v>
      </c>
      <c r="BY80" s="5">
        <f t="shared" si="174"/>
        <v>11.25</v>
      </c>
      <c r="BZ80" s="177">
        <f t="shared" si="175"/>
        <v>0.90145744131979177</v>
      </c>
      <c r="CA80" s="5">
        <f t="shared" si="176"/>
        <v>90.145744131979171</v>
      </c>
      <c r="CD80" s="576">
        <f t="shared" si="160"/>
        <v>-50</v>
      </c>
      <c r="CE80">
        <f t="shared" si="161"/>
        <v>-50</v>
      </c>
    </row>
    <row r="81" spans="5:83" x14ac:dyDescent="0.25">
      <c r="E81" s="174">
        <v>76</v>
      </c>
      <c r="F81" s="221">
        <f t="shared" si="162"/>
        <v>0.76</v>
      </c>
      <c r="G81" s="221"/>
      <c r="H81" s="221">
        <f t="shared" si="113"/>
        <v>11.4</v>
      </c>
      <c r="I81" s="555">
        <f t="shared" si="114"/>
        <v>15</v>
      </c>
      <c r="J81" s="176">
        <f t="shared" si="115"/>
        <v>23.85</v>
      </c>
      <c r="K81" s="451">
        <f t="shared" si="116"/>
        <v>38.85</v>
      </c>
      <c r="L81" s="451"/>
      <c r="M81" s="221">
        <f t="shared" si="117"/>
        <v>0.61389961389961389</v>
      </c>
      <c r="N81" s="176">
        <f t="shared" si="118"/>
        <v>17.933542471042468</v>
      </c>
      <c r="O81" s="176">
        <f t="shared" si="163"/>
        <v>11.4</v>
      </c>
      <c r="P81" s="221">
        <f t="shared" si="119"/>
        <v>1.195569498069498</v>
      </c>
      <c r="Q81" s="221">
        <f t="shared" si="120"/>
        <v>15</v>
      </c>
      <c r="R81" s="221">
        <f t="shared" si="121"/>
        <v>1.2584942084942083</v>
      </c>
      <c r="S81" s="176">
        <f t="shared" si="122"/>
        <v>28.741132127186702</v>
      </c>
      <c r="T81" s="176">
        <f t="shared" si="123"/>
        <v>15</v>
      </c>
      <c r="U81" s="221">
        <f t="shared" si="124"/>
        <v>2.6062893081761009</v>
      </c>
      <c r="V81" s="221">
        <f t="shared" si="125"/>
        <v>1.2162683438155137</v>
      </c>
      <c r="W81" s="221">
        <f t="shared" si="126"/>
        <v>0.76494864390912798</v>
      </c>
      <c r="X81" s="201">
        <f t="shared" si="127"/>
        <v>350</v>
      </c>
      <c r="Y81" s="451">
        <f t="shared" si="164"/>
        <v>350</v>
      </c>
      <c r="AA81" s="221">
        <f t="shared" si="128"/>
        <v>3.7585690646915135</v>
      </c>
      <c r="AB81" s="177">
        <f t="shared" si="129"/>
        <v>1.1031439602868174</v>
      </c>
      <c r="AC81" s="177">
        <f t="shared" si="130"/>
        <v>1.0883887252967701</v>
      </c>
      <c r="AD81" s="177"/>
      <c r="AE81" s="177">
        <f t="shared" si="131"/>
        <v>0.24067085953878403</v>
      </c>
      <c r="AF81" s="559">
        <f t="shared" si="132"/>
        <v>5134.6987337469209</v>
      </c>
      <c r="AG81" s="542">
        <f t="shared" si="133"/>
        <v>5.1804402515723262E-2</v>
      </c>
      <c r="AI81" s="177">
        <f t="shared" si="134"/>
        <v>3.2223707839706712</v>
      </c>
      <c r="AJ81" s="177">
        <f t="shared" si="135"/>
        <v>3.2223707839706712</v>
      </c>
      <c r="AK81" s="177">
        <f t="shared" si="136"/>
        <v>2.9795339140523494</v>
      </c>
      <c r="AM81" s="559">
        <f t="shared" si="137"/>
        <v>760</v>
      </c>
      <c r="AN81" s="469">
        <f t="shared" si="138"/>
        <v>350</v>
      </c>
      <c r="AP81">
        <f t="shared" si="139"/>
        <v>760</v>
      </c>
      <c r="AQ81" s="469">
        <f t="shared" si="140"/>
        <v>350</v>
      </c>
      <c r="AS81" s="5">
        <f t="shared" si="165"/>
        <v>2.8571428571428572</v>
      </c>
      <c r="AT81" s="5">
        <f t="shared" si="141"/>
        <v>1.5037730325196463</v>
      </c>
      <c r="AU81" s="5">
        <f t="shared" si="166"/>
        <v>1.3533698246232109</v>
      </c>
      <c r="AV81" s="5">
        <f t="shared" si="142"/>
        <v>0.94576920284254495</v>
      </c>
      <c r="AW81" s="177">
        <f t="shared" si="167"/>
        <v>0.52632056138187622</v>
      </c>
      <c r="AX81" s="177">
        <f t="shared" si="143"/>
        <v>12.720000000000006</v>
      </c>
      <c r="AY81" s="177">
        <f t="shared" si="144"/>
        <v>1.1447780879780032</v>
      </c>
      <c r="AZ81" s="177">
        <f t="shared" si="168"/>
        <v>11.111323787186622</v>
      </c>
      <c r="BA81" s="469">
        <f t="shared" si="145"/>
        <v>17.027319442995115</v>
      </c>
      <c r="BB81" s="469">
        <f t="shared" si="146"/>
        <v>26.065995851851849</v>
      </c>
      <c r="BC81" s="5">
        <f t="shared" si="147"/>
        <v>1.443594479598092</v>
      </c>
      <c r="BD81" s="469">
        <f t="shared" si="148"/>
        <v>110.66958596985688</v>
      </c>
      <c r="BE81" s="5"/>
      <c r="BF81" s="177">
        <f t="shared" si="169"/>
        <v>1.3497087154412564</v>
      </c>
      <c r="BG81" s="177">
        <f t="shared" si="149"/>
        <v>1.9206507920051796</v>
      </c>
      <c r="BH81" s="177"/>
      <c r="BI81" s="542">
        <f t="shared" si="150"/>
        <v>0.20038849781918949</v>
      </c>
      <c r="BJ81" s="542">
        <f t="shared" si="151"/>
        <v>0.21908093367520604</v>
      </c>
      <c r="BK81" s="542">
        <f t="shared" si="152"/>
        <v>1.7499999999999998E-2</v>
      </c>
      <c r="BL81" s="542">
        <f t="shared" si="153"/>
        <v>0.11885914687500002</v>
      </c>
      <c r="BM81">
        <f t="shared" si="154"/>
        <v>4.3499999999999997E-3</v>
      </c>
      <c r="BN81" s="469">
        <f t="shared" si="170"/>
        <v>560.17857836939561</v>
      </c>
      <c r="BO81" s="542">
        <f t="shared" si="155"/>
        <v>0.68400000000000005</v>
      </c>
      <c r="BP81" s="542"/>
      <c r="BR81" s="469">
        <f t="shared" si="171"/>
        <v>684</v>
      </c>
      <c r="BS81" s="542">
        <f t="shared" si="156"/>
        <v>0</v>
      </c>
      <c r="BT81" s="542">
        <f t="shared" si="157"/>
        <v>0</v>
      </c>
      <c r="BU81" s="542">
        <f t="shared" si="158"/>
        <v>0</v>
      </c>
      <c r="BV81" s="542">
        <f t="shared" si="159"/>
        <v>0</v>
      </c>
      <c r="BW81" s="469">
        <f t="shared" si="172"/>
        <v>0</v>
      </c>
      <c r="BX81" s="177">
        <f t="shared" si="173"/>
        <v>1.2441785783693957</v>
      </c>
      <c r="BY81" s="5">
        <f t="shared" si="174"/>
        <v>11.4</v>
      </c>
      <c r="BZ81" s="177">
        <f t="shared" si="175"/>
        <v>0.90160067965997948</v>
      </c>
      <c r="CA81" s="5">
        <f t="shared" si="176"/>
        <v>90.160067965997953</v>
      </c>
      <c r="CD81" s="576">
        <f t="shared" si="160"/>
        <v>-50</v>
      </c>
      <c r="CE81">
        <f t="shared" si="161"/>
        <v>-50</v>
      </c>
    </row>
    <row r="82" spans="5:83" x14ac:dyDescent="0.25">
      <c r="E82" s="174">
        <v>77</v>
      </c>
      <c r="F82" s="221">
        <f t="shared" si="162"/>
        <v>0.77</v>
      </c>
      <c r="G82" s="221"/>
      <c r="H82" s="221">
        <f t="shared" si="113"/>
        <v>11.55</v>
      </c>
      <c r="I82" s="555">
        <f t="shared" si="114"/>
        <v>15</v>
      </c>
      <c r="J82" s="176">
        <f t="shared" si="115"/>
        <v>23.85</v>
      </c>
      <c r="K82" s="451">
        <f t="shared" si="116"/>
        <v>38.85</v>
      </c>
      <c r="L82" s="451"/>
      <c r="M82" s="221">
        <f t="shared" si="117"/>
        <v>0.61389961389961389</v>
      </c>
      <c r="N82" s="176">
        <f t="shared" si="118"/>
        <v>17.933542471042468</v>
      </c>
      <c r="O82" s="176">
        <f t="shared" si="163"/>
        <v>11.55</v>
      </c>
      <c r="P82" s="221">
        <f t="shared" si="119"/>
        <v>1.195569498069498</v>
      </c>
      <c r="Q82" s="221">
        <f t="shared" si="120"/>
        <v>15</v>
      </c>
      <c r="R82" s="221">
        <f t="shared" si="121"/>
        <v>1.2584942084942083</v>
      </c>
      <c r="S82" s="176">
        <f t="shared" si="122"/>
        <v>28.247090365264143</v>
      </c>
      <c r="T82" s="176">
        <f t="shared" si="123"/>
        <v>15</v>
      </c>
      <c r="U82" s="221">
        <f t="shared" si="124"/>
        <v>2.640582588546839</v>
      </c>
      <c r="V82" s="221">
        <f t="shared" si="125"/>
        <v>1.2322718746551915</v>
      </c>
      <c r="W82" s="221">
        <f t="shared" si="126"/>
        <v>0.77501375764477443</v>
      </c>
      <c r="X82" s="201">
        <f t="shared" si="127"/>
        <v>350</v>
      </c>
      <c r="Y82" s="451">
        <f t="shared" si="164"/>
        <v>350</v>
      </c>
      <c r="AA82" s="221">
        <f t="shared" si="128"/>
        <v>3.7585690646915135</v>
      </c>
      <c r="AB82" s="177">
        <f t="shared" si="129"/>
        <v>1.1031439602868174</v>
      </c>
      <c r="AC82" s="177">
        <f t="shared" si="130"/>
        <v>1.0883887252967701</v>
      </c>
      <c r="AD82" s="177"/>
      <c r="AE82" s="177">
        <f t="shared" si="131"/>
        <v>0.24067085953878403</v>
      </c>
      <c r="AF82" s="559">
        <f t="shared" si="132"/>
        <v>5202.2605591909587</v>
      </c>
      <c r="AG82" s="542">
        <f t="shared" si="133"/>
        <v>5.1804402515723262E-2</v>
      </c>
      <c r="AI82" s="177">
        <f t="shared" si="134"/>
        <v>3.2435013106024333</v>
      </c>
      <c r="AJ82" s="177">
        <f t="shared" si="135"/>
        <v>3.2435013106024333</v>
      </c>
      <c r="AK82" s="177">
        <f t="shared" si="136"/>
        <v>2.9951861560018025</v>
      </c>
      <c r="AM82" s="559">
        <f t="shared" si="137"/>
        <v>770</v>
      </c>
      <c r="AN82" s="469">
        <f t="shared" si="138"/>
        <v>350</v>
      </c>
      <c r="AP82">
        <f t="shared" si="139"/>
        <v>770</v>
      </c>
      <c r="AQ82" s="469">
        <f t="shared" si="140"/>
        <v>350</v>
      </c>
      <c r="AS82" s="5">
        <f t="shared" si="165"/>
        <v>2.8571428571428572</v>
      </c>
      <c r="AT82" s="5">
        <f t="shared" si="141"/>
        <v>1.5136339449478022</v>
      </c>
      <c r="AU82" s="5">
        <f t="shared" si="166"/>
        <v>1.343508912195055</v>
      </c>
      <c r="AV82" s="5">
        <f t="shared" si="142"/>
        <v>0.95197103455836607</v>
      </c>
      <c r="AW82" s="177">
        <f t="shared" si="167"/>
        <v>0.52977188073173076</v>
      </c>
      <c r="AX82" s="177">
        <f t="shared" si="143"/>
        <v>12.887368421052635</v>
      </c>
      <c r="AY82" s="177">
        <f t="shared" si="144"/>
        <v>1.1438891408465615</v>
      </c>
      <c r="AZ82" s="177">
        <f t="shared" si="168"/>
        <v>11.266273942870933</v>
      </c>
      <c r="BA82" s="469">
        <f t="shared" si="145"/>
        <v>17.027319442995115</v>
      </c>
      <c r="BB82" s="469">
        <f t="shared" si="146"/>
        <v>26.726061185185181</v>
      </c>
      <c r="BC82" s="5">
        <f t="shared" si="147"/>
        <v>1.4519324384423753</v>
      </c>
      <c r="BD82" s="469">
        <f t="shared" si="148"/>
        <v>111.32651183054658</v>
      </c>
      <c r="BE82" s="5"/>
      <c r="BF82" s="177">
        <f t="shared" si="169"/>
        <v>1.3630064215044073</v>
      </c>
      <c r="BG82" s="177">
        <f t="shared" si="149"/>
        <v>1.9261894838046734</v>
      </c>
      <c r="BH82" s="177"/>
      <c r="BI82" s="542">
        <f t="shared" si="150"/>
        <v>0.2043565155568475</v>
      </c>
      <c r="BJ82" s="542">
        <f t="shared" si="151"/>
        <v>0.22051754535458293</v>
      </c>
      <c r="BK82" s="542">
        <f t="shared" si="152"/>
        <v>1.7499999999999998E-2</v>
      </c>
      <c r="BL82" s="542">
        <f t="shared" si="153"/>
        <v>0.11885914687500002</v>
      </c>
      <c r="BM82">
        <f t="shared" si="154"/>
        <v>4.3499999999999997E-3</v>
      </c>
      <c r="BN82" s="469">
        <f t="shared" si="170"/>
        <v>565.58320778643042</v>
      </c>
      <c r="BO82" s="542">
        <f t="shared" si="155"/>
        <v>0.69300000000000006</v>
      </c>
      <c r="BP82" s="542"/>
      <c r="BR82" s="469">
        <f t="shared" si="171"/>
        <v>693.00000000000011</v>
      </c>
      <c r="BS82" s="542">
        <f t="shared" si="156"/>
        <v>0</v>
      </c>
      <c r="BT82" s="542">
        <f t="shared" si="157"/>
        <v>0</v>
      </c>
      <c r="BU82" s="542">
        <f t="shared" si="158"/>
        <v>0</v>
      </c>
      <c r="BV82" s="542">
        <f t="shared" si="159"/>
        <v>0</v>
      </c>
      <c r="BW82" s="469">
        <f t="shared" si="172"/>
        <v>0</v>
      </c>
      <c r="BX82" s="177">
        <f t="shared" si="173"/>
        <v>1.2585832077864305</v>
      </c>
      <c r="BY82" s="5">
        <f t="shared" si="174"/>
        <v>11.55</v>
      </c>
      <c r="BZ82" s="177">
        <f t="shared" si="175"/>
        <v>0.90173907704161005</v>
      </c>
      <c r="CA82" s="5">
        <f t="shared" si="176"/>
        <v>90.17390770416101</v>
      </c>
      <c r="CD82" s="576">
        <f t="shared" si="160"/>
        <v>-50</v>
      </c>
      <c r="CE82">
        <f t="shared" si="161"/>
        <v>-50</v>
      </c>
    </row>
    <row r="83" spans="5:83" x14ac:dyDescent="0.25">
      <c r="E83" s="174">
        <v>78</v>
      </c>
      <c r="F83" s="221">
        <f t="shared" si="162"/>
        <v>0.78</v>
      </c>
      <c r="G83" s="221"/>
      <c r="H83" s="221">
        <f t="shared" si="113"/>
        <v>11.700000000000001</v>
      </c>
      <c r="I83" s="555">
        <f t="shared" si="114"/>
        <v>15</v>
      </c>
      <c r="J83" s="176">
        <f t="shared" si="115"/>
        <v>23.85</v>
      </c>
      <c r="K83" s="451">
        <f t="shared" si="116"/>
        <v>38.85</v>
      </c>
      <c r="L83" s="451"/>
      <c r="M83" s="221">
        <f t="shared" si="117"/>
        <v>0.61389961389961389</v>
      </c>
      <c r="N83" s="176">
        <f t="shared" si="118"/>
        <v>17.933542471042468</v>
      </c>
      <c r="O83" s="176">
        <f t="shared" si="163"/>
        <v>11.700000000000001</v>
      </c>
      <c r="P83" s="221">
        <f t="shared" si="119"/>
        <v>1.195569498069498</v>
      </c>
      <c r="Q83" s="221">
        <f t="shared" si="120"/>
        <v>15</v>
      </c>
      <c r="R83" s="221">
        <f t="shared" si="121"/>
        <v>1.2584942084942083</v>
      </c>
      <c r="S83" s="176">
        <f t="shared" si="122"/>
        <v>27.765885124869456</v>
      </c>
      <c r="T83" s="176">
        <f t="shared" si="123"/>
        <v>15</v>
      </c>
      <c r="U83" s="221">
        <f t="shared" si="124"/>
        <v>2.6748758689175771</v>
      </c>
      <c r="V83" s="221">
        <f t="shared" si="125"/>
        <v>1.2482754054948693</v>
      </c>
      <c r="W83" s="221">
        <f t="shared" si="126"/>
        <v>0.78507887138042087</v>
      </c>
      <c r="X83" s="201">
        <f t="shared" si="127"/>
        <v>350</v>
      </c>
      <c r="Y83" s="451">
        <f t="shared" si="164"/>
        <v>350</v>
      </c>
      <c r="AA83" s="221">
        <f t="shared" si="128"/>
        <v>3.7585690646915135</v>
      </c>
      <c r="AB83" s="177">
        <f t="shared" si="129"/>
        <v>1.1031439602868174</v>
      </c>
      <c r="AC83" s="177">
        <f t="shared" si="130"/>
        <v>1.0883887252967701</v>
      </c>
      <c r="AD83" s="177"/>
      <c r="AE83" s="177">
        <f t="shared" si="131"/>
        <v>0.24067085953878403</v>
      </c>
      <c r="AF83" s="559">
        <f t="shared" si="132"/>
        <v>5269.8223846349974</v>
      </c>
      <c r="AG83" s="542">
        <f t="shared" si="133"/>
        <v>5.1804402515723262E-2</v>
      </c>
      <c r="AI83" s="177">
        <f t="shared" si="134"/>
        <v>3.2644950657600398</v>
      </c>
      <c r="AJ83" s="177">
        <f t="shared" si="135"/>
        <v>3.2644950657600398</v>
      </c>
      <c r="AK83" s="177">
        <f t="shared" si="136"/>
        <v>3.0107370857481777</v>
      </c>
      <c r="AM83" s="559">
        <f t="shared" si="137"/>
        <v>780</v>
      </c>
      <c r="AN83" s="469">
        <f t="shared" si="138"/>
        <v>350</v>
      </c>
      <c r="AP83">
        <f t="shared" si="139"/>
        <v>780</v>
      </c>
      <c r="AQ83" s="469">
        <f t="shared" si="140"/>
        <v>350</v>
      </c>
      <c r="AS83" s="5">
        <f t="shared" si="165"/>
        <v>2.8571428571428572</v>
      </c>
      <c r="AT83" s="5">
        <f t="shared" si="141"/>
        <v>1.5234310306880186</v>
      </c>
      <c r="AU83" s="5">
        <f t="shared" si="166"/>
        <v>1.3337118264548387</v>
      </c>
      <c r="AV83" s="5">
        <f t="shared" si="142"/>
        <v>0.95813272370315639</v>
      </c>
      <c r="AW83" s="177">
        <f t="shared" si="167"/>
        <v>0.53320086074080653</v>
      </c>
      <c r="AX83" s="177">
        <f t="shared" si="143"/>
        <v>13.054736842105266</v>
      </c>
      <c r="AY83" s="177">
        <f t="shared" si="144"/>
        <v>1.1428976151095032</v>
      </c>
      <c r="AZ83" s="177">
        <f t="shared" si="168"/>
        <v>11.422490229673343</v>
      </c>
      <c r="BA83" s="469">
        <f t="shared" si="145"/>
        <v>17.027319442995115</v>
      </c>
      <c r="BB83" s="469">
        <f t="shared" si="146"/>
        <v>27.39436266666667</v>
      </c>
      <c r="BC83" s="5">
        <f t="shared" si="147"/>
        <v>1.4600634731716131</v>
      </c>
      <c r="BD83" s="469">
        <f t="shared" si="148"/>
        <v>111.96791838260783</v>
      </c>
      <c r="BE83" s="5"/>
      <c r="BF83" s="177">
        <f t="shared" si="169"/>
        <v>1.3762610218486648</v>
      </c>
      <c r="BG83" s="177">
        <f t="shared" si="149"/>
        <v>1.9315754257066666</v>
      </c>
      <c r="BH83" s="177"/>
      <c r="BI83" s="542">
        <f t="shared" si="150"/>
        <v>0.20835038402859243</v>
      </c>
      <c r="BJ83" s="542">
        <f t="shared" si="151"/>
        <v>0.22194485828336075</v>
      </c>
      <c r="BK83" s="542">
        <f t="shared" si="152"/>
        <v>1.7499999999999998E-2</v>
      </c>
      <c r="BL83" s="542">
        <f t="shared" si="153"/>
        <v>0.11885914687500002</v>
      </c>
      <c r="BM83">
        <f t="shared" si="154"/>
        <v>4.3499999999999997E-3</v>
      </c>
      <c r="BN83" s="469">
        <f t="shared" si="170"/>
        <v>571.00438918695318</v>
      </c>
      <c r="BO83" s="542">
        <f t="shared" si="155"/>
        <v>0.70200000000000007</v>
      </c>
      <c r="BP83" s="542"/>
      <c r="BR83" s="469">
        <f t="shared" si="171"/>
        <v>702.00000000000011</v>
      </c>
      <c r="BS83" s="542">
        <f t="shared" si="156"/>
        <v>0</v>
      </c>
      <c r="BT83" s="542">
        <f t="shared" si="157"/>
        <v>0</v>
      </c>
      <c r="BU83" s="542">
        <f t="shared" si="158"/>
        <v>0</v>
      </c>
      <c r="BV83" s="542">
        <f t="shared" si="159"/>
        <v>0</v>
      </c>
      <c r="BW83" s="469">
        <f t="shared" si="172"/>
        <v>0</v>
      </c>
      <c r="BX83" s="177">
        <f t="shared" si="173"/>
        <v>1.2730043891869531</v>
      </c>
      <c r="BY83" s="5">
        <f t="shared" si="174"/>
        <v>11.700000000000001</v>
      </c>
      <c r="BZ83" s="177">
        <f t="shared" si="175"/>
        <v>0.9018728159648195</v>
      </c>
      <c r="CA83" s="5">
        <f t="shared" si="176"/>
        <v>90.187281596481952</v>
      </c>
      <c r="CD83" s="576">
        <f t="shared" si="160"/>
        <v>-50</v>
      </c>
      <c r="CE83">
        <f t="shared" si="161"/>
        <v>-50</v>
      </c>
    </row>
    <row r="84" spans="5:83" x14ac:dyDescent="0.25">
      <c r="E84" s="174">
        <v>79</v>
      </c>
      <c r="F84" s="221">
        <f t="shared" si="162"/>
        <v>0.79</v>
      </c>
      <c r="G84" s="221"/>
      <c r="H84" s="221">
        <f t="shared" si="113"/>
        <v>11.850000000000001</v>
      </c>
      <c r="I84" s="555">
        <f t="shared" si="114"/>
        <v>15</v>
      </c>
      <c r="J84" s="176">
        <f t="shared" si="115"/>
        <v>23.85</v>
      </c>
      <c r="K84" s="451">
        <f t="shared" si="116"/>
        <v>38.85</v>
      </c>
      <c r="L84" s="451"/>
      <c r="M84" s="221">
        <f t="shared" si="117"/>
        <v>0.61389961389961389</v>
      </c>
      <c r="N84" s="176">
        <f t="shared" si="118"/>
        <v>17.933542471042468</v>
      </c>
      <c r="O84" s="176">
        <f t="shared" si="163"/>
        <v>11.850000000000001</v>
      </c>
      <c r="P84" s="221">
        <f t="shared" si="119"/>
        <v>1.195569498069498</v>
      </c>
      <c r="Q84" s="221">
        <f t="shared" si="120"/>
        <v>15</v>
      </c>
      <c r="R84" s="221">
        <f t="shared" si="121"/>
        <v>1.2584942084942083</v>
      </c>
      <c r="S84" s="176">
        <f t="shared" si="122"/>
        <v>27.297030646156468</v>
      </c>
      <c r="T84" s="176">
        <f t="shared" si="123"/>
        <v>15</v>
      </c>
      <c r="U84" s="221">
        <f t="shared" si="124"/>
        <v>2.7091691492883156</v>
      </c>
      <c r="V84" s="221">
        <f t="shared" si="125"/>
        <v>1.2642789363345472</v>
      </c>
      <c r="W84" s="221">
        <f t="shared" si="126"/>
        <v>0.79514398511606743</v>
      </c>
      <c r="X84" s="201">
        <f t="shared" si="127"/>
        <v>350</v>
      </c>
      <c r="Y84" s="451">
        <f t="shared" si="164"/>
        <v>350</v>
      </c>
      <c r="AA84" s="221">
        <f t="shared" si="128"/>
        <v>3.7585690646915135</v>
      </c>
      <c r="AB84" s="177">
        <f t="shared" si="129"/>
        <v>1.1031439602868174</v>
      </c>
      <c r="AC84" s="177">
        <f t="shared" si="130"/>
        <v>1.0883887252967701</v>
      </c>
      <c r="AD84" s="177"/>
      <c r="AE84" s="177">
        <f t="shared" si="131"/>
        <v>0.24067085953878403</v>
      </c>
      <c r="AF84" s="559">
        <f t="shared" si="132"/>
        <v>5337.3842100790362</v>
      </c>
      <c r="AG84" s="542">
        <f t="shared" si="133"/>
        <v>5.1804402515723262E-2</v>
      </c>
      <c r="AI84" s="177">
        <f t="shared" si="134"/>
        <v>3.2853546713960111</v>
      </c>
      <c r="AJ84" s="177">
        <f t="shared" si="135"/>
        <v>3.2853546713960111</v>
      </c>
      <c r="AK84" s="177">
        <f t="shared" si="136"/>
        <v>3.026188645478527</v>
      </c>
      <c r="AM84" s="559">
        <f t="shared" si="137"/>
        <v>790</v>
      </c>
      <c r="AN84" s="469">
        <f t="shared" si="138"/>
        <v>350</v>
      </c>
      <c r="AP84">
        <f t="shared" si="139"/>
        <v>790</v>
      </c>
      <c r="AQ84" s="469">
        <f t="shared" si="140"/>
        <v>350</v>
      </c>
      <c r="AS84" s="5">
        <f t="shared" si="165"/>
        <v>2.8571428571428572</v>
      </c>
      <c r="AT84" s="5">
        <f t="shared" si="141"/>
        <v>1.5331655133181386</v>
      </c>
      <c r="AU84" s="5">
        <f t="shared" si="166"/>
        <v>1.3239773438247187</v>
      </c>
      <c r="AV84" s="5">
        <f t="shared" si="142"/>
        <v>0.96425503982272853</v>
      </c>
      <c r="AW84" s="177">
        <f t="shared" si="167"/>
        <v>0.53660792966134852</v>
      </c>
      <c r="AX84" s="177">
        <f t="shared" si="143"/>
        <v>13.222105263157902</v>
      </c>
      <c r="AY84" s="177">
        <f t="shared" si="144"/>
        <v>1.1418054772312183</v>
      </c>
      <c r="AZ84" s="177">
        <f t="shared" si="168"/>
        <v>11.579998105474488</v>
      </c>
      <c r="BA84" s="469">
        <f t="shared" si="145"/>
        <v>17.027319442995115</v>
      </c>
      <c r="BB84" s="469">
        <f t="shared" si="146"/>
        <v>28.070900296296298</v>
      </c>
      <c r="BC84" s="5">
        <f t="shared" si="147"/>
        <v>1.4679889145565304</v>
      </c>
      <c r="BD84" s="469">
        <f t="shared" si="148"/>
        <v>112.59390543384504</v>
      </c>
      <c r="BE84" s="5"/>
      <c r="BF84" s="177">
        <f t="shared" si="169"/>
        <v>1.3894732062029136</v>
      </c>
      <c r="BG84" s="177">
        <f t="shared" si="149"/>
        <v>1.9368107699120052</v>
      </c>
      <c r="BH84" s="177"/>
      <c r="BI84" s="542">
        <f t="shared" si="150"/>
        <v>0.2123699369831385</v>
      </c>
      <c r="BJ84" s="542">
        <f t="shared" si="151"/>
        <v>0.22336305072153631</v>
      </c>
      <c r="BK84" s="542">
        <f t="shared" si="152"/>
        <v>1.7499999999999998E-2</v>
      </c>
      <c r="BL84" s="542">
        <f t="shared" si="153"/>
        <v>0.11885914687500002</v>
      </c>
      <c r="BM84">
        <f t="shared" si="154"/>
        <v>4.3499999999999997E-3</v>
      </c>
      <c r="BN84" s="469">
        <f t="shared" si="170"/>
        <v>576.44213457967487</v>
      </c>
      <c r="BO84" s="542">
        <f t="shared" si="155"/>
        <v>0.71100000000000008</v>
      </c>
      <c r="BP84" s="542"/>
      <c r="BR84" s="469">
        <f t="shared" si="171"/>
        <v>711.00000000000011</v>
      </c>
      <c r="BS84" s="542">
        <f t="shared" si="156"/>
        <v>0</v>
      </c>
      <c r="BT84" s="542">
        <f t="shared" si="157"/>
        <v>0</v>
      </c>
      <c r="BU84" s="542">
        <f t="shared" si="158"/>
        <v>0</v>
      </c>
      <c r="BV84" s="542">
        <f t="shared" si="159"/>
        <v>0</v>
      </c>
      <c r="BW84" s="469">
        <f t="shared" si="172"/>
        <v>0</v>
      </c>
      <c r="BX84" s="177">
        <f t="shared" si="173"/>
        <v>1.2874421345796749</v>
      </c>
      <c r="BY84" s="5">
        <f t="shared" si="174"/>
        <v>11.850000000000001</v>
      </c>
      <c r="BZ84" s="177">
        <f t="shared" si="175"/>
        <v>0.90200207000790988</v>
      </c>
      <c r="CA84" s="5">
        <f t="shared" si="176"/>
        <v>90.200207000790982</v>
      </c>
      <c r="CD84" s="576">
        <f t="shared" si="160"/>
        <v>-50</v>
      </c>
      <c r="CE84">
        <f t="shared" si="161"/>
        <v>-50</v>
      </c>
    </row>
    <row r="85" spans="5:83" x14ac:dyDescent="0.25">
      <c r="E85" s="174">
        <v>80</v>
      </c>
      <c r="F85" s="221">
        <f t="shared" si="162"/>
        <v>0.8</v>
      </c>
      <c r="G85" s="221"/>
      <c r="H85" s="221">
        <f t="shared" si="113"/>
        <v>12</v>
      </c>
      <c r="I85" s="555">
        <f t="shared" si="114"/>
        <v>15</v>
      </c>
      <c r="J85" s="176">
        <f t="shared" si="115"/>
        <v>23.85</v>
      </c>
      <c r="K85" s="451">
        <f t="shared" si="116"/>
        <v>38.85</v>
      </c>
      <c r="L85" s="451"/>
      <c r="M85" s="221">
        <f t="shared" si="117"/>
        <v>0.61389961389961389</v>
      </c>
      <c r="N85" s="176">
        <f t="shared" si="118"/>
        <v>17.933542471042468</v>
      </c>
      <c r="O85" s="176">
        <f t="shared" si="163"/>
        <v>12</v>
      </c>
      <c r="P85" s="221">
        <f t="shared" si="119"/>
        <v>1.195569498069498</v>
      </c>
      <c r="Q85" s="221">
        <f t="shared" si="120"/>
        <v>15</v>
      </c>
      <c r="R85" s="221">
        <f t="shared" si="121"/>
        <v>1.2584942084942083</v>
      </c>
      <c r="S85" s="176">
        <f t="shared" si="122"/>
        <v>26.840065474314425</v>
      </c>
      <c r="T85" s="176">
        <f t="shared" si="123"/>
        <v>15</v>
      </c>
      <c r="U85" s="221">
        <f t="shared" si="124"/>
        <v>2.7434624296590533</v>
      </c>
      <c r="V85" s="221">
        <f t="shared" si="125"/>
        <v>1.2802824671742248</v>
      </c>
      <c r="W85" s="221">
        <f t="shared" si="126"/>
        <v>0.80520909885171366</v>
      </c>
      <c r="X85" s="201">
        <f t="shared" si="127"/>
        <v>350</v>
      </c>
      <c r="Y85" s="451">
        <f t="shared" si="164"/>
        <v>350</v>
      </c>
      <c r="AA85" s="221">
        <f t="shared" si="128"/>
        <v>3.7585690646915135</v>
      </c>
      <c r="AB85" s="177">
        <f t="shared" si="129"/>
        <v>1.1031439602868174</v>
      </c>
      <c r="AC85" s="177">
        <f t="shared" si="130"/>
        <v>1.0883887252967701</v>
      </c>
      <c r="AD85" s="177"/>
      <c r="AE85" s="177">
        <f t="shared" si="131"/>
        <v>0.24067085953878403</v>
      </c>
      <c r="AF85" s="559">
        <f t="shared" si="132"/>
        <v>5404.9460355230749</v>
      </c>
      <c r="AG85" s="542">
        <f t="shared" si="133"/>
        <v>5.1804402515723262E-2</v>
      </c>
      <c r="AI85" s="177">
        <f t="shared" si="134"/>
        <v>3.3060826667455752</v>
      </c>
      <c r="AJ85" s="177">
        <f t="shared" si="135"/>
        <v>3.3060826667455752</v>
      </c>
      <c r="AK85" s="177">
        <f t="shared" si="136"/>
        <v>3.0415427161078332</v>
      </c>
      <c r="AM85" s="559">
        <f t="shared" si="137"/>
        <v>800</v>
      </c>
      <c r="AN85" s="469">
        <f t="shared" si="138"/>
        <v>350</v>
      </c>
      <c r="AP85">
        <f t="shared" si="139"/>
        <v>800</v>
      </c>
      <c r="AQ85" s="469">
        <f t="shared" si="140"/>
        <v>350</v>
      </c>
      <c r="AS85" s="5">
        <f t="shared" si="165"/>
        <v>2.8571428571428572</v>
      </c>
      <c r="AT85" s="5">
        <f t="shared" si="141"/>
        <v>1.5428385778146019</v>
      </c>
      <c r="AU85" s="5">
        <f t="shared" si="166"/>
        <v>1.3143042793282553</v>
      </c>
      <c r="AV85" s="5">
        <f t="shared" si="142"/>
        <v>0.97033872818528411</v>
      </c>
      <c r="AW85" s="177">
        <f t="shared" si="167"/>
        <v>0.53999350223511067</v>
      </c>
      <c r="AX85" s="177">
        <f t="shared" si="143"/>
        <v>13.389473684210529</v>
      </c>
      <c r="AY85" s="177">
        <f t="shared" si="144"/>
        <v>1.1406146316381285</v>
      </c>
      <c r="AZ85" s="177">
        <f t="shared" si="168"/>
        <v>11.738823361384403</v>
      </c>
      <c r="BA85" s="469">
        <f t="shared" si="145"/>
        <v>17.027319442995115</v>
      </c>
      <c r="BB85" s="469">
        <f t="shared" si="146"/>
        <v>28.755674074074079</v>
      </c>
      <c r="BC85" s="5">
        <f t="shared" si="147"/>
        <v>1.4757100680176904</v>
      </c>
      <c r="BD85" s="469">
        <f t="shared" si="148"/>
        <v>113.20457089080047</v>
      </c>
      <c r="BE85" s="5"/>
      <c r="BF85" s="177">
        <f t="shared" si="169"/>
        <v>1.4026436446813877</v>
      </c>
      <c r="BG85" s="177">
        <f t="shared" si="149"/>
        <v>1.9418975933594453</v>
      </c>
      <c r="BH85" s="177"/>
      <c r="BI85" s="542">
        <f t="shared" si="150"/>
        <v>0.21641501133615959</v>
      </c>
      <c r="BJ85" s="542">
        <f t="shared" si="151"/>
        <v>0.2247722953053648</v>
      </c>
      <c r="BK85" s="542">
        <f t="shared" si="152"/>
        <v>1.7499999999999998E-2</v>
      </c>
      <c r="BL85" s="542">
        <f t="shared" si="153"/>
        <v>0.11885914687500002</v>
      </c>
      <c r="BM85">
        <f t="shared" si="154"/>
        <v>4.3499999999999997E-3</v>
      </c>
      <c r="BN85" s="469">
        <f t="shared" si="170"/>
        <v>581.89645351652439</v>
      </c>
      <c r="BO85" s="542">
        <f t="shared" si="155"/>
        <v>0.72000000000000008</v>
      </c>
      <c r="BP85" s="542"/>
      <c r="BR85" s="469">
        <f t="shared" si="171"/>
        <v>720.00000000000011</v>
      </c>
      <c r="BS85" s="542">
        <f t="shared" si="156"/>
        <v>0</v>
      </c>
      <c r="BT85" s="542">
        <f t="shared" si="157"/>
        <v>0</v>
      </c>
      <c r="BU85" s="542">
        <f t="shared" si="158"/>
        <v>0</v>
      </c>
      <c r="BV85" s="542">
        <f t="shared" si="159"/>
        <v>0</v>
      </c>
      <c r="BW85" s="469">
        <f t="shared" si="172"/>
        <v>0</v>
      </c>
      <c r="BX85" s="177">
        <f t="shared" si="173"/>
        <v>1.3018964535165245</v>
      </c>
      <c r="BY85" s="5">
        <f t="shared" si="174"/>
        <v>12</v>
      </c>
      <c r="BZ85" s="177">
        <f t="shared" si="175"/>
        <v>0.90212700436618176</v>
      </c>
      <c r="CA85" s="5">
        <f t="shared" si="176"/>
        <v>90.212700436618178</v>
      </c>
      <c r="CD85" s="576">
        <f t="shared" si="160"/>
        <v>-50</v>
      </c>
      <c r="CE85">
        <f t="shared" si="161"/>
        <v>-50</v>
      </c>
    </row>
    <row r="86" spans="5:83" x14ac:dyDescent="0.25">
      <c r="E86" s="174">
        <v>81</v>
      </c>
      <c r="F86" s="221">
        <f t="shared" si="162"/>
        <v>0.81</v>
      </c>
      <c r="G86" s="221"/>
      <c r="H86" s="221">
        <f t="shared" si="113"/>
        <v>12.15</v>
      </c>
      <c r="I86" s="555">
        <f t="shared" si="114"/>
        <v>15</v>
      </c>
      <c r="J86" s="176">
        <f t="shared" si="115"/>
        <v>23.85</v>
      </c>
      <c r="K86" s="451">
        <f t="shared" si="116"/>
        <v>38.85</v>
      </c>
      <c r="L86" s="451"/>
      <c r="M86" s="221">
        <f t="shared" si="117"/>
        <v>0.61389961389961389</v>
      </c>
      <c r="N86" s="176">
        <f t="shared" si="118"/>
        <v>17.933542471042468</v>
      </c>
      <c r="O86" s="176">
        <f t="shared" si="163"/>
        <v>12.15</v>
      </c>
      <c r="P86" s="221">
        <f t="shared" si="119"/>
        <v>1.195569498069498</v>
      </c>
      <c r="Q86" s="221">
        <f t="shared" si="120"/>
        <v>15</v>
      </c>
      <c r="R86" s="221">
        <f t="shared" si="121"/>
        <v>1.2584942084942083</v>
      </c>
      <c r="S86" s="176">
        <f t="shared" si="122"/>
        <v>26.394550959344372</v>
      </c>
      <c r="T86" s="176">
        <f t="shared" si="123"/>
        <v>15</v>
      </c>
      <c r="U86" s="221">
        <f t="shared" si="124"/>
        <v>2.7777557100297918</v>
      </c>
      <c r="V86" s="221">
        <f t="shared" si="125"/>
        <v>1.2962859980139028</v>
      </c>
      <c r="W86" s="221">
        <f t="shared" si="126"/>
        <v>0.81527421258736021</v>
      </c>
      <c r="X86" s="201">
        <f t="shared" si="127"/>
        <v>350</v>
      </c>
      <c r="Y86" s="451">
        <f t="shared" si="164"/>
        <v>350</v>
      </c>
      <c r="AA86" s="221">
        <f t="shared" si="128"/>
        <v>3.7585690646915135</v>
      </c>
      <c r="AB86" s="177">
        <f t="shared" si="129"/>
        <v>1.1031439602868174</v>
      </c>
      <c r="AC86" s="177">
        <f t="shared" si="130"/>
        <v>1.0883887252967701</v>
      </c>
      <c r="AD86" s="177"/>
      <c r="AE86" s="177">
        <f t="shared" si="131"/>
        <v>0.24067085953878403</v>
      </c>
      <c r="AF86" s="559">
        <f t="shared" si="132"/>
        <v>5472.5078609671127</v>
      </c>
      <c r="AG86" s="542">
        <f t="shared" si="133"/>
        <v>5.1804402515723262E-2</v>
      </c>
      <c r="AI86" s="177">
        <f t="shared" si="134"/>
        <v>3.3266815119346007</v>
      </c>
      <c r="AJ86" s="177">
        <f t="shared" si="135"/>
        <v>3.3266815119346007</v>
      </c>
      <c r="AK86" s="177">
        <f t="shared" si="136"/>
        <v>3.0568011199515563</v>
      </c>
      <c r="AM86" s="559">
        <f t="shared" si="137"/>
        <v>810</v>
      </c>
      <c r="AN86" s="469">
        <f t="shared" si="138"/>
        <v>350</v>
      </c>
      <c r="AP86">
        <f t="shared" si="139"/>
        <v>810</v>
      </c>
      <c r="AQ86" s="469">
        <f t="shared" si="140"/>
        <v>350</v>
      </c>
      <c r="AS86" s="5">
        <f t="shared" si="165"/>
        <v>2.8571428571428572</v>
      </c>
      <c r="AT86" s="5">
        <f t="shared" si="141"/>
        <v>1.5524513722361468</v>
      </c>
      <c r="AU86" s="5">
        <f t="shared" si="166"/>
        <v>1.3046914849067104</v>
      </c>
      <c r="AV86" s="5">
        <f t="shared" si="142"/>
        <v>0.97638451084034394</v>
      </c>
      <c r="AW86" s="177">
        <f t="shared" si="167"/>
        <v>0.54335798028265136</v>
      </c>
      <c r="AX86" s="177">
        <f t="shared" si="143"/>
        <v>13.556842105263163</v>
      </c>
      <c r="AY86" s="177">
        <f t="shared" si="144"/>
        <v>1.1393269234246344</v>
      </c>
      <c r="AZ86" s="177">
        <f t="shared" si="168"/>
        <v>11.898992138721225</v>
      </c>
      <c r="BA86" s="469">
        <f t="shared" si="145"/>
        <v>17.027319442995115</v>
      </c>
      <c r="BB86" s="469">
        <f t="shared" si="146"/>
        <v>29.448684</v>
      </c>
      <c r="BC86" s="5">
        <f t="shared" si="147"/>
        <v>1.4832282144202604</v>
      </c>
      <c r="BD86" s="469">
        <f t="shared" si="148"/>
        <v>113.80001081836164</v>
      </c>
      <c r="BE86" s="5"/>
      <c r="BF86" s="177">
        <f t="shared" si="169"/>
        <v>1.4157729885793526</v>
      </c>
      <c r="BG86" s="177">
        <f t="shared" si="149"/>
        <v>1.9468379008551429</v>
      </c>
      <c r="BH86" s="177"/>
      <c r="BI86" s="542">
        <f t="shared" si="150"/>
        <v>0.22048544707100029</v>
      </c>
      <c r="BJ86" s="542">
        <f t="shared" si="151"/>
        <v>0.22617275929265365</v>
      </c>
      <c r="BK86" s="542">
        <f t="shared" si="152"/>
        <v>1.7499999999999998E-2</v>
      </c>
      <c r="BL86" s="542">
        <f t="shared" si="153"/>
        <v>0.11885914687500002</v>
      </c>
      <c r="BM86">
        <f t="shared" si="154"/>
        <v>4.3499999999999997E-3</v>
      </c>
      <c r="BN86" s="469">
        <f t="shared" si="170"/>
        <v>587.367353238654</v>
      </c>
      <c r="BO86" s="542">
        <f t="shared" si="155"/>
        <v>0.72900000000000009</v>
      </c>
      <c r="BP86" s="542"/>
      <c r="BR86" s="469">
        <f t="shared" si="171"/>
        <v>729.00000000000011</v>
      </c>
      <c r="BS86" s="542">
        <f t="shared" si="156"/>
        <v>0</v>
      </c>
      <c r="BT86" s="542">
        <f t="shared" si="157"/>
        <v>0</v>
      </c>
      <c r="BU86" s="542">
        <f t="shared" si="158"/>
        <v>0</v>
      </c>
      <c r="BV86" s="542">
        <f t="shared" si="159"/>
        <v>0</v>
      </c>
      <c r="BW86" s="469">
        <f t="shared" si="172"/>
        <v>0</v>
      </c>
      <c r="BX86" s="177">
        <f t="shared" si="173"/>
        <v>1.3163673532386539</v>
      </c>
      <c r="BY86" s="5">
        <f t="shared" si="174"/>
        <v>12.15</v>
      </c>
      <c r="BZ86" s="177">
        <f t="shared" si="175"/>
        <v>0.9022477763520933</v>
      </c>
      <c r="CA86" s="5">
        <f t="shared" si="176"/>
        <v>90.224777635209335</v>
      </c>
      <c r="CD86" s="576">
        <f t="shared" si="160"/>
        <v>-50</v>
      </c>
      <c r="CE86">
        <f t="shared" si="161"/>
        <v>-50</v>
      </c>
    </row>
    <row r="87" spans="5:83" x14ac:dyDescent="0.25">
      <c r="E87" s="174">
        <v>82</v>
      </c>
      <c r="F87" s="221">
        <f t="shared" si="162"/>
        <v>0.82</v>
      </c>
      <c r="G87" s="221"/>
      <c r="H87" s="221">
        <f t="shared" si="113"/>
        <v>12.299999999999999</v>
      </c>
      <c r="I87" s="555">
        <f t="shared" si="114"/>
        <v>15</v>
      </c>
      <c r="J87" s="176">
        <f t="shared" si="115"/>
        <v>23.85</v>
      </c>
      <c r="K87" s="451">
        <f t="shared" si="116"/>
        <v>38.85</v>
      </c>
      <c r="L87" s="451"/>
      <c r="M87" s="221">
        <f t="shared" si="117"/>
        <v>0.61389961389961389</v>
      </c>
      <c r="N87" s="176">
        <f t="shared" si="118"/>
        <v>17.933542471042468</v>
      </c>
      <c r="O87" s="176">
        <f t="shared" si="163"/>
        <v>12.299999999999999</v>
      </c>
      <c r="P87" s="221">
        <f t="shared" si="119"/>
        <v>1.195569498069498</v>
      </c>
      <c r="Q87" s="221">
        <f t="shared" si="120"/>
        <v>15</v>
      </c>
      <c r="R87" s="221">
        <f t="shared" si="121"/>
        <v>1.2584942084942083</v>
      </c>
      <c r="S87" s="176">
        <f t="shared" si="122"/>
        <v>25.960069865604659</v>
      </c>
      <c r="T87" s="176">
        <f t="shared" si="123"/>
        <v>15</v>
      </c>
      <c r="U87" s="221">
        <f t="shared" si="124"/>
        <v>2.8120489904005295</v>
      </c>
      <c r="V87" s="221">
        <f t="shared" si="125"/>
        <v>1.3122895288535803</v>
      </c>
      <c r="W87" s="221">
        <f t="shared" si="126"/>
        <v>0.82533932632300644</v>
      </c>
      <c r="X87" s="201">
        <f t="shared" si="127"/>
        <v>350</v>
      </c>
      <c r="Y87" s="451">
        <f t="shared" si="164"/>
        <v>350</v>
      </c>
      <c r="AA87" s="221">
        <f t="shared" si="128"/>
        <v>3.7585690646915135</v>
      </c>
      <c r="AB87" s="177">
        <f t="shared" si="129"/>
        <v>1.1031439602868174</v>
      </c>
      <c r="AC87" s="177">
        <f t="shared" si="130"/>
        <v>1.0883887252967701</v>
      </c>
      <c r="AD87" s="177"/>
      <c r="AE87" s="177">
        <f t="shared" si="131"/>
        <v>0.24067085953878403</v>
      </c>
      <c r="AF87" s="559">
        <f t="shared" si="132"/>
        <v>5540.0696864111505</v>
      </c>
      <c r="AG87" s="542">
        <f t="shared" si="133"/>
        <v>5.1804402515723262E-2</v>
      </c>
      <c r="AI87" s="177">
        <f t="shared" si="134"/>
        <v>3.3471535913876767</v>
      </c>
      <c r="AJ87" s="177">
        <f t="shared" si="135"/>
        <v>3.3471535913876767</v>
      </c>
      <c r="AK87" s="177">
        <f t="shared" si="136"/>
        <v>3.0719656232501311</v>
      </c>
      <c r="AM87" s="559">
        <f t="shared" si="137"/>
        <v>820</v>
      </c>
      <c r="AN87" s="469">
        <f t="shared" si="138"/>
        <v>350</v>
      </c>
      <c r="AP87">
        <f t="shared" si="139"/>
        <v>820</v>
      </c>
      <c r="AQ87" s="469">
        <f t="shared" si="140"/>
        <v>350</v>
      </c>
      <c r="AS87" s="5">
        <f t="shared" si="165"/>
        <v>2.8571428571428572</v>
      </c>
      <c r="AT87" s="5">
        <f t="shared" si="141"/>
        <v>1.562005009314249</v>
      </c>
      <c r="AU87" s="5">
        <f t="shared" si="166"/>
        <v>1.2951378478286082</v>
      </c>
      <c r="AV87" s="5">
        <f t="shared" si="142"/>
        <v>0.98239308761902455</v>
      </c>
      <c r="AW87" s="177">
        <f t="shared" si="167"/>
        <v>0.54670175325998716</v>
      </c>
      <c r="AX87" s="177">
        <f t="shared" si="143"/>
        <v>13.724210526315792</v>
      </c>
      <c r="AY87" s="177">
        <f t="shared" si="144"/>
        <v>1.1379441409091784</v>
      </c>
      <c r="AZ87" s="177">
        <f t="shared" si="168"/>
        <v>12.060530946053836</v>
      </c>
      <c r="BA87" s="469">
        <f t="shared" si="145"/>
        <v>17.027319442995115</v>
      </c>
      <c r="BB87" s="469">
        <f t="shared" si="146"/>
        <v>30.149930074074067</v>
      </c>
      <c r="BC87" s="5">
        <f t="shared" si="147"/>
        <v>1.4905446108343281</v>
      </c>
      <c r="BD87" s="469">
        <f t="shared" si="148"/>
        <v>114.38031949678515</v>
      </c>
      <c r="BE87" s="5"/>
      <c r="BF87" s="177">
        <f t="shared" si="169"/>
        <v>1.428861871127094</v>
      </c>
      <c r="BG87" s="177">
        <f t="shared" si="149"/>
        <v>1.9516336280262032</v>
      </c>
      <c r="BH87" s="177"/>
      <c r="BI87" s="542">
        <f t="shared" si="150"/>
        <v>0.22458108714369018</v>
      </c>
      <c r="BJ87" s="542">
        <f t="shared" si="151"/>
        <v>0.22756460479446966</v>
      </c>
      <c r="BK87" s="542">
        <f t="shared" si="152"/>
        <v>1.7499999999999998E-2</v>
      </c>
      <c r="BL87" s="542">
        <f t="shared" si="153"/>
        <v>0.11885914687500002</v>
      </c>
      <c r="BM87">
        <f t="shared" si="154"/>
        <v>4.3499999999999997E-3</v>
      </c>
      <c r="BN87" s="469">
        <f t="shared" si="170"/>
        <v>592.85483881315986</v>
      </c>
      <c r="BO87" s="542">
        <f t="shared" si="155"/>
        <v>0.73799999999999999</v>
      </c>
      <c r="BP87" s="542"/>
      <c r="BR87" s="469">
        <f t="shared" si="171"/>
        <v>738</v>
      </c>
      <c r="BS87" s="542">
        <f t="shared" si="156"/>
        <v>0</v>
      </c>
      <c r="BT87" s="542">
        <f t="shared" si="157"/>
        <v>0</v>
      </c>
      <c r="BU87" s="542">
        <f t="shared" si="158"/>
        <v>0</v>
      </c>
      <c r="BV87" s="542">
        <f t="shared" si="159"/>
        <v>0</v>
      </c>
      <c r="BW87" s="469">
        <f t="shared" si="172"/>
        <v>0</v>
      </c>
      <c r="BX87" s="177">
        <f t="shared" si="173"/>
        <v>1.3308548388131598</v>
      </c>
      <c r="BY87" s="5">
        <f t="shared" si="174"/>
        <v>12.299999999999999</v>
      </c>
      <c r="BZ87" s="177">
        <f t="shared" si="175"/>
        <v>0.90236453585995069</v>
      </c>
      <c r="CA87" s="5">
        <f t="shared" si="176"/>
        <v>90.236453585995065</v>
      </c>
      <c r="CD87" s="576">
        <f t="shared" si="160"/>
        <v>-50</v>
      </c>
      <c r="CE87">
        <f t="shared" si="161"/>
        <v>-50</v>
      </c>
    </row>
    <row r="88" spans="5:83" x14ac:dyDescent="0.25">
      <c r="E88" s="174">
        <v>83</v>
      </c>
      <c r="F88" s="221">
        <f t="shared" si="162"/>
        <v>0.83</v>
      </c>
      <c r="G88" s="221"/>
      <c r="H88" s="221">
        <f t="shared" si="113"/>
        <v>12.45</v>
      </c>
      <c r="I88" s="555">
        <f t="shared" si="114"/>
        <v>15</v>
      </c>
      <c r="J88" s="176">
        <f t="shared" si="115"/>
        <v>23.85</v>
      </c>
      <c r="K88" s="451">
        <f t="shared" si="116"/>
        <v>38.85</v>
      </c>
      <c r="L88" s="451"/>
      <c r="M88" s="221">
        <f t="shared" si="117"/>
        <v>0.61389961389961389</v>
      </c>
      <c r="N88" s="176">
        <f t="shared" si="118"/>
        <v>17.933542471042468</v>
      </c>
      <c r="O88" s="176">
        <f t="shared" si="163"/>
        <v>12.45</v>
      </c>
      <c r="P88" s="221">
        <f t="shared" si="119"/>
        <v>1.195569498069498</v>
      </c>
      <c r="Q88" s="221">
        <f t="shared" si="120"/>
        <v>15</v>
      </c>
      <c r="R88" s="221">
        <f t="shared" si="121"/>
        <v>1.2584942084942083</v>
      </c>
      <c r="S88" s="176">
        <f t="shared" si="122"/>
        <v>25.536225081867766</v>
      </c>
      <c r="T88" s="176">
        <f t="shared" si="123"/>
        <v>15</v>
      </c>
      <c r="U88" s="221">
        <f t="shared" si="124"/>
        <v>2.8463422707712676</v>
      </c>
      <c r="V88" s="221">
        <f t="shared" si="125"/>
        <v>1.3282930596932581</v>
      </c>
      <c r="W88" s="221">
        <f t="shared" si="126"/>
        <v>0.83540444005865289</v>
      </c>
      <c r="X88" s="201">
        <f t="shared" si="127"/>
        <v>350</v>
      </c>
      <c r="Y88" s="451">
        <f t="shared" si="164"/>
        <v>350</v>
      </c>
      <c r="AA88" s="221">
        <f t="shared" si="128"/>
        <v>3.7585690646915135</v>
      </c>
      <c r="AB88" s="177">
        <f t="shared" si="129"/>
        <v>1.1031439602868174</v>
      </c>
      <c r="AC88" s="177">
        <f t="shared" si="130"/>
        <v>1.0883887252967701</v>
      </c>
      <c r="AD88" s="177"/>
      <c r="AE88" s="177">
        <f t="shared" si="131"/>
        <v>0.24067085953878403</v>
      </c>
      <c r="AF88" s="559">
        <f t="shared" si="132"/>
        <v>5607.6315118551884</v>
      </c>
      <c r="AG88" s="542">
        <f t="shared" si="133"/>
        <v>5.1804402515723262E-2</v>
      </c>
      <c r="AI88" s="177">
        <f t="shared" si="134"/>
        <v>3.3675012170497229</v>
      </c>
      <c r="AJ88" s="177">
        <f t="shared" si="135"/>
        <v>3.3675012170497229</v>
      </c>
      <c r="AK88" s="177">
        <f t="shared" si="136"/>
        <v>3.0870379385553504</v>
      </c>
      <c r="AM88" s="559">
        <f t="shared" si="137"/>
        <v>830</v>
      </c>
      <c r="AN88" s="469">
        <f t="shared" si="138"/>
        <v>350</v>
      </c>
      <c r="AP88">
        <f t="shared" si="139"/>
        <v>830</v>
      </c>
      <c r="AQ88" s="469">
        <f t="shared" si="140"/>
        <v>350</v>
      </c>
      <c r="AS88" s="5">
        <f t="shared" si="165"/>
        <v>2.8571428571428572</v>
      </c>
      <c r="AT88" s="5">
        <f t="shared" si="141"/>
        <v>1.5715005679565373</v>
      </c>
      <c r="AU88" s="5">
        <f t="shared" si="166"/>
        <v>1.28564228918632</v>
      </c>
      <c r="AV88" s="5">
        <f t="shared" si="142"/>
        <v>0.98836513707958318</v>
      </c>
      <c r="AW88" s="177">
        <f t="shared" si="167"/>
        <v>0.55002519878478806</v>
      </c>
      <c r="AX88" s="177">
        <f t="shared" si="143"/>
        <v>13.891578947368421</v>
      </c>
      <c r="AY88" s="177">
        <f t="shared" si="144"/>
        <v>1.1364680180504501</v>
      </c>
      <c r="AZ88" s="177">
        <f t="shared" si="168"/>
        <v>12.223466676342269</v>
      </c>
      <c r="BA88" s="469">
        <f t="shared" si="145"/>
        <v>17.027319442995115</v>
      </c>
      <c r="BB88" s="469">
        <f t="shared" si="146"/>
        <v>30.859412296296284</v>
      </c>
      <c r="BC88" s="5">
        <f t="shared" si="147"/>
        <v>1.4976604912626603</v>
      </c>
      <c r="BD88" s="469">
        <f t="shared" si="148"/>
        <v>114.94558947627847</v>
      </c>
      <c r="BE88" s="5"/>
      <c r="BF88" s="177">
        <f t="shared" si="169"/>
        <v>1.4419109082048873</v>
      </c>
      <c r="BG88" s="177">
        <f t="shared" si="149"/>
        <v>1.9562866441099518</v>
      </c>
      <c r="BH88" s="177"/>
      <c r="BI88" s="542">
        <f t="shared" si="150"/>
        <v>0.22870177739202674</v>
      </c>
      <c r="BJ88" s="542">
        <f t="shared" si="151"/>
        <v>0.22894798899416804</v>
      </c>
      <c r="BK88" s="542">
        <f t="shared" si="152"/>
        <v>1.7499999999999998E-2</v>
      </c>
      <c r="BL88" s="542">
        <f t="shared" si="153"/>
        <v>0.11885914687500002</v>
      </c>
      <c r="BM88">
        <f t="shared" si="154"/>
        <v>4.3499999999999997E-3</v>
      </c>
      <c r="BN88" s="469">
        <f t="shared" si="170"/>
        <v>598.35891326119486</v>
      </c>
      <c r="BO88" s="542">
        <f t="shared" si="155"/>
        <v>0.747</v>
      </c>
      <c r="BP88" s="542"/>
      <c r="BR88" s="469">
        <f t="shared" si="171"/>
        <v>747</v>
      </c>
      <c r="BS88" s="542">
        <f t="shared" si="156"/>
        <v>0</v>
      </c>
      <c r="BT88" s="542">
        <f t="shared" si="157"/>
        <v>0</v>
      </c>
      <c r="BU88" s="542">
        <f t="shared" si="158"/>
        <v>0</v>
      </c>
      <c r="BV88" s="542">
        <f t="shared" si="159"/>
        <v>0</v>
      </c>
      <c r="BW88" s="469">
        <f t="shared" si="172"/>
        <v>0</v>
      </c>
      <c r="BX88" s="177">
        <f t="shared" si="173"/>
        <v>1.3453589132611947</v>
      </c>
      <c r="BY88" s="5">
        <f t="shared" si="174"/>
        <v>12.45</v>
      </c>
      <c r="BZ88" s="177">
        <f t="shared" si="175"/>
        <v>0.90247742579803936</v>
      </c>
      <c r="CA88" s="5">
        <f t="shared" si="176"/>
        <v>90.247742579803941</v>
      </c>
      <c r="CD88" s="576">
        <f t="shared" si="160"/>
        <v>-50</v>
      </c>
      <c r="CE88">
        <f t="shared" si="161"/>
        <v>-50</v>
      </c>
    </row>
    <row r="89" spans="5:83" x14ac:dyDescent="0.25">
      <c r="E89" s="174">
        <v>84</v>
      </c>
      <c r="F89" s="221">
        <f t="shared" si="162"/>
        <v>0.84</v>
      </c>
      <c r="G89" s="221"/>
      <c r="H89" s="221">
        <f t="shared" si="113"/>
        <v>12.6</v>
      </c>
      <c r="I89" s="555">
        <f t="shared" si="114"/>
        <v>15</v>
      </c>
      <c r="J89" s="176">
        <f t="shared" si="115"/>
        <v>23.85</v>
      </c>
      <c r="K89" s="451">
        <f t="shared" si="116"/>
        <v>38.85</v>
      </c>
      <c r="L89" s="451"/>
      <c r="M89" s="221">
        <f t="shared" si="117"/>
        <v>0.61389961389961389</v>
      </c>
      <c r="N89" s="176">
        <f t="shared" si="118"/>
        <v>17.933542471042468</v>
      </c>
      <c r="O89" s="176">
        <f t="shared" si="163"/>
        <v>12.6</v>
      </c>
      <c r="P89" s="221">
        <f t="shared" si="119"/>
        <v>1.195569498069498</v>
      </c>
      <c r="Q89" s="221">
        <f t="shared" si="120"/>
        <v>15</v>
      </c>
      <c r="R89" s="221">
        <f t="shared" si="121"/>
        <v>1.2584942084942083</v>
      </c>
      <c r="S89" s="176">
        <f t="shared" si="122"/>
        <v>25.12263842351247</v>
      </c>
      <c r="T89" s="176">
        <f t="shared" si="123"/>
        <v>15</v>
      </c>
      <c r="U89" s="221">
        <f t="shared" si="124"/>
        <v>2.8806355511420061</v>
      </c>
      <c r="V89" s="221">
        <f t="shared" si="125"/>
        <v>1.344296590532936</v>
      </c>
      <c r="W89" s="221">
        <f t="shared" si="126"/>
        <v>0.84546955379429944</v>
      </c>
      <c r="X89" s="201">
        <f t="shared" si="127"/>
        <v>350</v>
      </c>
      <c r="Y89" s="451">
        <f t="shared" si="164"/>
        <v>350</v>
      </c>
      <c r="AA89" s="221">
        <f t="shared" si="128"/>
        <v>3.7585690646915135</v>
      </c>
      <c r="AB89" s="177">
        <f t="shared" si="129"/>
        <v>1.1031439602868174</v>
      </c>
      <c r="AC89" s="177">
        <f t="shared" si="130"/>
        <v>1.0883887252967701</v>
      </c>
      <c r="AD89" s="177"/>
      <c r="AE89" s="177">
        <f t="shared" si="131"/>
        <v>0.24067085953878403</v>
      </c>
      <c r="AF89" s="559">
        <f t="shared" si="132"/>
        <v>5675.193337299228</v>
      </c>
      <c r="AG89" s="542">
        <f t="shared" si="133"/>
        <v>5.1804402515723262E-2</v>
      </c>
      <c r="AI89" s="177">
        <f t="shared" si="134"/>
        <v>3.3877266314334324</v>
      </c>
      <c r="AJ89" s="177">
        <f t="shared" si="135"/>
        <v>3.3877266314334324</v>
      </c>
      <c r="AK89" s="177">
        <f t="shared" si="136"/>
        <v>3.1020197269877277</v>
      </c>
      <c r="AM89" s="559">
        <f t="shared" si="137"/>
        <v>840</v>
      </c>
      <c r="AN89" s="469">
        <f t="shared" si="138"/>
        <v>350</v>
      </c>
      <c r="AP89">
        <f t="shared" si="139"/>
        <v>840</v>
      </c>
      <c r="AQ89" s="469">
        <f t="shared" si="140"/>
        <v>350</v>
      </c>
      <c r="AS89" s="5">
        <f t="shared" si="165"/>
        <v>2.8571428571428572</v>
      </c>
      <c r="AT89" s="5">
        <f t="shared" si="141"/>
        <v>1.580939094668935</v>
      </c>
      <c r="AU89" s="5">
        <f t="shared" si="166"/>
        <v>1.2762037624739222</v>
      </c>
      <c r="AV89" s="5">
        <f t="shared" si="142"/>
        <v>0.99430131740184591</v>
      </c>
      <c r="AW89" s="177">
        <f t="shared" si="167"/>
        <v>0.5533286831341272</v>
      </c>
      <c r="AX89" s="177">
        <f t="shared" si="143"/>
        <v>14.058947368421057</v>
      </c>
      <c r="AY89" s="177">
        <f t="shared" si="144"/>
        <v>1.134900236732969</v>
      </c>
      <c r="AZ89" s="177">
        <f t="shared" si="168"/>
        <v>12.387826624208371</v>
      </c>
      <c r="BA89" s="469">
        <f t="shared" si="145"/>
        <v>17.027319442995115</v>
      </c>
      <c r="BB89" s="469">
        <f t="shared" si="146"/>
        <v>31.577130666666658</v>
      </c>
      <c r="BC89" s="5">
        <f t="shared" si="147"/>
        <v>1.5045770673376768</v>
      </c>
      <c r="BD89" s="469">
        <f t="shared" si="148"/>
        <v>115.49591162927312</v>
      </c>
      <c r="BE89" s="5"/>
      <c r="BF89" s="177">
        <f t="shared" si="169"/>
        <v>1.4549206990214045</v>
      </c>
      <c r="BG89" s="177">
        <f t="shared" si="149"/>
        <v>1.9607987545896663</v>
      </c>
      <c r="BH89" s="177"/>
      <c r="BI89" s="542">
        <f t="shared" si="150"/>
        <v>0.2328473664485026</v>
      </c>
      <c r="BJ89" s="542">
        <f t="shared" si="151"/>
        <v>0.23032306435458047</v>
      </c>
      <c r="BK89" s="542">
        <f t="shared" si="152"/>
        <v>1.7499999999999998E-2</v>
      </c>
      <c r="BL89" s="542">
        <f t="shared" si="153"/>
        <v>0.11885914687500002</v>
      </c>
      <c r="BM89">
        <f t="shared" si="154"/>
        <v>4.3499999999999997E-3</v>
      </c>
      <c r="BN89" s="469">
        <f t="shared" si="170"/>
        <v>603.87957767808314</v>
      </c>
      <c r="BO89" s="542">
        <f t="shared" si="155"/>
        <v>0.75600000000000001</v>
      </c>
      <c r="BP89" s="542"/>
      <c r="BR89" s="469">
        <f t="shared" si="171"/>
        <v>756</v>
      </c>
      <c r="BS89" s="542">
        <f t="shared" si="156"/>
        <v>0</v>
      </c>
      <c r="BT89" s="542">
        <f t="shared" si="157"/>
        <v>0</v>
      </c>
      <c r="BU89" s="542">
        <f t="shared" si="158"/>
        <v>0</v>
      </c>
      <c r="BV89" s="542">
        <f t="shared" si="159"/>
        <v>0</v>
      </c>
      <c r="BW89" s="469">
        <f t="shared" si="172"/>
        <v>0</v>
      </c>
      <c r="BX89" s="177">
        <f t="shared" si="173"/>
        <v>1.359879577678083</v>
      </c>
      <c r="BY89" s="5">
        <f t="shared" si="174"/>
        <v>12.6</v>
      </c>
      <c r="BZ89" s="177">
        <f t="shared" si="175"/>
        <v>0.90258658249083057</v>
      </c>
      <c r="CA89" s="5">
        <f t="shared" si="176"/>
        <v>90.258658249083055</v>
      </c>
      <c r="CD89" s="576">
        <f t="shared" si="160"/>
        <v>-50</v>
      </c>
      <c r="CE89">
        <f t="shared" si="161"/>
        <v>-50</v>
      </c>
    </row>
    <row r="90" spans="5:83" x14ac:dyDescent="0.25">
      <c r="E90" s="174">
        <v>85</v>
      </c>
      <c r="F90" s="221">
        <f t="shared" si="162"/>
        <v>0.85</v>
      </c>
      <c r="G90" s="221"/>
      <c r="H90" s="221">
        <f t="shared" si="113"/>
        <v>12.75</v>
      </c>
      <c r="I90" s="555">
        <f t="shared" si="114"/>
        <v>15</v>
      </c>
      <c r="J90" s="176">
        <f t="shared" si="115"/>
        <v>23.85</v>
      </c>
      <c r="K90" s="451">
        <f t="shared" si="116"/>
        <v>38.85</v>
      </c>
      <c r="L90" s="451"/>
      <c r="M90" s="221">
        <f t="shared" si="117"/>
        <v>0.61389961389961389</v>
      </c>
      <c r="N90" s="176">
        <f t="shared" si="118"/>
        <v>17.933542471042468</v>
      </c>
      <c r="O90" s="176">
        <f t="shared" si="163"/>
        <v>12.75</v>
      </c>
      <c r="P90" s="221">
        <f t="shared" si="119"/>
        <v>1.195569498069498</v>
      </c>
      <c r="Q90" s="221">
        <f t="shared" si="120"/>
        <v>15</v>
      </c>
      <c r="R90" s="221">
        <f t="shared" si="121"/>
        <v>1.2584942084942083</v>
      </c>
      <c r="S90" s="176">
        <f t="shared" si="122"/>
        <v>24.718949519263315</v>
      </c>
      <c r="T90" s="176">
        <f t="shared" si="123"/>
        <v>15</v>
      </c>
      <c r="U90" s="221">
        <f t="shared" si="124"/>
        <v>2.9149288315127442</v>
      </c>
      <c r="V90" s="221">
        <f t="shared" si="125"/>
        <v>1.3603001213726138</v>
      </c>
      <c r="W90" s="221">
        <f t="shared" si="126"/>
        <v>0.85553466752994578</v>
      </c>
      <c r="X90" s="201">
        <f t="shared" si="127"/>
        <v>350</v>
      </c>
      <c r="Y90" s="451">
        <f t="shared" si="164"/>
        <v>350</v>
      </c>
      <c r="AA90" s="221">
        <f t="shared" si="128"/>
        <v>3.7585690646915135</v>
      </c>
      <c r="AB90" s="177">
        <f t="shared" si="129"/>
        <v>1.1031439602868174</v>
      </c>
      <c r="AC90" s="177">
        <f t="shared" si="130"/>
        <v>1.0883887252967701</v>
      </c>
      <c r="AD90" s="177"/>
      <c r="AE90" s="177">
        <f t="shared" si="131"/>
        <v>0.24067085953878403</v>
      </c>
      <c r="AF90" s="559">
        <f t="shared" si="132"/>
        <v>5742.7551627432658</v>
      </c>
      <c r="AG90" s="542">
        <f t="shared" si="133"/>
        <v>5.1804402515723262E-2</v>
      </c>
      <c r="AI90" s="177">
        <f t="shared" si="134"/>
        <v>3.4078320105039297</v>
      </c>
      <c r="AJ90" s="177">
        <f t="shared" si="135"/>
        <v>3.4078320105039297</v>
      </c>
      <c r="AK90" s="177">
        <f t="shared" si="136"/>
        <v>3.1169126003732814</v>
      </c>
      <c r="AM90" s="559">
        <f t="shared" si="137"/>
        <v>850</v>
      </c>
      <c r="AN90" s="469">
        <f t="shared" si="138"/>
        <v>350</v>
      </c>
      <c r="AP90">
        <f t="shared" si="139"/>
        <v>850</v>
      </c>
      <c r="AQ90" s="469">
        <f t="shared" si="140"/>
        <v>350</v>
      </c>
      <c r="AS90" s="5">
        <f t="shared" si="165"/>
        <v>2.8571428571428572</v>
      </c>
      <c r="AT90" s="5">
        <f t="shared" si="141"/>
        <v>1.5903216049018338</v>
      </c>
      <c r="AU90" s="5">
        <f t="shared" si="166"/>
        <v>1.2668212522410234</v>
      </c>
      <c r="AV90" s="5">
        <f t="shared" si="142"/>
        <v>1.0002022672338577</v>
      </c>
      <c r="AW90" s="177">
        <f t="shared" si="167"/>
        <v>0.55661256171564177</v>
      </c>
      <c r="AX90" s="177">
        <f t="shared" si="143"/>
        <v>14.226315789473688</v>
      </c>
      <c r="AY90" s="177">
        <f t="shared" si="144"/>
        <v>1.1332424289305787</v>
      </c>
      <c r="AZ90" s="177">
        <f t="shared" si="168"/>
        <v>12.553638503368441</v>
      </c>
      <c r="BA90" s="469">
        <f t="shared" si="145"/>
        <v>17.027319442995115</v>
      </c>
      <c r="BB90" s="469">
        <f t="shared" si="146"/>
        <v>32.303085185185175</v>
      </c>
      <c r="BC90" s="5">
        <f t="shared" si="147"/>
        <v>1.5112955289892913</v>
      </c>
      <c r="BD90" s="469">
        <f t="shared" si="148"/>
        <v>116.03137520051263</v>
      </c>
      <c r="BE90" s="5"/>
      <c r="BF90" s="177">
        <f t="shared" si="169"/>
        <v>1.4678918267578456</v>
      </c>
      <c r="BG90" s="177">
        <f t="shared" si="149"/>
        <v>1.9651717036866907</v>
      </c>
      <c r="BH90" s="177"/>
      <c r="BI90" s="542">
        <f t="shared" si="150"/>
        <v>0.23701770565687333</v>
      </c>
      <c r="BJ90" s="542">
        <f t="shared" si="151"/>
        <v>0.23168997881413592</v>
      </c>
      <c r="BK90" s="542">
        <f t="shared" si="152"/>
        <v>1.7499999999999998E-2</v>
      </c>
      <c r="BL90" s="542">
        <f t="shared" si="153"/>
        <v>0.11885914687500002</v>
      </c>
      <c r="BM90">
        <f t="shared" si="154"/>
        <v>4.3499999999999997E-3</v>
      </c>
      <c r="BN90" s="469">
        <f t="shared" si="170"/>
        <v>609.41683134600919</v>
      </c>
      <c r="BO90" s="542">
        <f t="shared" si="155"/>
        <v>0.76500000000000001</v>
      </c>
      <c r="BP90" s="542"/>
      <c r="BR90" s="469">
        <f t="shared" si="171"/>
        <v>765</v>
      </c>
      <c r="BS90" s="542">
        <f t="shared" si="156"/>
        <v>0</v>
      </c>
      <c r="BT90" s="542">
        <f t="shared" si="157"/>
        <v>0</v>
      </c>
      <c r="BU90" s="542">
        <f t="shared" si="158"/>
        <v>0</v>
      </c>
      <c r="BV90" s="542">
        <f t="shared" si="159"/>
        <v>0</v>
      </c>
      <c r="BW90" s="469">
        <f t="shared" si="172"/>
        <v>0</v>
      </c>
      <c r="BX90" s="177">
        <f t="shared" si="173"/>
        <v>1.3744168313460092</v>
      </c>
      <c r="BY90" s="5">
        <f t="shared" si="174"/>
        <v>12.75</v>
      </c>
      <c r="BZ90" s="177">
        <f t="shared" si="175"/>
        <v>0.90269213605366028</v>
      </c>
      <c r="CA90" s="5">
        <f t="shared" si="176"/>
        <v>90.269213605366033</v>
      </c>
      <c r="CD90" s="576">
        <f t="shared" si="160"/>
        <v>-50</v>
      </c>
      <c r="CE90">
        <f t="shared" si="161"/>
        <v>-50</v>
      </c>
    </row>
    <row r="91" spans="5:83" x14ac:dyDescent="0.25">
      <c r="E91" s="174">
        <v>86</v>
      </c>
      <c r="F91" s="221">
        <f t="shared" si="162"/>
        <v>0.86</v>
      </c>
      <c r="G91" s="221"/>
      <c r="H91" s="221">
        <f t="shared" si="113"/>
        <v>12.9</v>
      </c>
      <c r="I91" s="555">
        <f t="shared" si="114"/>
        <v>15</v>
      </c>
      <c r="J91" s="176">
        <f t="shared" si="115"/>
        <v>23.85</v>
      </c>
      <c r="K91" s="451">
        <f t="shared" si="116"/>
        <v>38.85</v>
      </c>
      <c r="L91" s="451"/>
      <c r="M91" s="221">
        <f t="shared" si="117"/>
        <v>0.61389961389961389</v>
      </c>
      <c r="N91" s="176">
        <f t="shared" si="118"/>
        <v>17.933542471042468</v>
      </c>
      <c r="O91" s="176">
        <f t="shared" si="163"/>
        <v>12.9</v>
      </c>
      <c r="P91" s="221">
        <f t="shared" si="119"/>
        <v>1.195569498069498</v>
      </c>
      <c r="Q91" s="221">
        <f t="shared" si="120"/>
        <v>15</v>
      </c>
      <c r="R91" s="221">
        <f t="shared" si="121"/>
        <v>1.2584942084942083</v>
      </c>
      <c r="S91" s="176">
        <f t="shared" si="122"/>
        <v>24.324814775595783</v>
      </c>
      <c r="T91" s="176">
        <f t="shared" si="123"/>
        <v>15</v>
      </c>
      <c r="U91" s="221">
        <f t="shared" si="124"/>
        <v>2.9492221118834823</v>
      </c>
      <c r="V91" s="221">
        <f t="shared" si="125"/>
        <v>1.3763036522122916</v>
      </c>
      <c r="W91" s="221">
        <f t="shared" si="126"/>
        <v>0.86559978126559223</v>
      </c>
      <c r="X91" s="201">
        <f t="shared" si="127"/>
        <v>350</v>
      </c>
      <c r="Y91" s="451">
        <f t="shared" si="164"/>
        <v>350</v>
      </c>
      <c r="AA91" s="221">
        <f t="shared" si="128"/>
        <v>3.7585690646915135</v>
      </c>
      <c r="AB91" s="177">
        <f t="shared" si="129"/>
        <v>1.1031439602868174</v>
      </c>
      <c r="AC91" s="177">
        <f t="shared" si="130"/>
        <v>1.0883887252967701</v>
      </c>
      <c r="AD91" s="177"/>
      <c r="AE91" s="177">
        <f t="shared" si="131"/>
        <v>0.24067085953878403</v>
      </c>
      <c r="AF91" s="559">
        <f t="shared" si="132"/>
        <v>5810.3169881873046</v>
      </c>
      <c r="AG91" s="542">
        <f t="shared" si="133"/>
        <v>5.1804402515723262E-2</v>
      </c>
      <c r="AI91" s="177">
        <f t="shared" si="134"/>
        <v>3.427819466411147</v>
      </c>
      <c r="AJ91" s="177">
        <f t="shared" si="135"/>
        <v>3.427819466411147</v>
      </c>
      <c r="AK91" s="177">
        <f t="shared" si="136"/>
        <v>3.1317181232675164</v>
      </c>
      <c r="AM91" s="559">
        <f t="shared" si="137"/>
        <v>860</v>
      </c>
      <c r="AN91" s="469">
        <f t="shared" si="138"/>
        <v>350</v>
      </c>
      <c r="AP91">
        <f t="shared" si="139"/>
        <v>860</v>
      </c>
      <c r="AQ91" s="469">
        <f t="shared" si="140"/>
        <v>350</v>
      </c>
      <c r="AS91" s="5">
        <f t="shared" si="165"/>
        <v>2.8571428571428572</v>
      </c>
      <c r="AT91" s="5">
        <f t="shared" si="141"/>
        <v>1.5996490843252018</v>
      </c>
      <c r="AU91" s="5">
        <f t="shared" si="166"/>
        <v>1.2574937728176554</v>
      </c>
      <c r="AV91" s="5">
        <f t="shared" si="142"/>
        <v>1.0060686064938376</v>
      </c>
      <c r="AW91" s="177">
        <f t="shared" si="167"/>
        <v>0.55987717951382066</v>
      </c>
      <c r="AX91" s="177">
        <f t="shared" si="143"/>
        <v>14.39368421052632</v>
      </c>
      <c r="AY91" s="177">
        <f t="shared" si="144"/>
        <v>1.1314961787557283</v>
      </c>
      <c r="AZ91" s="177">
        <f t="shared" si="168"/>
        <v>12.720930464258938</v>
      </c>
      <c r="BA91" s="469">
        <f t="shared" si="145"/>
        <v>17.027319442995115</v>
      </c>
      <c r="BB91" s="469">
        <f t="shared" si="146"/>
        <v>33.037275851851845</v>
      </c>
      <c r="BC91" s="5">
        <f t="shared" si="147"/>
        <v>1.5178170450851702</v>
      </c>
      <c r="BD91" s="469">
        <f t="shared" si="148"/>
        <v>116.55206785507198</v>
      </c>
      <c r="BE91" s="5"/>
      <c r="BF91" s="177">
        <f t="shared" si="169"/>
        <v>1.4808248591799082</v>
      </c>
      <c r="BG91" s="177">
        <f t="shared" si="149"/>
        <v>1.9694071767180883</v>
      </c>
      <c r="BH91" s="177"/>
      <c r="BI91" s="542">
        <f t="shared" si="150"/>
        <v>0.24121264899217146</v>
      </c>
      <c r="BJ91" s="542">
        <f t="shared" si="151"/>
        <v>0.23304887597262783</v>
      </c>
      <c r="BK91" s="542">
        <f t="shared" si="152"/>
        <v>1.7499999999999998E-2</v>
      </c>
      <c r="BL91" s="542">
        <f t="shared" si="153"/>
        <v>0.11885914687500002</v>
      </c>
      <c r="BM91">
        <f t="shared" si="154"/>
        <v>4.3499999999999997E-3</v>
      </c>
      <c r="BN91" s="469">
        <f t="shared" si="170"/>
        <v>614.97067183979925</v>
      </c>
      <c r="BO91" s="542">
        <f t="shared" si="155"/>
        <v>0.77400000000000002</v>
      </c>
      <c r="BP91" s="542"/>
      <c r="BR91" s="469">
        <f t="shared" si="171"/>
        <v>774</v>
      </c>
      <c r="BS91" s="542">
        <f t="shared" si="156"/>
        <v>0</v>
      </c>
      <c r="BT91" s="542">
        <f t="shared" si="157"/>
        <v>0</v>
      </c>
      <c r="BU91" s="542">
        <f t="shared" si="158"/>
        <v>0</v>
      </c>
      <c r="BV91" s="542">
        <f t="shared" si="159"/>
        <v>0</v>
      </c>
      <c r="BW91" s="469">
        <f t="shared" si="172"/>
        <v>0</v>
      </c>
      <c r="BX91" s="177">
        <f t="shared" si="173"/>
        <v>1.3889706718397994</v>
      </c>
      <c r="BY91" s="5">
        <f t="shared" si="174"/>
        <v>12.9</v>
      </c>
      <c r="BZ91" s="177">
        <f t="shared" si="175"/>
        <v>0.90279421074205624</v>
      </c>
      <c r="CA91" s="5">
        <f t="shared" si="176"/>
        <v>90.279421074205629</v>
      </c>
      <c r="CD91" s="576">
        <f t="shared" si="160"/>
        <v>-50</v>
      </c>
      <c r="CE91">
        <f t="shared" si="161"/>
        <v>-50</v>
      </c>
    </row>
    <row r="92" spans="5:83" x14ac:dyDescent="0.25">
      <c r="E92" s="174">
        <v>87</v>
      </c>
      <c r="F92" s="221">
        <f t="shared" si="162"/>
        <v>0.87</v>
      </c>
      <c r="G92" s="221"/>
      <c r="H92" s="221">
        <f t="shared" si="113"/>
        <v>13.05</v>
      </c>
      <c r="I92" s="555">
        <f t="shared" si="114"/>
        <v>15</v>
      </c>
      <c r="J92" s="176">
        <f t="shared" si="115"/>
        <v>23.85</v>
      </c>
      <c r="K92" s="451">
        <f t="shared" si="116"/>
        <v>38.85</v>
      </c>
      <c r="L92" s="451"/>
      <c r="M92" s="221">
        <f t="shared" si="117"/>
        <v>0.61389961389961389</v>
      </c>
      <c r="N92" s="176">
        <f t="shared" si="118"/>
        <v>17.933542471042468</v>
      </c>
      <c r="O92" s="176">
        <f t="shared" si="163"/>
        <v>13.05</v>
      </c>
      <c r="P92" s="221">
        <f t="shared" si="119"/>
        <v>1.195569498069498</v>
      </c>
      <c r="Q92" s="221">
        <f t="shared" si="120"/>
        <v>15</v>
      </c>
      <c r="R92" s="221">
        <f t="shared" si="121"/>
        <v>1.2584942084942083</v>
      </c>
      <c r="S92" s="176">
        <f t="shared" si="122"/>
        <v>23.939906412557633</v>
      </c>
      <c r="T92" s="176">
        <f t="shared" si="123"/>
        <v>15</v>
      </c>
      <c r="U92" s="221">
        <f t="shared" si="124"/>
        <v>2.9835153922542208</v>
      </c>
      <c r="V92" s="221">
        <f t="shared" si="125"/>
        <v>1.3923071830519698</v>
      </c>
      <c r="W92" s="221">
        <f t="shared" si="126"/>
        <v>0.87566489500123879</v>
      </c>
      <c r="X92" s="201">
        <f t="shared" si="127"/>
        <v>350</v>
      </c>
      <c r="Y92" s="451">
        <f t="shared" si="164"/>
        <v>350</v>
      </c>
      <c r="AA92" s="221">
        <f t="shared" si="128"/>
        <v>3.7585690646915135</v>
      </c>
      <c r="AB92" s="177">
        <f t="shared" si="129"/>
        <v>1.1031439602868174</v>
      </c>
      <c r="AC92" s="177">
        <f t="shared" si="130"/>
        <v>1.0883887252967701</v>
      </c>
      <c r="AD92" s="177"/>
      <c r="AE92" s="177">
        <f t="shared" si="131"/>
        <v>0.24067085953878403</v>
      </c>
      <c r="AF92" s="559">
        <f t="shared" si="132"/>
        <v>5877.8788136313424</v>
      </c>
      <c r="AG92" s="542">
        <f t="shared" si="133"/>
        <v>5.1804402515723262E-2</v>
      </c>
      <c r="AI92" s="177">
        <f t="shared" si="134"/>
        <v>3.4476910500796243</v>
      </c>
      <c r="AJ92" s="177">
        <f t="shared" si="135"/>
        <v>3.4476910500796243</v>
      </c>
      <c r="AK92" s="177">
        <f t="shared" si="136"/>
        <v>3.1464378148737957</v>
      </c>
      <c r="AM92" s="559">
        <f t="shared" si="137"/>
        <v>870</v>
      </c>
      <c r="AN92" s="469">
        <f t="shared" si="138"/>
        <v>350</v>
      </c>
      <c r="AP92">
        <f t="shared" si="139"/>
        <v>870</v>
      </c>
      <c r="AQ92" s="469">
        <f t="shared" si="140"/>
        <v>350</v>
      </c>
      <c r="AS92" s="5">
        <f t="shared" si="165"/>
        <v>2.8571428571428572</v>
      </c>
      <c r="AT92" s="5">
        <f t="shared" si="141"/>
        <v>1.6089224900371579</v>
      </c>
      <c r="AU92" s="5">
        <f t="shared" si="166"/>
        <v>1.2482203671056993</v>
      </c>
      <c r="AV92" s="5">
        <f t="shared" si="142"/>
        <v>1.0119009371302881</v>
      </c>
      <c r="AW92" s="177">
        <f t="shared" si="167"/>
        <v>0.56312287151300522</v>
      </c>
      <c r="AX92" s="177">
        <f t="shared" si="143"/>
        <v>14.561052631578949</v>
      </c>
      <c r="AY92" s="177">
        <f t="shared" si="144"/>
        <v>1.1296630244018235</v>
      </c>
      <c r="AZ92" s="177">
        <f t="shared" si="168"/>
        <v>12.889731111885585</v>
      </c>
      <c r="BA92" s="469">
        <f t="shared" si="145"/>
        <v>17.027319442995115</v>
      </c>
      <c r="BB92" s="469">
        <f t="shared" si="146"/>
        <v>33.779702666666658</v>
      </c>
      <c r="BC92" s="5">
        <f t="shared" si="147"/>
        <v>1.5241427640448542</v>
      </c>
      <c r="BD92" s="469">
        <f t="shared" si="148"/>
        <v>117.0580757244167</v>
      </c>
      <c r="BE92" s="5"/>
      <c r="BF92" s="177">
        <f t="shared" si="169"/>
        <v>1.4937203492195525</v>
      </c>
      <c r="BG92" s="177">
        <f t="shared" si="149"/>
        <v>1.9735068023282938</v>
      </c>
      <c r="BH92" s="177"/>
      <c r="BI92" s="542">
        <f t="shared" si="150"/>
        <v>0.24543205298398404</v>
      </c>
      <c r="BJ92" s="542">
        <f t="shared" si="151"/>
        <v>0.23439989526728847</v>
      </c>
      <c r="BK92" s="542">
        <f t="shared" si="152"/>
        <v>1.7499999999999998E-2</v>
      </c>
      <c r="BL92" s="542">
        <f t="shared" si="153"/>
        <v>0.11885914687500002</v>
      </c>
      <c r="BM92">
        <f t="shared" si="154"/>
        <v>4.3499999999999997E-3</v>
      </c>
      <c r="BN92" s="469">
        <f t="shared" si="170"/>
        <v>620.54109512627258</v>
      </c>
      <c r="BO92" s="542">
        <f t="shared" si="155"/>
        <v>0.78300000000000003</v>
      </c>
      <c r="BP92" s="542"/>
      <c r="BR92" s="469">
        <f t="shared" si="171"/>
        <v>783</v>
      </c>
      <c r="BS92" s="542">
        <f t="shared" si="156"/>
        <v>0</v>
      </c>
      <c r="BT92" s="542">
        <f t="shared" si="157"/>
        <v>0</v>
      </c>
      <c r="BU92" s="542">
        <f t="shared" si="158"/>
        <v>0</v>
      </c>
      <c r="BV92" s="542">
        <f t="shared" si="159"/>
        <v>0</v>
      </c>
      <c r="BW92" s="469">
        <f t="shared" si="172"/>
        <v>0</v>
      </c>
      <c r="BX92" s="177">
        <f t="shared" si="173"/>
        <v>1.4035410951262726</v>
      </c>
      <c r="BY92" s="5">
        <f t="shared" si="174"/>
        <v>13.05</v>
      </c>
      <c r="BZ92" s="177">
        <f t="shared" si="175"/>
        <v>0.90289292527769927</v>
      </c>
      <c r="CA92" s="5">
        <f t="shared" si="176"/>
        <v>90.289292527769931</v>
      </c>
      <c r="CD92" s="576">
        <f t="shared" si="160"/>
        <v>-50</v>
      </c>
      <c r="CE92">
        <f t="shared" si="161"/>
        <v>-50</v>
      </c>
    </row>
    <row r="93" spans="5:83" x14ac:dyDescent="0.25">
      <c r="E93" s="174">
        <v>88</v>
      </c>
      <c r="F93" s="221">
        <f t="shared" si="162"/>
        <v>0.88</v>
      </c>
      <c r="G93" s="221"/>
      <c r="H93" s="221">
        <f t="shared" si="113"/>
        <v>13.2</v>
      </c>
      <c r="I93" s="555">
        <f t="shared" si="114"/>
        <v>15</v>
      </c>
      <c r="J93" s="176">
        <f t="shared" si="115"/>
        <v>23.85</v>
      </c>
      <c r="K93" s="451">
        <f t="shared" si="116"/>
        <v>38.85</v>
      </c>
      <c r="L93" s="451"/>
      <c r="M93" s="221">
        <f t="shared" si="117"/>
        <v>0.61389961389961389</v>
      </c>
      <c r="N93" s="176">
        <f t="shared" si="118"/>
        <v>17.933542471042468</v>
      </c>
      <c r="O93" s="176">
        <f t="shared" si="163"/>
        <v>13.2</v>
      </c>
      <c r="P93" s="221">
        <f t="shared" si="119"/>
        <v>1.195569498069498</v>
      </c>
      <c r="Q93" s="221">
        <f t="shared" si="120"/>
        <v>15</v>
      </c>
      <c r="R93" s="221">
        <f t="shared" si="121"/>
        <v>1.2584942084942083</v>
      </c>
      <c r="S93" s="176">
        <f t="shared" si="122"/>
        <v>23.563911565325768</v>
      </c>
      <c r="T93" s="176">
        <f t="shared" si="123"/>
        <v>15</v>
      </c>
      <c r="U93" s="221">
        <f t="shared" si="124"/>
        <v>3.0178086726249584</v>
      </c>
      <c r="V93" s="221">
        <f t="shared" si="125"/>
        <v>1.4083107138916473</v>
      </c>
      <c r="W93" s="221">
        <f t="shared" si="126"/>
        <v>0.88573000873688501</v>
      </c>
      <c r="X93" s="201">
        <f t="shared" si="127"/>
        <v>350</v>
      </c>
      <c r="Y93" s="451">
        <f t="shared" si="164"/>
        <v>350</v>
      </c>
      <c r="AA93" s="221">
        <f t="shared" si="128"/>
        <v>3.7585690646915135</v>
      </c>
      <c r="AB93" s="177">
        <f t="shared" si="129"/>
        <v>1.1031439602868174</v>
      </c>
      <c r="AC93" s="177">
        <f t="shared" si="130"/>
        <v>1.0883887252967701</v>
      </c>
      <c r="AD93" s="177"/>
      <c r="AE93" s="177">
        <f t="shared" si="131"/>
        <v>0.24067085953878403</v>
      </c>
      <c r="AF93" s="559">
        <f t="shared" si="132"/>
        <v>5945.440639075382</v>
      </c>
      <c r="AG93" s="542">
        <f t="shared" si="133"/>
        <v>5.1804402515723262E-2</v>
      </c>
      <c r="AI93" s="177">
        <f t="shared" si="134"/>
        <v>3.4674487536647298</v>
      </c>
      <c r="AJ93" s="177">
        <f t="shared" si="135"/>
        <v>3.4674487536647298</v>
      </c>
      <c r="AK93" s="177">
        <f t="shared" si="136"/>
        <v>3.1610731508627627</v>
      </c>
      <c r="AM93" s="559">
        <f t="shared" si="137"/>
        <v>880</v>
      </c>
      <c r="AN93" s="469">
        <f t="shared" si="138"/>
        <v>350</v>
      </c>
      <c r="AP93">
        <f t="shared" si="139"/>
        <v>880</v>
      </c>
      <c r="AQ93" s="469">
        <f t="shared" si="140"/>
        <v>350</v>
      </c>
      <c r="AS93" s="5">
        <f t="shared" si="165"/>
        <v>2.8571428571428572</v>
      </c>
      <c r="AT93" s="5">
        <f t="shared" si="141"/>
        <v>1.6181427517102072</v>
      </c>
      <c r="AU93" s="5">
        <f t="shared" si="166"/>
        <v>1.23900010543265</v>
      </c>
      <c r="AV93" s="5">
        <f t="shared" si="142"/>
        <v>1.0176998438428977</v>
      </c>
      <c r="AW93" s="177">
        <f t="shared" si="167"/>
        <v>0.56634996309857244</v>
      </c>
      <c r="AX93" s="177">
        <f t="shared" si="143"/>
        <v>14.728421052631585</v>
      </c>
      <c r="AY93" s="177">
        <f t="shared" si="144"/>
        <v>1.1277444599853894</v>
      </c>
      <c r="AZ93" s="177">
        <f t="shared" si="168"/>
        <v>13.060069523926014</v>
      </c>
      <c r="BA93" s="469">
        <f t="shared" si="145"/>
        <v>17.027319442995115</v>
      </c>
      <c r="BB93" s="469">
        <f t="shared" si="146"/>
        <v>34.530365629629621</v>
      </c>
      <c r="BC93" s="5">
        <f t="shared" si="147"/>
        <v>1.5302738144290977</v>
      </c>
      <c r="BD93" s="469">
        <f t="shared" si="148"/>
        <v>117.54948345060338</v>
      </c>
      <c r="BE93" s="5"/>
      <c r="BF93" s="177">
        <f t="shared" si="169"/>
        <v>1.5065788355283893</v>
      </c>
      <c r="BG93" s="177">
        <f t="shared" si="149"/>
        <v>1.9774721546025982</v>
      </c>
      <c r="BH93" s="177"/>
      <c r="BI93" s="542">
        <f t="shared" si="150"/>
        <v>0.24967577664282853</v>
      </c>
      <c r="BJ93" s="542">
        <f t="shared" si="151"/>
        <v>0.23574317213978083</v>
      </c>
      <c r="BK93" s="542">
        <f t="shared" si="152"/>
        <v>1.7499999999999998E-2</v>
      </c>
      <c r="BL93" s="542">
        <f t="shared" si="153"/>
        <v>0.11885914687500002</v>
      </c>
      <c r="BM93">
        <f t="shared" si="154"/>
        <v>4.3499999999999997E-3</v>
      </c>
      <c r="BN93" s="469">
        <f t="shared" si="170"/>
        <v>626.12809565760926</v>
      </c>
      <c r="BO93" s="542">
        <f t="shared" si="155"/>
        <v>0.79200000000000004</v>
      </c>
      <c r="BP93" s="542"/>
      <c r="BR93" s="469">
        <f t="shared" si="171"/>
        <v>792</v>
      </c>
      <c r="BS93" s="542">
        <f t="shared" si="156"/>
        <v>0</v>
      </c>
      <c r="BT93" s="542">
        <f t="shared" si="157"/>
        <v>0</v>
      </c>
      <c r="BU93" s="542">
        <f t="shared" si="158"/>
        <v>0</v>
      </c>
      <c r="BV93" s="542">
        <f t="shared" si="159"/>
        <v>0</v>
      </c>
      <c r="BW93" s="469">
        <f t="shared" si="172"/>
        <v>0</v>
      </c>
      <c r="BX93" s="177">
        <f t="shared" si="173"/>
        <v>1.4181280956576092</v>
      </c>
      <c r="BY93" s="5">
        <f t="shared" si="174"/>
        <v>13.2</v>
      </c>
      <c r="BZ93" s="177">
        <f t="shared" si="175"/>
        <v>0.90298839315282298</v>
      </c>
      <c r="CA93" s="5">
        <f t="shared" si="176"/>
        <v>90.298839315282294</v>
      </c>
      <c r="CD93" s="576">
        <f t="shared" si="160"/>
        <v>-50</v>
      </c>
      <c r="CE93">
        <f t="shared" si="161"/>
        <v>-50</v>
      </c>
    </row>
    <row r="94" spans="5:83" x14ac:dyDescent="0.25">
      <c r="E94" s="174">
        <v>89</v>
      </c>
      <c r="F94" s="221">
        <f t="shared" si="162"/>
        <v>0.89</v>
      </c>
      <c r="G94" s="221"/>
      <c r="H94" s="221">
        <f t="shared" si="113"/>
        <v>13.35</v>
      </c>
      <c r="I94" s="555">
        <f t="shared" si="114"/>
        <v>15</v>
      </c>
      <c r="J94" s="176">
        <f t="shared" si="115"/>
        <v>23.85</v>
      </c>
      <c r="K94" s="451">
        <f t="shared" si="116"/>
        <v>38.85</v>
      </c>
      <c r="L94" s="451"/>
      <c r="M94" s="221">
        <f t="shared" si="117"/>
        <v>0.61389961389961389</v>
      </c>
      <c r="N94" s="176">
        <f t="shared" si="118"/>
        <v>17.933542471042468</v>
      </c>
      <c r="O94" s="176">
        <f t="shared" si="163"/>
        <v>13.35</v>
      </c>
      <c r="P94" s="221">
        <f t="shared" si="119"/>
        <v>1.195569498069498</v>
      </c>
      <c r="Q94" s="221">
        <f t="shared" si="120"/>
        <v>15</v>
      </c>
      <c r="R94" s="221">
        <f t="shared" si="121"/>
        <v>1.2584942084942083</v>
      </c>
      <c r="S94" s="176">
        <f t="shared" si="122"/>
        <v>23.19653144632791</v>
      </c>
      <c r="T94" s="176">
        <f t="shared" si="123"/>
        <v>15</v>
      </c>
      <c r="U94" s="221">
        <f t="shared" si="124"/>
        <v>3.052101952995697</v>
      </c>
      <c r="V94" s="221">
        <f t="shared" si="125"/>
        <v>1.4243142447313253</v>
      </c>
      <c r="W94" s="221">
        <f t="shared" si="126"/>
        <v>0.89579512247253157</v>
      </c>
      <c r="X94" s="201">
        <f t="shared" si="127"/>
        <v>350</v>
      </c>
      <c r="Y94" s="451">
        <f t="shared" si="164"/>
        <v>350</v>
      </c>
      <c r="AA94" s="221">
        <f t="shared" si="128"/>
        <v>3.7585690646915135</v>
      </c>
      <c r="AB94" s="177">
        <f t="shared" si="129"/>
        <v>1.1031439602868174</v>
      </c>
      <c r="AC94" s="177">
        <f t="shared" si="130"/>
        <v>1.0883887252967701</v>
      </c>
      <c r="AD94" s="177"/>
      <c r="AE94" s="177">
        <f t="shared" si="131"/>
        <v>0.24067085953878403</v>
      </c>
      <c r="AF94" s="559">
        <f t="shared" si="132"/>
        <v>6013.0024645194198</v>
      </c>
      <c r="AG94" s="542">
        <f t="shared" si="133"/>
        <v>5.1804402515723262E-2</v>
      </c>
      <c r="AI94" s="177">
        <f t="shared" si="134"/>
        <v>3.4870945128836173</v>
      </c>
      <c r="AJ94" s="177">
        <f t="shared" si="135"/>
        <v>3.4870945128836173</v>
      </c>
      <c r="AK94" s="177">
        <f t="shared" si="136"/>
        <v>3.1756255650989758</v>
      </c>
      <c r="AM94" s="559">
        <f t="shared" si="137"/>
        <v>890</v>
      </c>
      <c r="AN94" s="469">
        <f t="shared" si="138"/>
        <v>350</v>
      </c>
      <c r="AP94">
        <f t="shared" si="139"/>
        <v>890</v>
      </c>
      <c r="AQ94" s="469">
        <f t="shared" si="140"/>
        <v>350</v>
      </c>
      <c r="AS94" s="5">
        <f t="shared" si="165"/>
        <v>2.8571428571428572</v>
      </c>
      <c r="AT94" s="5">
        <f t="shared" si="141"/>
        <v>1.6273107726790215</v>
      </c>
      <c r="AU94" s="5">
        <f t="shared" si="166"/>
        <v>1.2298320844638357</v>
      </c>
      <c r="AV94" s="5">
        <f t="shared" si="142"/>
        <v>1.0234658947666799</v>
      </c>
      <c r="AW94" s="177">
        <f t="shared" si="167"/>
        <v>0.56955877043765746</v>
      </c>
      <c r="AX94" s="177">
        <f t="shared" si="143"/>
        <v>14.895789473684214</v>
      </c>
      <c r="AY94" s="177">
        <f t="shared" si="144"/>
        <v>1.1257419372942916</v>
      </c>
      <c r="AZ94" s="177">
        <f t="shared" si="168"/>
        <v>13.231975269115479</v>
      </c>
      <c r="BA94" s="469">
        <f t="shared" si="145"/>
        <v>17.027319442995115</v>
      </c>
      <c r="BB94" s="469">
        <f t="shared" si="146"/>
        <v>35.289264740740741</v>
      </c>
      <c r="BC94" s="5">
        <f t="shared" si="147"/>
        <v>1.5362113055057038</v>
      </c>
      <c r="BD94" s="469">
        <f t="shared" si="148"/>
        <v>118.02637422871726</v>
      </c>
      <c r="BE94" s="5"/>
      <c r="BF94" s="177">
        <f t="shared" si="169"/>
        <v>1.5194008430043697</v>
      </c>
      <c r="BG94" s="177">
        <f t="shared" si="149"/>
        <v>1.9813047550697236</v>
      </c>
      <c r="BH94" s="177"/>
      <c r="BI94" s="542">
        <f t="shared" si="150"/>
        <v>0.25394368138946283</v>
      </c>
      <c r="BJ94" s="542">
        <f t="shared" si="151"/>
        <v>0.23707883819467493</v>
      </c>
      <c r="BK94" s="542">
        <f t="shared" si="152"/>
        <v>1.7499999999999998E-2</v>
      </c>
      <c r="BL94" s="542">
        <f t="shared" si="153"/>
        <v>0.11885914687500002</v>
      </c>
      <c r="BM94">
        <f t="shared" si="154"/>
        <v>4.3499999999999997E-3</v>
      </c>
      <c r="BN94" s="469">
        <f t="shared" si="170"/>
        <v>631.73166645913773</v>
      </c>
      <c r="BO94" s="542">
        <f t="shared" si="155"/>
        <v>0.80100000000000005</v>
      </c>
      <c r="BP94" s="542"/>
      <c r="BR94" s="469">
        <f t="shared" si="171"/>
        <v>801</v>
      </c>
      <c r="BS94" s="542">
        <f t="shared" si="156"/>
        <v>0</v>
      </c>
      <c r="BT94" s="542">
        <f t="shared" si="157"/>
        <v>0</v>
      </c>
      <c r="BU94" s="542">
        <f t="shared" si="158"/>
        <v>0</v>
      </c>
      <c r="BV94" s="542">
        <f t="shared" si="159"/>
        <v>0</v>
      </c>
      <c r="BW94" s="469">
        <f t="shared" si="172"/>
        <v>0</v>
      </c>
      <c r="BX94" s="177">
        <f t="shared" si="173"/>
        <v>1.4327316664591376</v>
      </c>
      <c r="BY94" s="5">
        <f t="shared" si="174"/>
        <v>13.35</v>
      </c>
      <c r="BZ94" s="177">
        <f t="shared" si="175"/>
        <v>0.90308072291470365</v>
      </c>
      <c r="CA94" s="5">
        <f t="shared" si="176"/>
        <v>90.308072291470367</v>
      </c>
      <c r="CD94" s="576">
        <f t="shared" si="160"/>
        <v>-50</v>
      </c>
      <c r="CE94">
        <f t="shared" si="161"/>
        <v>-50</v>
      </c>
    </row>
    <row r="95" spans="5:83" x14ac:dyDescent="0.25">
      <c r="E95" s="174">
        <v>90</v>
      </c>
      <c r="F95" s="221">
        <f t="shared" si="162"/>
        <v>0.9</v>
      </c>
      <c r="G95" s="221"/>
      <c r="H95" s="221">
        <f t="shared" si="113"/>
        <v>13.5</v>
      </c>
      <c r="I95" s="555">
        <f t="shared" si="114"/>
        <v>15</v>
      </c>
      <c r="J95" s="176">
        <f t="shared" si="115"/>
        <v>23.85</v>
      </c>
      <c r="K95" s="451">
        <f t="shared" si="116"/>
        <v>38.85</v>
      </c>
      <c r="L95" s="451"/>
      <c r="M95" s="221">
        <f t="shared" si="117"/>
        <v>0.61389961389961389</v>
      </c>
      <c r="N95" s="176">
        <f t="shared" si="118"/>
        <v>17.933542471042468</v>
      </c>
      <c r="O95" s="176">
        <f t="shared" si="163"/>
        <v>13.5</v>
      </c>
      <c r="P95" s="221">
        <f t="shared" si="119"/>
        <v>1.195569498069498</v>
      </c>
      <c r="Q95" s="221">
        <f t="shared" si="120"/>
        <v>15</v>
      </c>
      <c r="R95" s="221">
        <f t="shared" si="121"/>
        <v>1.2584942084942083</v>
      </c>
      <c r="S95" s="176">
        <f t="shared" si="122"/>
        <v>22.837480563218609</v>
      </c>
      <c r="T95" s="176">
        <f t="shared" si="123"/>
        <v>15</v>
      </c>
      <c r="U95" s="221">
        <f t="shared" si="124"/>
        <v>3.0863952333664351</v>
      </c>
      <c r="V95" s="221">
        <f t="shared" si="125"/>
        <v>1.440317775571003</v>
      </c>
      <c r="W95" s="221">
        <f t="shared" si="126"/>
        <v>0.90586023620817802</v>
      </c>
      <c r="X95" s="201">
        <f t="shared" si="127"/>
        <v>350</v>
      </c>
      <c r="Y95" s="451">
        <f t="shared" si="164"/>
        <v>350</v>
      </c>
      <c r="AA95" s="221">
        <f t="shared" si="128"/>
        <v>3.7585690646915135</v>
      </c>
      <c r="AB95" s="177">
        <f t="shared" si="129"/>
        <v>1.1031439602868174</v>
      </c>
      <c r="AC95" s="177">
        <f t="shared" si="130"/>
        <v>1.0883887252967701</v>
      </c>
      <c r="AD95" s="177"/>
      <c r="AE95" s="177">
        <f t="shared" si="131"/>
        <v>0.24067085953878403</v>
      </c>
      <c r="AF95" s="559">
        <f t="shared" si="132"/>
        <v>6080.5642899634586</v>
      </c>
      <c r="AG95" s="542">
        <f t="shared" si="133"/>
        <v>5.1804402515723262E-2</v>
      </c>
      <c r="AI95" s="177">
        <f t="shared" si="134"/>
        <v>3.5066302092286517</v>
      </c>
      <c r="AJ95" s="177">
        <f t="shared" si="135"/>
        <v>3.5066302092286517</v>
      </c>
      <c r="AK95" s="177">
        <f t="shared" si="136"/>
        <v>3.1900964512804828</v>
      </c>
      <c r="AM95" s="559">
        <f t="shared" si="137"/>
        <v>900</v>
      </c>
      <c r="AN95" s="469">
        <f t="shared" si="138"/>
        <v>350</v>
      </c>
      <c r="AP95">
        <f t="shared" si="139"/>
        <v>900</v>
      </c>
      <c r="AQ95" s="469">
        <f t="shared" si="140"/>
        <v>350</v>
      </c>
      <c r="AS95" s="5">
        <f t="shared" si="165"/>
        <v>2.8571428571428572</v>
      </c>
      <c r="AT95" s="5">
        <f t="shared" si="141"/>
        <v>1.6364274309733708</v>
      </c>
      <c r="AU95" s="5">
        <f t="shared" si="166"/>
        <v>1.2207154261694864</v>
      </c>
      <c r="AV95" s="5">
        <f t="shared" si="142"/>
        <v>1.0291996421216167</v>
      </c>
      <c r="AW95" s="177">
        <f t="shared" si="167"/>
        <v>0.57274960084067983</v>
      </c>
      <c r="AX95" s="177">
        <f t="shared" si="143"/>
        <v>15.063157894736849</v>
      </c>
      <c r="AY95" s="177">
        <f t="shared" si="144"/>
        <v>1.1236568674478038</v>
      </c>
      <c r="AZ95" s="177">
        <f t="shared" si="168"/>
        <v>13.405478425945333</v>
      </c>
      <c r="BA95" s="469">
        <f t="shared" si="145"/>
        <v>17.027319442995115</v>
      </c>
      <c r="BB95" s="469">
        <f t="shared" si="146"/>
        <v>36.056399999999996</v>
      </c>
      <c r="BC95" s="5">
        <f t="shared" si="147"/>
        <v>1.5419563277930355</v>
      </c>
      <c r="BD95" s="469">
        <f t="shared" si="148"/>
        <v>118.48882984763556</v>
      </c>
      <c r="BE95" s="5"/>
      <c r="BF95" s="177">
        <f t="shared" si="169"/>
        <v>1.5321868832933649</v>
      </c>
      <c r="BG95" s="177">
        <f t="shared" si="149"/>
        <v>1.9850060746002023</v>
      </c>
      <c r="BH95" s="177"/>
      <c r="BI95" s="542">
        <f t="shared" si="150"/>
        <v>0.25823563098698588</v>
      </c>
      <c r="BJ95" s="542">
        <f t="shared" si="151"/>
        <v>0.23840702134993297</v>
      </c>
      <c r="BK95" s="542">
        <f t="shared" si="152"/>
        <v>1.7499999999999998E-2</v>
      </c>
      <c r="BL95" s="542">
        <f t="shared" si="153"/>
        <v>0.11885914687500002</v>
      </c>
      <c r="BM95">
        <f t="shared" si="154"/>
        <v>4.3499999999999997E-3</v>
      </c>
      <c r="BN95" s="469">
        <f t="shared" si="170"/>
        <v>637.35179921191877</v>
      </c>
      <c r="BO95" s="542">
        <f t="shared" si="155"/>
        <v>0.81</v>
      </c>
      <c r="BP95" s="542"/>
      <c r="BR95" s="469">
        <f t="shared" si="171"/>
        <v>810</v>
      </c>
      <c r="BS95" s="542">
        <f t="shared" si="156"/>
        <v>0</v>
      </c>
      <c r="BT95" s="542">
        <f t="shared" si="157"/>
        <v>0</v>
      </c>
      <c r="BU95" s="542">
        <f t="shared" si="158"/>
        <v>0</v>
      </c>
      <c r="BV95" s="542">
        <f t="shared" si="159"/>
        <v>0</v>
      </c>
      <c r="BW95" s="469">
        <f t="shared" si="172"/>
        <v>0</v>
      </c>
      <c r="BX95" s="177">
        <f t="shared" si="173"/>
        <v>1.4473517992119187</v>
      </c>
      <c r="BY95" s="5">
        <f t="shared" si="174"/>
        <v>13.5</v>
      </c>
      <c r="BZ95" s="177">
        <f t="shared" si="175"/>
        <v>0.9031700184317446</v>
      </c>
      <c r="CA95" s="5">
        <f t="shared" si="176"/>
        <v>90.317001843174467</v>
      </c>
      <c r="CD95" s="576">
        <f t="shared" si="160"/>
        <v>-50</v>
      </c>
      <c r="CE95">
        <f t="shared" si="161"/>
        <v>-50</v>
      </c>
    </row>
    <row r="96" spans="5:83" x14ac:dyDescent="0.25">
      <c r="E96" s="174">
        <v>91</v>
      </c>
      <c r="F96" s="221">
        <f t="shared" si="162"/>
        <v>0.91</v>
      </c>
      <c r="G96" s="221"/>
      <c r="H96" s="221">
        <f t="shared" si="113"/>
        <v>13.65</v>
      </c>
      <c r="I96" s="555">
        <f t="shared" si="114"/>
        <v>15</v>
      </c>
      <c r="J96" s="176">
        <f t="shared" si="115"/>
        <v>23.85</v>
      </c>
      <c r="K96" s="451">
        <f t="shared" si="116"/>
        <v>38.85</v>
      </c>
      <c r="L96" s="451"/>
      <c r="M96" s="221">
        <f t="shared" si="117"/>
        <v>0.61389961389961389</v>
      </c>
      <c r="N96" s="176">
        <f t="shared" si="118"/>
        <v>17.933542471042468</v>
      </c>
      <c r="O96" s="176">
        <f t="shared" si="163"/>
        <v>13.65</v>
      </c>
      <c r="P96" s="221">
        <f t="shared" si="119"/>
        <v>1.195569498069498</v>
      </c>
      <c r="Q96" s="221">
        <f t="shared" si="120"/>
        <v>15</v>
      </c>
      <c r="R96" s="221">
        <f t="shared" si="121"/>
        <v>1.2584942084942083</v>
      </c>
      <c r="S96" s="176">
        <f t="shared" si="122"/>
        <v>22.48648598841255</v>
      </c>
      <c r="T96" s="221">
        <f t="shared" si="123"/>
        <v>15</v>
      </c>
      <c r="U96" s="221">
        <f t="shared" si="124"/>
        <v>3.1206885137371732</v>
      </c>
      <c r="V96" s="221">
        <f t="shared" si="125"/>
        <v>1.4563213064106808</v>
      </c>
      <c r="W96" s="221">
        <f t="shared" si="126"/>
        <v>0.91592534994382435</v>
      </c>
      <c r="X96" s="201">
        <f t="shared" si="127"/>
        <v>350</v>
      </c>
      <c r="Y96" s="451">
        <f t="shared" si="164"/>
        <v>350</v>
      </c>
      <c r="AA96" s="221">
        <f t="shared" si="128"/>
        <v>3.7585690646915135</v>
      </c>
      <c r="AB96" s="177">
        <f t="shared" si="129"/>
        <v>1.1031439602868174</v>
      </c>
      <c r="AC96" s="177">
        <f t="shared" si="130"/>
        <v>1.0883887252967701</v>
      </c>
      <c r="AD96" s="177"/>
      <c r="AE96" s="177">
        <f t="shared" si="131"/>
        <v>0.24067085953878403</v>
      </c>
      <c r="AF96" s="559">
        <f t="shared" si="132"/>
        <v>6148.1261154074964</v>
      </c>
      <c r="AG96" s="542">
        <f t="shared" si="133"/>
        <v>5.1804402515723262E-2</v>
      </c>
      <c r="AI96" s="177">
        <f t="shared" si="134"/>
        <v>3.5260576720704555</v>
      </c>
      <c r="AJ96" s="177">
        <f t="shared" si="135"/>
        <v>3.5260576720704555</v>
      </c>
      <c r="AK96" s="177">
        <f t="shared" si="136"/>
        <v>3.2044871644966335</v>
      </c>
      <c r="AM96" s="559">
        <f t="shared" si="137"/>
        <v>910</v>
      </c>
      <c r="AN96" s="469">
        <f t="shared" si="138"/>
        <v>350</v>
      </c>
      <c r="AP96">
        <f t="shared" si="139"/>
        <v>910</v>
      </c>
      <c r="AQ96" s="469">
        <f t="shared" si="140"/>
        <v>350</v>
      </c>
      <c r="AS96" s="5">
        <f t="shared" si="165"/>
        <v>2.8571428571428572</v>
      </c>
      <c r="AT96" s="5">
        <f t="shared" si="141"/>
        <v>1.6454935802995458</v>
      </c>
      <c r="AU96" s="5">
        <f t="shared" si="166"/>
        <v>1.2116492768433114</v>
      </c>
      <c r="AV96" s="5">
        <f t="shared" si="142"/>
        <v>1.0349016228299031</v>
      </c>
      <c r="AW96" s="177">
        <f t="shared" si="167"/>
        <v>0.57592275310484098</v>
      </c>
      <c r="AX96" s="177">
        <f t="shared" si="143"/>
        <v>15.230526315789477</v>
      </c>
      <c r="AY96" s="177">
        <f t="shared" si="144"/>
        <v>1.1214906224738941</v>
      </c>
      <c r="AZ96" s="177">
        <f t="shared" si="168"/>
        <v>13.580609601703568</v>
      </c>
      <c r="BA96" s="469">
        <f t="shared" si="145"/>
        <v>17.027319442995115</v>
      </c>
      <c r="BB96" s="469">
        <f t="shared" si="146"/>
        <v>36.831771407407395</v>
      </c>
      <c r="BC96" s="5">
        <f t="shared" si="147"/>
        <v>1.5475099535823347</v>
      </c>
      <c r="BD96" s="469">
        <f t="shared" si="148"/>
        <v>118.93693072920142</v>
      </c>
      <c r="BE96" s="5"/>
      <c r="BF96" s="177">
        <f t="shared" si="169"/>
        <v>1.5449374552670831</v>
      </c>
      <c r="BG96" s="177">
        <f t="shared" si="149"/>
        <v>1.9885775352067983</v>
      </c>
      <c r="BH96" s="177"/>
      <c r="BI96" s="542">
        <f t="shared" si="150"/>
        <v>0.26255149147558438</v>
      </c>
      <c r="BJ96" s="542">
        <f t="shared" si="151"/>
        <v>0.23972784597989008</v>
      </c>
      <c r="BK96" s="542">
        <f t="shared" si="152"/>
        <v>1.7499999999999998E-2</v>
      </c>
      <c r="BL96" s="542">
        <f t="shared" si="153"/>
        <v>0.11885914687500002</v>
      </c>
      <c r="BM96">
        <f t="shared" si="154"/>
        <v>4.3499999999999997E-3</v>
      </c>
      <c r="BN96" s="469">
        <f t="shared" si="170"/>
        <v>642.98848433047442</v>
      </c>
      <c r="BO96" s="542">
        <f t="shared" si="155"/>
        <v>0.81900000000000006</v>
      </c>
      <c r="BP96" s="542"/>
      <c r="BR96" s="469">
        <f t="shared" si="171"/>
        <v>819.00000000000011</v>
      </c>
      <c r="BS96" s="542">
        <f t="shared" si="156"/>
        <v>0</v>
      </c>
      <c r="BT96" s="542">
        <f t="shared" si="157"/>
        <v>0</v>
      </c>
      <c r="BU96" s="542">
        <f t="shared" si="158"/>
        <v>0</v>
      </c>
      <c r="BV96" s="542">
        <f t="shared" si="159"/>
        <v>0</v>
      </c>
      <c r="BW96" s="469">
        <f t="shared" si="172"/>
        <v>0</v>
      </c>
      <c r="BX96" s="177">
        <f t="shared" si="173"/>
        <v>1.4619884843304745</v>
      </c>
      <c r="BY96" s="5">
        <f t="shared" si="174"/>
        <v>13.65</v>
      </c>
      <c r="BZ96" s="177">
        <f t="shared" si="175"/>
        <v>0.90325637914253298</v>
      </c>
      <c r="CA96" s="5">
        <f t="shared" si="176"/>
        <v>90.325637914253292</v>
      </c>
      <c r="CD96" s="576">
        <f t="shared" si="160"/>
        <v>-50</v>
      </c>
      <c r="CE96">
        <f t="shared" si="161"/>
        <v>-50</v>
      </c>
    </row>
    <row r="97" spans="5:83" x14ac:dyDescent="0.25">
      <c r="E97" s="174">
        <v>92</v>
      </c>
      <c r="F97" s="221">
        <f t="shared" si="162"/>
        <v>0.92</v>
      </c>
      <c r="G97" s="221"/>
      <c r="H97" s="221">
        <f t="shared" si="113"/>
        <v>13.8</v>
      </c>
      <c r="I97" s="555">
        <f t="shared" si="114"/>
        <v>15</v>
      </c>
      <c r="J97" s="176">
        <f t="shared" si="115"/>
        <v>23.85</v>
      </c>
      <c r="K97" s="451">
        <f t="shared" si="116"/>
        <v>38.85</v>
      </c>
      <c r="L97" s="451"/>
      <c r="M97" s="221">
        <f t="shared" si="117"/>
        <v>0.61389961389961389</v>
      </c>
      <c r="N97" s="176">
        <f t="shared" si="118"/>
        <v>17.933542471042468</v>
      </c>
      <c r="O97" s="176">
        <f t="shared" si="163"/>
        <v>13.8</v>
      </c>
      <c r="P97" s="221">
        <f t="shared" si="119"/>
        <v>1.195569498069498</v>
      </c>
      <c r="Q97" s="221">
        <f t="shared" si="120"/>
        <v>15</v>
      </c>
      <c r="R97" s="221">
        <f t="shared" si="121"/>
        <v>1.2584942084942083</v>
      </c>
      <c r="S97" s="176">
        <f t="shared" si="122"/>
        <v>22.143286676252529</v>
      </c>
      <c r="T97" s="333">
        <f t="shared" si="123"/>
        <v>15</v>
      </c>
      <c r="U97" s="333">
        <f t="shared" si="124"/>
        <v>3.1549817941079117</v>
      </c>
      <c r="V97" s="221">
        <f t="shared" si="125"/>
        <v>1.4723248372503588</v>
      </c>
      <c r="W97" s="221">
        <f t="shared" si="126"/>
        <v>0.92599046367947091</v>
      </c>
      <c r="X97" s="201">
        <f t="shared" si="127"/>
        <v>350</v>
      </c>
      <c r="Y97" s="451">
        <f t="shared" si="164"/>
        <v>350</v>
      </c>
      <c r="AA97" s="221">
        <f t="shared" si="128"/>
        <v>3.7585690646915135</v>
      </c>
      <c r="AB97" s="177">
        <f t="shared" si="129"/>
        <v>1.1031439602868174</v>
      </c>
      <c r="AC97" s="177">
        <f t="shared" si="130"/>
        <v>1.0883887252967701</v>
      </c>
      <c r="AD97" s="177"/>
      <c r="AE97" s="177">
        <f t="shared" si="131"/>
        <v>0.24067085953878403</v>
      </c>
      <c r="AF97" s="559">
        <f t="shared" si="132"/>
        <v>6215.687940851536</v>
      </c>
      <c r="AG97" s="542">
        <f t="shared" si="133"/>
        <v>5.1804402515723262E-2</v>
      </c>
      <c r="AI97" s="177">
        <f t="shared" si="134"/>
        <v>3.5453786806572394</v>
      </c>
      <c r="AJ97" s="177">
        <f t="shared" si="135"/>
        <v>3.5453786806572394</v>
      </c>
      <c r="AK97" s="177">
        <f t="shared" si="136"/>
        <v>3.2187990227090664</v>
      </c>
      <c r="AM97" s="559">
        <f t="shared" si="137"/>
        <v>920</v>
      </c>
      <c r="AN97" s="469">
        <f t="shared" si="138"/>
        <v>350</v>
      </c>
      <c r="AP97">
        <f t="shared" si="139"/>
        <v>920</v>
      </c>
      <c r="AQ97" s="469">
        <f t="shared" si="140"/>
        <v>350</v>
      </c>
      <c r="AS97" s="5">
        <f t="shared" si="165"/>
        <v>2.8571428571428572</v>
      </c>
      <c r="AT97" s="5">
        <f t="shared" si="141"/>
        <v>1.6545100509733783</v>
      </c>
      <c r="AU97" s="5">
        <f t="shared" si="166"/>
        <v>1.2026328061694789</v>
      </c>
      <c r="AV97" s="5">
        <f t="shared" si="142"/>
        <v>1.0405723591027536</v>
      </c>
      <c r="AW97" s="177">
        <f t="shared" si="167"/>
        <v>0.57907851784068243</v>
      </c>
      <c r="AX97" s="177">
        <f t="shared" si="143"/>
        <v>15.397894736842114</v>
      </c>
      <c r="AY97" s="177">
        <f t="shared" si="144"/>
        <v>1.1192445368087183</v>
      </c>
      <c r="AZ97" s="177">
        <f t="shared" si="168"/>
        <v>13.757399951887058</v>
      </c>
      <c r="BA97" s="469">
        <f t="shared" si="145"/>
        <v>17.027319442995115</v>
      </c>
      <c r="BB97" s="469">
        <f t="shared" si="146"/>
        <v>37.615378962962957</v>
      </c>
      <c r="BC97" s="5">
        <f t="shared" si="147"/>
        <v>1.5528732374398884</v>
      </c>
      <c r="BD97" s="469">
        <f t="shared" si="148"/>
        <v>119.37075596588639</v>
      </c>
      <c r="BE97" s="5"/>
      <c r="BF97" s="177">
        <f t="shared" si="169"/>
        <v>1.5576530454787041</v>
      </c>
      <c r="BG97" s="177">
        <f t="shared" si="149"/>
        <v>1.9920205117527572</v>
      </c>
      <c r="BH97" s="177"/>
      <c r="BI97" s="542">
        <f t="shared" si="150"/>
        <v>0.26689113110979901</v>
      </c>
      <c r="BJ97" s="542">
        <f t="shared" si="151"/>
        <v>0.24104143305118408</v>
      </c>
      <c r="BK97" s="542">
        <f t="shared" si="152"/>
        <v>1.7499999999999998E-2</v>
      </c>
      <c r="BL97" s="542">
        <f t="shared" si="153"/>
        <v>0.11885914687500002</v>
      </c>
      <c r="BM97">
        <f t="shared" si="154"/>
        <v>4.3499999999999997E-3</v>
      </c>
      <c r="BN97" s="469">
        <f t="shared" si="170"/>
        <v>648.64171103598301</v>
      </c>
      <c r="BO97" s="542">
        <f t="shared" si="155"/>
        <v>0.82800000000000007</v>
      </c>
      <c r="BP97" s="542"/>
      <c r="BR97" s="469">
        <f t="shared" si="171"/>
        <v>828.00000000000011</v>
      </c>
      <c r="BS97" s="542">
        <f t="shared" si="156"/>
        <v>0</v>
      </c>
      <c r="BT97" s="542">
        <f t="shared" si="157"/>
        <v>0</v>
      </c>
      <c r="BU97" s="542">
        <f t="shared" si="158"/>
        <v>0</v>
      </c>
      <c r="BV97" s="542">
        <f t="shared" si="159"/>
        <v>0</v>
      </c>
      <c r="BW97" s="469">
        <f t="shared" si="172"/>
        <v>0</v>
      </c>
      <c r="BX97" s="177">
        <f t="shared" si="173"/>
        <v>1.4766417110359831</v>
      </c>
      <c r="BY97" s="5">
        <f t="shared" si="174"/>
        <v>13.8</v>
      </c>
      <c r="BZ97" s="177">
        <f t="shared" si="175"/>
        <v>0.90333990028912936</v>
      </c>
      <c r="CA97" s="5">
        <f t="shared" si="176"/>
        <v>90.333990028912936</v>
      </c>
      <c r="CD97" s="576">
        <f t="shared" si="160"/>
        <v>-50</v>
      </c>
      <c r="CE97">
        <f t="shared" si="161"/>
        <v>-50</v>
      </c>
    </row>
    <row r="98" spans="5:83" x14ac:dyDescent="0.25">
      <c r="E98" s="174">
        <v>93</v>
      </c>
      <c r="F98" s="221">
        <f t="shared" si="162"/>
        <v>0.93</v>
      </c>
      <c r="G98" s="221"/>
      <c r="H98" s="221">
        <f t="shared" si="113"/>
        <v>13.950000000000001</v>
      </c>
      <c r="I98" s="555">
        <f t="shared" si="114"/>
        <v>15</v>
      </c>
      <c r="J98" s="176">
        <f t="shared" si="115"/>
        <v>23.85</v>
      </c>
      <c r="K98" s="451">
        <f t="shared" si="116"/>
        <v>38.85</v>
      </c>
      <c r="L98" s="451"/>
      <c r="M98" s="221">
        <f t="shared" si="117"/>
        <v>0.61389961389961389</v>
      </c>
      <c r="N98" s="176">
        <f t="shared" si="118"/>
        <v>17.933542471042468</v>
      </c>
      <c r="O98" s="176">
        <f t="shared" si="163"/>
        <v>13.950000000000001</v>
      </c>
      <c r="P98" s="221">
        <f t="shared" si="119"/>
        <v>1.195569498069498</v>
      </c>
      <c r="Q98" s="221">
        <f t="shared" si="120"/>
        <v>15</v>
      </c>
      <c r="R98" s="221">
        <f t="shared" si="121"/>
        <v>1.2584942084942083</v>
      </c>
      <c r="S98" s="176">
        <f t="shared" si="122"/>
        <v>21.807632824226086</v>
      </c>
      <c r="T98" s="333">
        <f t="shared" si="123"/>
        <v>15</v>
      </c>
      <c r="U98" s="333">
        <f t="shared" si="124"/>
        <v>3.1892750744786498</v>
      </c>
      <c r="V98" s="221">
        <f t="shared" si="125"/>
        <v>1.4883283680900365</v>
      </c>
      <c r="W98" s="221">
        <f t="shared" si="126"/>
        <v>0.93605557741511736</v>
      </c>
      <c r="X98" s="201">
        <f t="shared" si="127"/>
        <v>350</v>
      </c>
      <c r="Y98" s="451">
        <f t="shared" si="164"/>
        <v>350</v>
      </c>
      <c r="AA98" s="221">
        <f t="shared" si="128"/>
        <v>3.7585690646915135</v>
      </c>
      <c r="AB98" s="177">
        <f t="shared" si="129"/>
        <v>1.1031439602868174</v>
      </c>
      <c r="AC98" s="177">
        <f t="shared" si="130"/>
        <v>1.0883887252967701</v>
      </c>
      <c r="AD98" s="177"/>
      <c r="AE98" s="177">
        <f t="shared" si="131"/>
        <v>0.24067085953878403</v>
      </c>
      <c r="AF98" s="559">
        <f t="shared" si="132"/>
        <v>6283.2497662955739</v>
      </c>
      <c r="AG98" s="542">
        <f t="shared" si="133"/>
        <v>5.1804402515723262E-2</v>
      </c>
      <c r="AI98" s="177">
        <f t="shared" si="134"/>
        <v>3.5645949660165894</v>
      </c>
      <c r="AJ98" s="177">
        <f t="shared" si="135"/>
        <v>3.5645949660165894</v>
      </c>
      <c r="AK98" s="177">
        <f t="shared" si="136"/>
        <v>3.2330333081604365</v>
      </c>
      <c r="AM98" s="559">
        <f t="shared" si="137"/>
        <v>930</v>
      </c>
      <c r="AN98" s="469">
        <f t="shared" si="138"/>
        <v>350</v>
      </c>
      <c r="AP98">
        <f t="shared" si="139"/>
        <v>930</v>
      </c>
      <c r="AQ98" s="469">
        <f t="shared" si="140"/>
        <v>350</v>
      </c>
      <c r="AS98" s="5">
        <f t="shared" si="165"/>
        <v>2.8571428571428572</v>
      </c>
      <c r="AT98" s="5">
        <f t="shared" si="141"/>
        <v>1.6634776508077418</v>
      </c>
      <c r="AU98" s="5">
        <f t="shared" si="166"/>
        <v>1.1936652063351154</v>
      </c>
      <c r="AV98" s="5">
        <f t="shared" si="142"/>
        <v>1.0462123589985797</v>
      </c>
      <c r="AW98" s="177">
        <f t="shared" si="167"/>
        <v>0.58221717778270965</v>
      </c>
      <c r="AX98" s="177">
        <f t="shared" si="143"/>
        <v>15.565263157894742</v>
      </c>
      <c r="AY98" s="177">
        <f t="shared" si="144"/>
        <v>1.1169199087229678</v>
      </c>
      <c r="AZ98" s="177">
        <f t="shared" si="168"/>
        <v>13.93588120001488</v>
      </c>
      <c r="BA98" s="469">
        <f t="shared" si="145"/>
        <v>17.027319442995115</v>
      </c>
      <c r="BB98" s="469">
        <f t="shared" si="146"/>
        <v>38.407222666666669</v>
      </c>
      <c r="BC98" s="5">
        <f t="shared" si="147"/>
        <v>1.5580472166900456</v>
      </c>
      <c r="BD98" s="469">
        <f t="shared" si="148"/>
        <v>119.79038335701655</v>
      </c>
      <c r="BE98" s="5"/>
      <c r="BF98" s="177">
        <f t="shared" si="169"/>
        <v>1.570334128597479</v>
      </c>
      <c r="BG98" s="177">
        <f t="shared" si="149"/>
        <v>1.995336333573265</v>
      </c>
      <c r="BH98" s="177"/>
      <c r="BI98" s="542">
        <f t="shared" si="150"/>
        <v>0.27125442029818042</v>
      </c>
      <c r="BJ98" s="542">
        <f t="shared" si="151"/>
        <v>0.24234790025205288</v>
      </c>
      <c r="BK98" s="542">
        <f t="shared" si="152"/>
        <v>1.7499999999999998E-2</v>
      </c>
      <c r="BL98" s="542">
        <f t="shared" si="153"/>
        <v>0.11885914687500002</v>
      </c>
      <c r="BM98">
        <f t="shared" si="154"/>
        <v>4.3499999999999997E-3</v>
      </c>
      <c r="BN98" s="469">
        <f t="shared" si="170"/>
        <v>654.31146742523322</v>
      </c>
      <c r="BO98" s="542">
        <f t="shared" si="155"/>
        <v>0.83700000000000008</v>
      </c>
      <c r="BP98" s="542"/>
      <c r="BR98" s="469">
        <f t="shared" si="171"/>
        <v>837.00000000000011</v>
      </c>
      <c r="BS98" s="542">
        <f t="shared" si="156"/>
        <v>0</v>
      </c>
      <c r="BT98" s="542">
        <f t="shared" si="157"/>
        <v>0</v>
      </c>
      <c r="BU98" s="542">
        <f t="shared" si="158"/>
        <v>0</v>
      </c>
      <c r="BV98" s="542">
        <f t="shared" si="159"/>
        <v>0</v>
      </c>
      <c r="BW98" s="469">
        <f t="shared" si="172"/>
        <v>0</v>
      </c>
      <c r="BX98" s="177">
        <f t="shared" si="173"/>
        <v>1.4913114674252332</v>
      </c>
      <c r="BY98" s="5">
        <f t="shared" si="174"/>
        <v>13.950000000000001</v>
      </c>
      <c r="BZ98" s="177">
        <f t="shared" si="175"/>
        <v>0.90342067313574492</v>
      </c>
      <c r="CA98" s="5">
        <f t="shared" si="176"/>
        <v>90.342067313574489</v>
      </c>
      <c r="CD98" s="576">
        <f t="shared" si="160"/>
        <v>-50</v>
      </c>
      <c r="CE98">
        <f t="shared" si="161"/>
        <v>-50</v>
      </c>
    </row>
    <row r="99" spans="5:83" x14ac:dyDescent="0.25">
      <c r="E99" s="174">
        <v>94</v>
      </c>
      <c r="F99" s="221">
        <f t="shared" si="162"/>
        <v>0.94</v>
      </c>
      <c r="G99" s="221"/>
      <c r="H99" s="221">
        <f t="shared" si="113"/>
        <v>14.1</v>
      </c>
      <c r="I99" s="555">
        <f t="shared" si="114"/>
        <v>15</v>
      </c>
      <c r="J99" s="176">
        <f t="shared" si="115"/>
        <v>23.85</v>
      </c>
      <c r="K99" s="451">
        <f t="shared" si="116"/>
        <v>38.85</v>
      </c>
      <c r="L99" s="451"/>
      <c r="M99" s="221">
        <f t="shared" si="117"/>
        <v>0.61389961389961389</v>
      </c>
      <c r="N99" s="176">
        <f t="shared" si="118"/>
        <v>17.933542471042468</v>
      </c>
      <c r="O99" s="176">
        <f t="shared" si="163"/>
        <v>14.1</v>
      </c>
      <c r="P99" s="221">
        <f t="shared" si="119"/>
        <v>1.195569498069498</v>
      </c>
      <c r="Q99" s="221">
        <f t="shared" si="120"/>
        <v>15</v>
      </c>
      <c r="R99" s="221">
        <f t="shared" si="121"/>
        <v>1.2584942084942083</v>
      </c>
      <c r="S99" s="176">
        <f t="shared" si="122"/>
        <v>21.479285274950758</v>
      </c>
      <c r="T99" s="333">
        <f t="shared" si="123"/>
        <v>15</v>
      </c>
      <c r="U99" s="333">
        <f t="shared" si="124"/>
        <v>3.2235683548493879</v>
      </c>
      <c r="V99" s="221">
        <f t="shared" si="125"/>
        <v>1.5043318989297141</v>
      </c>
      <c r="W99" s="221">
        <f t="shared" si="126"/>
        <v>0.94612069115076358</v>
      </c>
      <c r="X99" s="201">
        <f t="shared" si="127"/>
        <v>350</v>
      </c>
      <c r="Y99" s="451">
        <f t="shared" si="164"/>
        <v>350</v>
      </c>
      <c r="AA99" s="221">
        <f t="shared" si="128"/>
        <v>3.7585690646915135</v>
      </c>
      <c r="AB99" s="177">
        <f t="shared" si="129"/>
        <v>1.1031439602868174</v>
      </c>
      <c r="AC99" s="177">
        <f t="shared" si="130"/>
        <v>1.0883887252967701</v>
      </c>
      <c r="AD99" s="177"/>
      <c r="AE99" s="177">
        <f t="shared" si="131"/>
        <v>0.24067085953878403</v>
      </c>
      <c r="AF99" s="559">
        <f t="shared" si="132"/>
        <v>6350.8115917396117</v>
      </c>
      <c r="AG99" s="542">
        <f t="shared" si="133"/>
        <v>5.1804402515723262E-2</v>
      </c>
      <c r="AI99" s="177">
        <f t="shared" si="134"/>
        <v>3.58370821276548</v>
      </c>
      <c r="AJ99" s="177">
        <f t="shared" si="135"/>
        <v>3.58370821276548</v>
      </c>
      <c r="AK99" s="177">
        <f t="shared" si="136"/>
        <v>3.2471912687151701</v>
      </c>
      <c r="AM99" s="559">
        <f t="shared" si="137"/>
        <v>940</v>
      </c>
      <c r="AN99" s="469">
        <f t="shared" si="138"/>
        <v>350</v>
      </c>
      <c r="AP99">
        <f t="shared" si="139"/>
        <v>940</v>
      </c>
      <c r="AQ99" s="469">
        <f t="shared" si="140"/>
        <v>350</v>
      </c>
      <c r="AS99" s="5">
        <f t="shared" si="165"/>
        <v>2.8571428571428572</v>
      </c>
      <c r="AT99" s="5">
        <f t="shared" si="141"/>
        <v>1.6723971659572239</v>
      </c>
      <c r="AU99" s="5">
        <f t="shared" si="166"/>
        <v>1.1847456911856333</v>
      </c>
      <c r="AV99" s="5">
        <f t="shared" si="142"/>
        <v>1.0518221169542288</v>
      </c>
      <c r="AW99" s="177">
        <f t="shared" si="167"/>
        <v>0.58533900808502837</v>
      </c>
      <c r="AX99" s="177">
        <f t="shared" si="143"/>
        <v>15.732631578947373</v>
      </c>
      <c r="AY99" s="177">
        <f t="shared" si="144"/>
        <v>1.1145180016793732</v>
      </c>
      <c r="AZ99" s="177">
        <f t="shared" si="168"/>
        <v>14.116085657872908</v>
      </c>
      <c r="BA99" s="469">
        <f t="shared" si="145"/>
        <v>17.027319442995115</v>
      </c>
      <c r="BB99" s="469">
        <f t="shared" si="146"/>
        <v>39.207302518518517</v>
      </c>
      <c r="BC99" s="5">
        <f t="shared" si="147"/>
        <v>1.5630329118799935</v>
      </c>
      <c r="BD99" s="469">
        <f t="shared" si="148"/>
        <v>120.19588944363109</v>
      </c>
      <c r="BE99" s="5"/>
      <c r="BF99" s="177">
        <f t="shared" si="169"/>
        <v>1.582981167823508</v>
      </c>
      <c r="BG99" s="177">
        <f t="shared" si="149"/>
        <v>1.9985262860151078</v>
      </c>
      <c r="BH99" s="177"/>
      <c r="BI99" s="542">
        <f t="shared" si="150"/>
        <v>0.27564123154522646</v>
      </c>
      <c r="BJ99" s="542">
        <f t="shared" si="151"/>
        <v>0.24364736211539306</v>
      </c>
      <c r="BK99" s="542">
        <f t="shared" si="152"/>
        <v>1.7499999999999998E-2</v>
      </c>
      <c r="BL99" s="542">
        <f t="shared" si="153"/>
        <v>0.11885914687500002</v>
      </c>
      <c r="BM99">
        <f t="shared" si="154"/>
        <v>4.3499999999999997E-3</v>
      </c>
      <c r="BN99" s="469">
        <f t="shared" si="170"/>
        <v>659.99774053561941</v>
      </c>
      <c r="BO99" s="542">
        <f t="shared" si="155"/>
        <v>0.84599999999999997</v>
      </c>
      <c r="BP99" s="542"/>
      <c r="BR99" s="469">
        <f t="shared" si="171"/>
        <v>846</v>
      </c>
      <c r="BS99" s="542">
        <f t="shared" si="156"/>
        <v>0</v>
      </c>
      <c r="BT99" s="542">
        <f t="shared" si="157"/>
        <v>0</v>
      </c>
      <c r="BU99" s="542">
        <f t="shared" si="158"/>
        <v>0</v>
      </c>
      <c r="BV99" s="542">
        <f t="shared" si="159"/>
        <v>0</v>
      </c>
      <c r="BW99" s="469">
        <f t="shared" si="172"/>
        <v>0</v>
      </c>
      <c r="BX99" s="177">
        <f t="shared" si="173"/>
        <v>1.5059977405356193</v>
      </c>
      <c r="BY99" s="5">
        <f t="shared" si="174"/>
        <v>14.1</v>
      </c>
      <c r="BZ99" s="177">
        <f t="shared" si="175"/>
        <v>0.90349878517386406</v>
      </c>
      <c r="CA99" s="5">
        <f t="shared" si="176"/>
        <v>90.349878517386401</v>
      </c>
      <c r="CD99" s="576">
        <f t="shared" si="160"/>
        <v>-50</v>
      </c>
      <c r="CE99">
        <f t="shared" si="161"/>
        <v>-50</v>
      </c>
    </row>
    <row r="100" spans="5:83" x14ac:dyDescent="0.25">
      <c r="E100" s="174">
        <v>95</v>
      </c>
      <c r="F100" s="221">
        <f t="shared" si="162"/>
        <v>0.95</v>
      </c>
      <c r="G100" s="221"/>
      <c r="H100" s="221">
        <f t="shared" si="113"/>
        <v>14.25</v>
      </c>
      <c r="I100" s="555">
        <f t="shared" si="114"/>
        <v>15</v>
      </c>
      <c r="J100" s="176">
        <f t="shared" si="115"/>
        <v>23.85</v>
      </c>
      <c r="K100" s="451">
        <f t="shared" si="116"/>
        <v>38.85</v>
      </c>
      <c r="L100" s="451"/>
      <c r="M100" s="221">
        <f t="shared" si="117"/>
        <v>0.61389961389961389</v>
      </c>
      <c r="N100" s="176">
        <f t="shared" si="118"/>
        <v>17.933542471042468</v>
      </c>
      <c r="O100" s="176">
        <f t="shared" si="163"/>
        <v>14.25</v>
      </c>
      <c r="P100" s="221">
        <f t="shared" si="119"/>
        <v>1.195569498069498</v>
      </c>
      <c r="Q100" s="221">
        <f t="shared" si="120"/>
        <v>15</v>
      </c>
      <c r="R100" s="221">
        <f t="shared" si="121"/>
        <v>1.2584942084942083</v>
      </c>
      <c r="S100" s="176">
        <f t="shared" si="122"/>
        <v>21.158014955923452</v>
      </c>
      <c r="T100" s="333">
        <f t="shared" si="123"/>
        <v>15</v>
      </c>
      <c r="U100" s="333">
        <f t="shared" si="124"/>
        <v>3.257861635220126</v>
      </c>
      <c r="V100" s="221">
        <f t="shared" si="125"/>
        <v>1.5203354297693921</v>
      </c>
      <c r="W100" s="221">
        <f t="shared" si="126"/>
        <v>0.95618580488641003</v>
      </c>
      <c r="X100" s="201">
        <f t="shared" si="127"/>
        <v>350</v>
      </c>
      <c r="Y100" s="451">
        <f t="shared" si="164"/>
        <v>350</v>
      </c>
      <c r="AA100" s="221">
        <f t="shared" si="128"/>
        <v>3.7585690646915135</v>
      </c>
      <c r="AB100" s="177">
        <f t="shared" si="129"/>
        <v>1.1031439602868174</v>
      </c>
      <c r="AC100" s="177">
        <f t="shared" si="130"/>
        <v>1.0883887252967701</v>
      </c>
      <c r="AD100" s="177"/>
      <c r="AE100" s="177">
        <f t="shared" si="131"/>
        <v>0.24067085953878403</v>
      </c>
      <c r="AF100" s="559">
        <f t="shared" si="132"/>
        <v>6418.3734171836495</v>
      </c>
      <c r="AG100" s="542">
        <f t="shared" si="133"/>
        <v>5.1804402515723262E-2</v>
      </c>
      <c r="AI100" s="177">
        <f t="shared" si="134"/>
        <v>3.602720060833855</v>
      </c>
      <c r="AJ100" s="177">
        <f t="shared" si="135"/>
        <v>3.602720060833855</v>
      </c>
      <c r="AK100" s="177">
        <f t="shared" si="136"/>
        <v>3.2612741191361891</v>
      </c>
      <c r="AM100" s="559">
        <f t="shared" si="137"/>
        <v>950</v>
      </c>
      <c r="AN100" s="469">
        <f t="shared" si="138"/>
        <v>350</v>
      </c>
      <c r="AP100">
        <f t="shared" si="139"/>
        <v>950</v>
      </c>
      <c r="AQ100" s="469">
        <f t="shared" si="140"/>
        <v>350</v>
      </c>
      <c r="AS100" s="5">
        <f t="shared" si="165"/>
        <v>2.8571428571428572</v>
      </c>
      <c r="AT100" s="5">
        <f t="shared" si="141"/>
        <v>1.6812693617224657</v>
      </c>
      <c r="AU100" s="5">
        <f t="shared" si="166"/>
        <v>1.1758734954203915</v>
      </c>
      <c r="AV100" s="5">
        <f t="shared" si="142"/>
        <v>1.057402114290859</v>
      </c>
      <c r="AW100" s="177">
        <f t="shared" si="167"/>
        <v>0.58844427660286291</v>
      </c>
      <c r="AX100" s="177">
        <f t="shared" si="143"/>
        <v>15.9</v>
      </c>
      <c r="AY100" s="177">
        <f t="shared" si="144"/>
        <v>1.1120400456253912</v>
      </c>
      <c r="AZ100" s="177">
        <f t="shared" si="168"/>
        <v>14.298046246219604</v>
      </c>
      <c r="BA100" s="469">
        <f t="shared" si="145"/>
        <v>17.027319442995115</v>
      </c>
      <c r="BB100" s="469">
        <f t="shared" si="146"/>
        <v>40.015618518518515</v>
      </c>
      <c r="BC100" s="5">
        <f t="shared" si="147"/>
        <v>1.5678313272271887</v>
      </c>
      <c r="BD100" s="469">
        <f t="shared" si="148"/>
        <v>120.58734954203916</v>
      </c>
      <c r="BE100" s="5"/>
      <c r="BF100" s="177">
        <f t="shared" si="169"/>
        <v>1.595594615283779</v>
      </c>
      <c r="BG100" s="177">
        <f t="shared" si="149"/>
        <v>2.0015916118991885</v>
      </c>
      <c r="BH100" s="177"/>
      <c r="BI100" s="542">
        <f t="shared" si="150"/>
        <v>0.28005143939548499</v>
      </c>
      <c r="BJ100" s="542">
        <f t="shared" si="151"/>
        <v>0.24493993013594173</v>
      </c>
      <c r="BK100" s="542">
        <f t="shared" si="152"/>
        <v>1.7499999999999998E-2</v>
      </c>
      <c r="BL100" s="542">
        <f t="shared" si="153"/>
        <v>0.11885914687500002</v>
      </c>
      <c r="BM100">
        <f t="shared" si="154"/>
        <v>4.3499999999999997E-3</v>
      </c>
      <c r="BN100" s="469">
        <f t="shared" si="170"/>
        <v>665.70051640642669</v>
      </c>
      <c r="BO100" s="542">
        <f t="shared" si="155"/>
        <v>0.85499999999999998</v>
      </c>
      <c r="BP100" s="542"/>
      <c r="BR100" s="469">
        <f t="shared" si="171"/>
        <v>855</v>
      </c>
      <c r="BS100" s="542">
        <f t="shared" si="156"/>
        <v>0</v>
      </c>
      <c r="BT100" s="542">
        <f t="shared" si="157"/>
        <v>0</v>
      </c>
      <c r="BU100" s="542">
        <f t="shared" si="158"/>
        <v>0</v>
      </c>
      <c r="BV100" s="542">
        <f t="shared" si="159"/>
        <v>0</v>
      </c>
      <c r="BW100" s="469">
        <f t="shared" si="172"/>
        <v>0</v>
      </c>
      <c r="BX100" s="177">
        <f t="shared" si="173"/>
        <v>1.5207005164064267</v>
      </c>
      <c r="BY100" s="5">
        <f t="shared" si="174"/>
        <v>14.25</v>
      </c>
      <c r="BZ100" s="177">
        <f t="shared" si="175"/>
        <v>0.90357432031478713</v>
      </c>
      <c r="CA100" s="5">
        <f t="shared" si="176"/>
        <v>90.357432031478709</v>
      </c>
      <c r="CD100" s="576">
        <f t="shared" si="160"/>
        <v>-50</v>
      </c>
      <c r="CE100">
        <f t="shared" si="161"/>
        <v>-50</v>
      </c>
    </row>
    <row r="101" spans="5:83" x14ac:dyDescent="0.25">
      <c r="E101" s="174">
        <v>96</v>
      </c>
      <c r="F101" s="221">
        <f t="shared" si="162"/>
        <v>0.96</v>
      </c>
      <c r="G101" s="221"/>
      <c r="H101" s="221">
        <f t="shared" ref="H101:H105" si="177">F101*Vout</f>
        <v>14.399999999999999</v>
      </c>
      <c r="I101" s="555">
        <f t="shared" si="114"/>
        <v>15</v>
      </c>
      <c r="J101" s="176">
        <f t="shared" si="115"/>
        <v>23.85</v>
      </c>
      <c r="K101" s="451">
        <f t="shared" si="116"/>
        <v>38.85</v>
      </c>
      <c r="L101" s="451"/>
      <c r="M101" s="221">
        <f t="shared" si="117"/>
        <v>0.61389961389961389</v>
      </c>
      <c r="N101" s="176">
        <f t="shared" si="118"/>
        <v>17.933542471042468</v>
      </c>
      <c r="O101" s="176">
        <f t="shared" si="163"/>
        <v>14.399999999999999</v>
      </c>
      <c r="P101" s="221">
        <f t="shared" ref="P101:P105" si="178">N101/Vout</f>
        <v>1.195569498069498</v>
      </c>
      <c r="Q101" s="221">
        <f t="shared" si="120"/>
        <v>15</v>
      </c>
      <c r="R101" s="221">
        <f t="shared" ref="R101:R105" si="179">Isw_max/2*I101*Nps*(Q101+Vfwd1)/Q101/(I101+Nps*(Q101+Vfwd1))</f>
        <v>1.2584942084942083</v>
      </c>
      <c r="S101" s="176">
        <f t="shared" si="122"/>
        <v>20.843602354280264</v>
      </c>
      <c r="T101" s="333">
        <f t="shared" ref="T101:T105" si="180">MIN(Vout, S101)</f>
        <v>15</v>
      </c>
      <c r="U101" s="333">
        <f t="shared" si="124"/>
        <v>3.2921549155908636</v>
      </c>
      <c r="V101" s="221">
        <f t="shared" ref="V101:V105" si="181">L*U101/I101*1000000</f>
        <v>1.5363389606090698</v>
      </c>
      <c r="W101" s="221">
        <f t="shared" si="126"/>
        <v>0.96625091862205637</v>
      </c>
      <c r="X101" s="201">
        <f t="shared" si="127"/>
        <v>350</v>
      </c>
      <c r="Y101" s="451">
        <f t="shared" si="164"/>
        <v>350</v>
      </c>
      <c r="AA101" s="221">
        <f t="shared" si="128"/>
        <v>3.7585690646915135</v>
      </c>
      <c r="AB101" s="177">
        <f t="shared" ref="AB101:AB105" si="182">L*AA101/J101*1000000</f>
        <v>1.1031439602868174</v>
      </c>
      <c r="AC101" s="177">
        <f t="shared" ref="AC101:AC105" si="183">0.5*AB101*AA101*Nps*X101/1000</f>
        <v>1.0883887252967701</v>
      </c>
      <c r="AD101" s="177"/>
      <c r="AE101" s="177">
        <f t="shared" si="131"/>
        <v>0.24067085953878403</v>
      </c>
      <c r="AF101" s="559">
        <f t="shared" ref="AF101:AF105" si="184">MAX(12, F101/(0.5*AE101/1000000*Isw_min*Nps)/1000)</f>
        <v>6485.9352426276882</v>
      </c>
      <c r="AG101" s="542">
        <f t="shared" si="133"/>
        <v>5.1804402515723262E-2</v>
      </c>
      <c r="AI101" s="177">
        <f t="shared" si="134"/>
        <v>3.6216321071067727</v>
      </c>
      <c r="AJ101" s="177">
        <f t="shared" ref="AJ101:AJ105" si="185">MAX(IF(F101&gt;AC101,U101,AI101),Isw_min)</f>
        <v>3.6216321071067727</v>
      </c>
      <c r="AK101" s="177">
        <f t="shared" ref="AK101:AK105" si="186">IF(F101&gt;AG101, (AJ101-Isw_min)/1.08*0.8+1.2, AF101*0.2/350+1)</f>
        <v>3.2752830423013126</v>
      </c>
      <c r="AM101" s="559">
        <f t="shared" si="137"/>
        <v>960</v>
      </c>
      <c r="AN101" s="469">
        <f t="shared" si="138"/>
        <v>350</v>
      </c>
      <c r="AP101">
        <f t="shared" si="139"/>
        <v>960</v>
      </c>
      <c r="AQ101" s="469">
        <f t="shared" si="140"/>
        <v>350</v>
      </c>
      <c r="AS101" s="5">
        <f t="shared" si="165"/>
        <v>2.8571428571428572</v>
      </c>
      <c r="AT101" s="5">
        <f t="shared" si="141"/>
        <v>1.690094983316494</v>
      </c>
      <c r="AU101" s="5">
        <f t="shared" si="166"/>
        <v>1.1670478738263632</v>
      </c>
      <c r="AV101" s="5">
        <f t="shared" si="142"/>
        <v>1.0629528196959082</v>
      </c>
      <c r="AW101" s="177">
        <f t="shared" si="167"/>
        <v>0.59153324416077291</v>
      </c>
      <c r="AX101" s="177">
        <f t="shared" si="143"/>
        <v>16.067368421052635</v>
      </c>
      <c r="AY101" s="177">
        <f t="shared" si="144"/>
        <v>1.1094872382248158</v>
      </c>
      <c r="AZ101" s="177">
        <f t="shared" si="168"/>
        <v>14.481796515983808</v>
      </c>
      <c r="BA101" s="469">
        <f t="shared" si="145"/>
        <v>17.027319442995115</v>
      </c>
      <c r="BB101" s="469">
        <f t="shared" si="146"/>
        <v>40.832170666666656</v>
      </c>
      <c r="BC101" s="5">
        <f t="shared" si="147"/>
        <v>1.5724434510502581</v>
      </c>
      <c r="BD101" s="469">
        <f t="shared" si="148"/>
        <v>120.96483777613773</v>
      </c>
      <c r="BE101" s="5"/>
      <c r="BF101" s="177">
        <f t="shared" si="169"/>
        <v>1.6081749124105138</v>
      </c>
      <c r="BG101" s="177">
        <f t="shared" si="149"/>
        <v>2.0045335129102266</v>
      </c>
      <c r="BH101" s="177"/>
      <c r="BI101" s="542">
        <f t="shared" si="150"/>
        <v>0.28448492037972201</v>
      </c>
      <c r="BJ101" s="542">
        <f t="shared" si="151"/>
        <v>0.24622571288192172</v>
      </c>
      <c r="BK101" s="542">
        <f t="shared" si="152"/>
        <v>1.7499999999999998E-2</v>
      </c>
      <c r="BL101" s="542">
        <f t="shared" si="153"/>
        <v>0.11885914687500002</v>
      </c>
      <c r="BM101">
        <f t="shared" si="154"/>
        <v>4.3499999999999997E-3</v>
      </c>
      <c r="BN101" s="469">
        <f t="shared" si="170"/>
        <v>671.41978013664357</v>
      </c>
      <c r="BO101" s="542">
        <f t="shared" si="155"/>
        <v>0.86399999999999999</v>
      </c>
      <c r="BP101" s="542"/>
      <c r="BR101" s="469">
        <f t="shared" si="171"/>
        <v>864</v>
      </c>
      <c r="BS101" s="542">
        <f t="shared" si="156"/>
        <v>0</v>
      </c>
      <c r="BT101" s="542">
        <f t="shared" si="157"/>
        <v>0</v>
      </c>
      <c r="BU101" s="542">
        <f t="shared" si="158"/>
        <v>0</v>
      </c>
      <c r="BV101" s="542">
        <f t="shared" si="159"/>
        <v>0</v>
      </c>
      <c r="BW101" s="469">
        <f t="shared" si="172"/>
        <v>0</v>
      </c>
      <c r="BX101" s="177">
        <f t="shared" si="173"/>
        <v>1.5354197801366436</v>
      </c>
      <c r="BY101" s="5">
        <f t="shared" si="174"/>
        <v>14.399999999999999</v>
      </c>
      <c r="BZ101" s="177">
        <f t="shared" si="175"/>
        <v>0.90364735907048199</v>
      </c>
      <c r="CA101" s="5">
        <f t="shared" si="176"/>
        <v>90.3647359070482</v>
      </c>
      <c r="CD101" s="576">
        <f t="shared" si="160"/>
        <v>-50</v>
      </c>
      <c r="CE101">
        <f t="shared" si="161"/>
        <v>-50</v>
      </c>
    </row>
    <row r="102" spans="5:83" x14ac:dyDescent="0.25">
      <c r="E102" s="174">
        <v>97</v>
      </c>
      <c r="F102" s="221">
        <f t="shared" ref="F102:F105" si="187">IF(PLOT_TYPE=1, E102/100*Iout_max, min_I*EXP(N102*rr/100))</f>
        <v>0.97</v>
      </c>
      <c r="G102" s="221"/>
      <c r="H102" s="221">
        <f t="shared" si="177"/>
        <v>14.549999999999999</v>
      </c>
      <c r="I102" s="555">
        <f t="shared" si="114"/>
        <v>15</v>
      </c>
      <c r="J102" s="176">
        <f t="shared" si="115"/>
        <v>23.85</v>
      </c>
      <c r="K102" s="451">
        <f t="shared" si="116"/>
        <v>38.85</v>
      </c>
      <c r="L102" s="451"/>
      <c r="M102" s="221">
        <f t="shared" si="117"/>
        <v>0.61389961389961389</v>
      </c>
      <c r="N102" s="176">
        <f t="shared" si="118"/>
        <v>17.933542471042468</v>
      </c>
      <c r="O102" s="176">
        <f t="shared" si="163"/>
        <v>14.549999999999999</v>
      </c>
      <c r="P102" s="221">
        <f t="shared" si="178"/>
        <v>1.195569498069498</v>
      </c>
      <c r="Q102" s="221">
        <f t="shared" si="120"/>
        <v>15</v>
      </c>
      <c r="R102" s="221">
        <f t="shared" si="179"/>
        <v>1.2584942084942083</v>
      </c>
      <c r="S102" s="176">
        <f t="shared" si="122"/>
        <v>20.535837024039974</v>
      </c>
      <c r="T102" s="333">
        <f t="shared" si="180"/>
        <v>15</v>
      </c>
      <c r="U102" s="333">
        <f t="shared" si="124"/>
        <v>3.3264481959616021</v>
      </c>
      <c r="V102" s="221">
        <f t="shared" si="181"/>
        <v>1.5523424914487476</v>
      </c>
      <c r="W102" s="221">
        <f t="shared" si="126"/>
        <v>0.97631603235770281</v>
      </c>
      <c r="X102" s="201">
        <f t="shared" si="127"/>
        <v>350</v>
      </c>
      <c r="Y102" s="451">
        <f t="shared" si="164"/>
        <v>350</v>
      </c>
      <c r="AA102" s="221">
        <f t="shared" si="128"/>
        <v>3.7585690646915135</v>
      </c>
      <c r="AB102" s="177">
        <f t="shared" si="182"/>
        <v>1.1031439602868174</v>
      </c>
      <c r="AC102" s="177">
        <f t="shared" si="183"/>
        <v>1.0883887252967701</v>
      </c>
      <c r="AD102" s="177"/>
      <c r="AE102" s="177">
        <f t="shared" si="131"/>
        <v>0.24067085953878403</v>
      </c>
      <c r="AF102" s="559">
        <f t="shared" si="184"/>
        <v>6553.497068071727</v>
      </c>
      <c r="AG102" s="542">
        <f t="shared" si="133"/>
        <v>5.1804402515723262E-2</v>
      </c>
      <c r="AI102" s="177">
        <f t="shared" si="134"/>
        <v>3.6404459069897723</v>
      </c>
      <c r="AJ102" s="177">
        <f t="shared" si="185"/>
        <v>3.6404459069897723</v>
      </c>
      <c r="AK102" s="177">
        <f t="shared" si="186"/>
        <v>3.2892191903627941</v>
      </c>
      <c r="AM102" s="559">
        <f t="shared" si="137"/>
        <v>970</v>
      </c>
      <c r="AN102" s="469">
        <f t="shared" si="138"/>
        <v>350</v>
      </c>
      <c r="AP102">
        <f t="shared" si="139"/>
        <v>970</v>
      </c>
      <c r="AQ102" s="469">
        <f t="shared" si="140"/>
        <v>350</v>
      </c>
      <c r="AS102" s="5">
        <f t="shared" si="165"/>
        <v>2.8571428571428572</v>
      </c>
      <c r="AT102" s="5">
        <f t="shared" si="141"/>
        <v>1.6988747565952271</v>
      </c>
      <c r="AU102" s="5">
        <f t="shared" si="166"/>
        <v>1.1582681005476301</v>
      </c>
      <c r="AV102" s="5">
        <f t="shared" si="142"/>
        <v>1.0684746896825328</v>
      </c>
      <c r="AW102" s="177">
        <f t="shared" si="167"/>
        <v>0.59460616480832951</v>
      </c>
      <c r="AX102" s="177">
        <f t="shared" si="143"/>
        <v>16.234736842105267</v>
      </c>
      <c r="AY102" s="177">
        <f t="shared" si="144"/>
        <v>1.1068607460318025</v>
      </c>
      <c r="AZ102" s="177">
        <f t="shared" si="168"/>
        <v>14.667370669985624</v>
      </c>
      <c r="BA102" s="469">
        <f t="shared" si="145"/>
        <v>17.027319442995115</v>
      </c>
      <c r="BB102" s="469">
        <f t="shared" si="146"/>
        <v>41.65695896296296</v>
      </c>
      <c r="BC102" s="5">
        <f t="shared" si="147"/>
        <v>1.5768702561841421</v>
      </c>
      <c r="BD102" s="469">
        <f t="shared" si="148"/>
        <v>121.3284271085475</v>
      </c>
      <c r="BE102" s="5"/>
      <c r="BF102" s="177">
        <f t="shared" si="169"/>
        <v>1.6207224903027826</v>
      </c>
      <c r="BG102" s="177">
        <f t="shared" si="149"/>
        <v>2.0073531509176759</v>
      </c>
      <c r="BH102" s="177"/>
      <c r="BI102" s="542">
        <f t="shared" si="150"/>
        <v>0.28894155296305785</v>
      </c>
      <c r="BJ102" s="542">
        <f t="shared" si="151"/>
        <v>0.24750481610146716</v>
      </c>
      <c r="BK102" s="542">
        <f t="shared" si="152"/>
        <v>1.7499999999999998E-2</v>
      </c>
      <c r="BL102" s="542">
        <f t="shared" si="153"/>
        <v>0.11885914687500002</v>
      </c>
      <c r="BM102">
        <f t="shared" si="154"/>
        <v>4.3499999999999997E-3</v>
      </c>
      <c r="BN102" s="469">
        <f t="shared" si="170"/>
        <v>677.15551593952489</v>
      </c>
      <c r="BO102" s="542">
        <f t="shared" si="155"/>
        <v>0.873</v>
      </c>
      <c r="BP102" s="542"/>
      <c r="BR102" s="469">
        <f t="shared" si="171"/>
        <v>873</v>
      </c>
      <c r="BS102" s="542">
        <f t="shared" si="156"/>
        <v>0</v>
      </c>
      <c r="BT102" s="542">
        <f t="shared" si="157"/>
        <v>0</v>
      </c>
      <c r="BU102" s="542">
        <f t="shared" si="158"/>
        <v>0</v>
      </c>
      <c r="BV102" s="542">
        <f t="shared" si="159"/>
        <v>0</v>
      </c>
      <c r="BW102" s="469">
        <f t="shared" si="172"/>
        <v>0</v>
      </c>
      <c r="BX102" s="177">
        <f t="shared" si="173"/>
        <v>1.5501555159395251</v>
      </c>
      <c r="BY102" s="5">
        <f t="shared" si="174"/>
        <v>14.549999999999999</v>
      </c>
      <c r="BZ102" s="177">
        <f t="shared" si="175"/>
        <v>0.90371797872356985</v>
      </c>
      <c r="CA102" s="5">
        <f t="shared" si="176"/>
        <v>90.371797872356979</v>
      </c>
      <c r="CD102" s="576">
        <f t="shared" si="160"/>
        <v>-50</v>
      </c>
      <c r="CE102">
        <f t="shared" si="161"/>
        <v>-50</v>
      </c>
    </row>
    <row r="103" spans="5:83" x14ac:dyDescent="0.25">
      <c r="E103" s="174">
        <v>98</v>
      </c>
      <c r="F103" s="221">
        <f t="shared" si="187"/>
        <v>0.98</v>
      </c>
      <c r="G103" s="221"/>
      <c r="H103" s="221">
        <f t="shared" si="177"/>
        <v>14.7</v>
      </c>
      <c r="I103" s="555">
        <f t="shared" si="114"/>
        <v>15</v>
      </c>
      <c r="J103" s="176">
        <f t="shared" si="115"/>
        <v>23.85</v>
      </c>
      <c r="K103" s="451">
        <f t="shared" si="116"/>
        <v>38.85</v>
      </c>
      <c r="L103" s="451"/>
      <c r="M103" s="221">
        <f t="shared" si="117"/>
        <v>0.61389961389961389</v>
      </c>
      <c r="N103" s="176">
        <f t="shared" si="118"/>
        <v>17.933542471042468</v>
      </c>
      <c r="O103" s="176">
        <f t="shared" si="163"/>
        <v>14.7</v>
      </c>
      <c r="P103" s="221">
        <f t="shared" si="178"/>
        <v>1.195569498069498</v>
      </c>
      <c r="Q103" s="221">
        <f t="shared" si="120"/>
        <v>15</v>
      </c>
      <c r="R103" s="221">
        <f t="shared" si="179"/>
        <v>1.2584942084942083</v>
      </c>
      <c r="S103" s="176">
        <f t="shared" si="122"/>
        <v>20.234517123510706</v>
      </c>
      <c r="T103" s="333">
        <f t="shared" si="180"/>
        <v>15</v>
      </c>
      <c r="U103" s="333">
        <f t="shared" si="124"/>
        <v>3.3607414763323402</v>
      </c>
      <c r="V103" s="221">
        <f t="shared" si="181"/>
        <v>1.5683460222884253</v>
      </c>
      <c r="W103" s="221">
        <f t="shared" si="126"/>
        <v>0.98638114609334915</v>
      </c>
      <c r="X103" s="201">
        <f t="shared" si="127"/>
        <v>350</v>
      </c>
      <c r="Y103" s="451">
        <f t="shared" si="164"/>
        <v>350</v>
      </c>
      <c r="AA103" s="221">
        <f t="shared" si="128"/>
        <v>3.7585690646915135</v>
      </c>
      <c r="AB103" s="177">
        <f t="shared" si="182"/>
        <v>1.1031439602868174</v>
      </c>
      <c r="AC103" s="177">
        <f t="shared" si="183"/>
        <v>1.0883887252967701</v>
      </c>
      <c r="AD103" s="177"/>
      <c r="AE103" s="177">
        <f t="shared" si="131"/>
        <v>0.24067085953878403</v>
      </c>
      <c r="AF103" s="559">
        <f t="shared" si="184"/>
        <v>6621.0588935157657</v>
      </c>
      <c r="AG103" s="542">
        <f t="shared" si="133"/>
        <v>5.1804402515723262E-2</v>
      </c>
      <c r="AI103" s="177">
        <f t="shared" si="134"/>
        <v>3.6591629759018018</v>
      </c>
      <c r="AJ103" s="177">
        <f t="shared" si="185"/>
        <v>3.6591629759018018</v>
      </c>
      <c r="AK103" s="177">
        <f t="shared" si="186"/>
        <v>3.3030836858531867</v>
      </c>
      <c r="AM103" s="559">
        <f t="shared" si="137"/>
        <v>980</v>
      </c>
      <c r="AN103" s="469">
        <f t="shared" si="138"/>
        <v>350</v>
      </c>
      <c r="AP103">
        <f t="shared" si="139"/>
        <v>980</v>
      </c>
      <c r="AQ103" s="469">
        <f t="shared" si="140"/>
        <v>350</v>
      </c>
      <c r="AS103" s="5">
        <f t="shared" si="165"/>
        <v>2.8571428571428572</v>
      </c>
      <c r="AT103" s="5">
        <f t="shared" si="141"/>
        <v>1.7076093887541743</v>
      </c>
      <c r="AU103" s="5">
        <f t="shared" si="166"/>
        <v>1.1495334683886829</v>
      </c>
      <c r="AV103" s="5">
        <f t="shared" si="142"/>
        <v>1.0739681690277825</v>
      </c>
      <c r="AW103" s="177">
        <f t="shared" si="167"/>
        <v>0.59766328606396102</v>
      </c>
      <c r="AX103" s="177">
        <f t="shared" si="143"/>
        <v>16.402105263157903</v>
      </c>
      <c r="AY103" s="177">
        <f t="shared" si="144"/>
        <v>1.1041617056105613</v>
      </c>
      <c r="AZ103" s="177">
        <f t="shared" si="168"/>
        <v>14.854803585212309</v>
      </c>
      <c r="BA103" s="469">
        <f t="shared" si="145"/>
        <v>17.027319442995115</v>
      </c>
      <c r="BB103" s="469">
        <f t="shared" si="146"/>
        <v>42.489983407407401</v>
      </c>
      <c r="BC103" s="5">
        <f t="shared" si="147"/>
        <v>1.5811127003802232</v>
      </c>
      <c r="BD103" s="469">
        <f t="shared" si="148"/>
        <v>121.67818937062202</v>
      </c>
      <c r="BE103" s="5"/>
      <c r="BF103" s="177">
        <f t="shared" si="169"/>
        <v>1.633237770072298</v>
      </c>
      <c r="BG103" s="177">
        <f t="shared" si="149"/>
        <v>2.0100516492316185</v>
      </c>
      <c r="BH103" s="177"/>
      <c r="BI103" s="542">
        <f t="shared" si="150"/>
        <v>0.29342121749498057</v>
      </c>
      <c r="BJ103" s="542">
        <f t="shared" si="151"/>
        <v>0.24877734282412373</v>
      </c>
      <c r="BK103" s="542">
        <f t="shared" si="152"/>
        <v>1.7499999999999998E-2</v>
      </c>
      <c r="BL103" s="542">
        <f t="shared" si="153"/>
        <v>0.11885914687500002</v>
      </c>
      <c r="BM103">
        <f t="shared" si="154"/>
        <v>4.3499999999999997E-3</v>
      </c>
      <c r="BN103" s="469">
        <f t="shared" si="170"/>
        <v>682.9077071941042</v>
      </c>
      <c r="BO103" s="542">
        <f t="shared" si="155"/>
        <v>0.88200000000000001</v>
      </c>
      <c r="BP103" s="542"/>
      <c r="BR103" s="469">
        <f t="shared" si="171"/>
        <v>882</v>
      </c>
      <c r="BS103" s="542">
        <f t="shared" si="156"/>
        <v>0</v>
      </c>
      <c r="BT103" s="542">
        <f t="shared" si="157"/>
        <v>0</v>
      </c>
      <c r="BU103" s="542">
        <f t="shared" si="158"/>
        <v>0</v>
      </c>
      <c r="BV103" s="542">
        <f t="shared" si="159"/>
        <v>0</v>
      </c>
      <c r="BW103" s="469">
        <f t="shared" si="172"/>
        <v>0</v>
      </c>
      <c r="BX103" s="177">
        <f t="shared" si="173"/>
        <v>1.5649077071941042</v>
      </c>
      <c r="BY103" s="5">
        <f t="shared" si="174"/>
        <v>14.7</v>
      </c>
      <c r="BZ103" s="177">
        <f t="shared" si="175"/>
        <v>0.90378625348719721</v>
      </c>
      <c r="CA103" s="5">
        <f t="shared" si="176"/>
        <v>90.378625348719723</v>
      </c>
      <c r="CD103" s="576">
        <f t="shared" si="160"/>
        <v>-50</v>
      </c>
      <c r="CE103">
        <f t="shared" si="161"/>
        <v>-50</v>
      </c>
    </row>
    <row r="104" spans="5:83" x14ac:dyDescent="0.25">
      <c r="E104" s="174">
        <v>99</v>
      </c>
      <c r="F104" s="221">
        <f t="shared" si="187"/>
        <v>0.99</v>
      </c>
      <c r="G104" s="221"/>
      <c r="H104" s="221">
        <f t="shared" si="177"/>
        <v>14.85</v>
      </c>
      <c r="I104" s="555">
        <f t="shared" si="114"/>
        <v>15</v>
      </c>
      <c r="J104" s="176">
        <f t="shared" si="115"/>
        <v>23.85</v>
      </c>
      <c r="K104" s="451">
        <f t="shared" si="116"/>
        <v>38.85</v>
      </c>
      <c r="L104" s="451"/>
      <c r="M104" s="221">
        <f t="shared" si="117"/>
        <v>0.61389961389961389</v>
      </c>
      <c r="N104" s="176">
        <f t="shared" si="118"/>
        <v>17.933542471042468</v>
      </c>
      <c r="O104" s="176">
        <f t="shared" si="163"/>
        <v>14.85</v>
      </c>
      <c r="P104" s="221">
        <f t="shared" si="178"/>
        <v>1.195569498069498</v>
      </c>
      <c r="Q104" s="221">
        <f t="shared" si="120"/>
        <v>15</v>
      </c>
      <c r="R104" s="221">
        <f t="shared" si="179"/>
        <v>1.2584942084942083</v>
      </c>
      <c r="S104" s="176">
        <f t="shared" si="122"/>
        <v>19.93944898072688</v>
      </c>
      <c r="T104" s="333">
        <f t="shared" si="180"/>
        <v>15</v>
      </c>
      <c r="U104" s="333">
        <f t="shared" si="124"/>
        <v>3.3950347567030783</v>
      </c>
      <c r="V104" s="221">
        <f t="shared" si="181"/>
        <v>1.5843495531281031</v>
      </c>
      <c r="W104" s="221">
        <f t="shared" si="126"/>
        <v>0.99644625982899571</v>
      </c>
      <c r="X104" s="201">
        <f t="shared" si="127"/>
        <v>350</v>
      </c>
      <c r="Y104" s="451">
        <f t="shared" si="164"/>
        <v>350</v>
      </c>
      <c r="AA104" s="221">
        <f t="shared" si="128"/>
        <v>3.7585690646915135</v>
      </c>
      <c r="AB104" s="177">
        <f t="shared" si="182"/>
        <v>1.1031439602868174</v>
      </c>
      <c r="AC104" s="177">
        <f t="shared" si="183"/>
        <v>1.0883887252967701</v>
      </c>
      <c r="AD104" s="177"/>
      <c r="AE104" s="177">
        <f t="shared" si="131"/>
        <v>0.24067085953878403</v>
      </c>
      <c r="AF104" s="559">
        <f t="shared" si="184"/>
        <v>6688.6207189598035</v>
      </c>
      <c r="AG104" s="542">
        <f t="shared" si="133"/>
        <v>5.1804402515723262E-2</v>
      </c>
      <c r="AI104" s="177">
        <f t="shared" si="134"/>
        <v>3.6777847906997598</v>
      </c>
      <c r="AJ104" s="177">
        <f t="shared" si="185"/>
        <v>3.6777847906997598</v>
      </c>
      <c r="AK104" s="177">
        <f t="shared" si="186"/>
        <v>3.316877622740563</v>
      </c>
      <c r="AM104" s="559">
        <f t="shared" si="137"/>
        <v>990</v>
      </c>
      <c r="AN104" s="469">
        <f t="shared" si="138"/>
        <v>350</v>
      </c>
      <c r="AP104">
        <f t="shared" ref="AP104:AP105" si="188">IF(H104&gt;N104, "",AM104)</f>
        <v>990</v>
      </c>
      <c r="AQ104" s="469">
        <f t="shared" ref="AQ104:AQ105" si="189">IF(H104&gt;N104, "",AN104)</f>
        <v>350</v>
      </c>
      <c r="AS104" s="5">
        <f t="shared" si="165"/>
        <v>2.8571428571428572</v>
      </c>
      <c r="AT104" s="5">
        <f t="shared" si="141"/>
        <v>1.7162995689932212</v>
      </c>
      <c r="AU104" s="5">
        <f t="shared" si="166"/>
        <v>1.140843288149636</v>
      </c>
      <c r="AV104" s="5">
        <f t="shared" si="142"/>
        <v>1.0794336911907052</v>
      </c>
      <c r="AW104" s="177">
        <f t="shared" si="167"/>
        <v>0.60070484914762745</v>
      </c>
      <c r="AX104" s="177">
        <f t="shared" si="143"/>
        <v>16.569473684210532</v>
      </c>
      <c r="AY104" s="177">
        <f t="shared" si="144"/>
        <v>1.1013912246037665</v>
      </c>
      <c r="AZ104" s="177">
        <f t="shared" si="168"/>
        <v>15.0441308356815</v>
      </c>
      <c r="BA104" s="469">
        <f t="shared" si="145"/>
        <v>17.027319442995115</v>
      </c>
      <c r="BB104" s="469">
        <f t="shared" si="146"/>
        <v>43.331243999999984</v>
      </c>
      <c r="BC104" s="5">
        <f t="shared" si="147"/>
        <v>1.5851717266921257</v>
      </c>
      <c r="BD104" s="469">
        <f t="shared" si="148"/>
        <v>122.01419529138313</v>
      </c>
      <c r="BE104" s="5"/>
      <c r="BF104" s="177">
        <f t="shared" si="169"/>
        <v>1.6457211631742266</v>
      </c>
      <c r="BG104" s="177">
        <f t="shared" si="149"/>
        <v>2.0126300937971475</v>
      </c>
      <c r="BH104" s="177"/>
      <c r="BI104" s="542">
        <f t="shared" si="150"/>
        <v>0.29792379616114822</v>
      </c>
      <c r="BJ104" s="542">
        <f t="shared" si="151"/>
        <v>0.25004339345769994</v>
      </c>
      <c r="BK104" s="542">
        <f t="shared" si="152"/>
        <v>1.7499999999999998E-2</v>
      </c>
      <c r="BL104" s="542">
        <f t="shared" si="153"/>
        <v>0.11885914687500002</v>
      </c>
      <c r="BM104">
        <f t="shared" si="154"/>
        <v>4.3499999999999997E-3</v>
      </c>
      <c r="BN104" s="469">
        <f t="shared" si="170"/>
        <v>688.67633649384811</v>
      </c>
      <c r="BO104" s="542">
        <f t="shared" si="155"/>
        <v>0.89100000000000001</v>
      </c>
      <c r="BP104" s="542"/>
      <c r="BR104" s="469">
        <f t="shared" si="171"/>
        <v>891</v>
      </c>
      <c r="BS104" s="542">
        <f t="shared" si="156"/>
        <v>0</v>
      </c>
      <c r="BT104" s="542">
        <f t="shared" si="157"/>
        <v>0</v>
      </c>
      <c r="BU104" s="542">
        <f t="shared" si="158"/>
        <v>0</v>
      </c>
      <c r="BV104" s="542">
        <f t="shared" si="159"/>
        <v>0</v>
      </c>
      <c r="BW104" s="469">
        <f t="shared" si="172"/>
        <v>0</v>
      </c>
      <c r="BX104" s="177">
        <f t="shared" si="173"/>
        <v>1.579676336493848</v>
      </c>
      <c r="BY104" s="5">
        <f t="shared" si="174"/>
        <v>14.85</v>
      </c>
      <c r="BZ104" s="177">
        <f t="shared" si="175"/>
        <v>0.90385225465549512</v>
      </c>
      <c r="CA104" s="5">
        <f t="shared" si="176"/>
        <v>90.38522546554951</v>
      </c>
      <c r="CD104" s="576">
        <f t="shared" si="160"/>
        <v>-50</v>
      </c>
      <c r="CE104">
        <f t="shared" si="161"/>
        <v>-50</v>
      </c>
    </row>
    <row r="105" spans="5:83" x14ac:dyDescent="0.25">
      <c r="E105" s="174">
        <v>100</v>
      </c>
      <c r="F105" s="221">
        <f t="shared" si="187"/>
        <v>1</v>
      </c>
      <c r="G105" s="221"/>
      <c r="H105" s="221">
        <f t="shared" si="177"/>
        <v>15</v>
      </c>
      <c r="I105" s="555">
        <f t="shared" si="114"/>
        <v>15</v>
      </c>
      <c r="J105" s="176">
        <f t="shared" si="115"/>
        <v>23.85</v>
      </c>
      <c r="K105" s="451">
        <f t="shared" si="116"/>
        <v>38.85</v>
      </c>
      <c r="L105" s="451"/>
      <c r="M105" s="221">
        <f t="shared" si="117"/>
        <v>0.61389961389961389</v>
      </c>
      <c r="N105" s="176">
        <f t="shared" si="118"/>
        <v>17.933542471042468</v>
      </c>
      <c r="O105" s="176">
        <f t="shared" si="163"/>
        <v>15</v>
      </c>
      <c r="P105" s="221">
        <f t="shared" si="178"/>
        <v>1.195569498069498</v>
      </c>
      <c r="Q105" s="221">
        <f t="shared" si="120"/>
        <v>15</v>
      </c>
      <c r="R105" s="221">
        <f t="shared" si="179"/>
        <v>1.2584942084942083</v>
      </c>
      <c r="S105" s="176">
        <f t="shared" si="122"/>
        <v>19.650446684954019</v>
      </c>
      <c r="T105" s="333">
        <f t="shared" si="180"/>
        <v>15</v>
      </c>
      <c r="U105" s="333">
        <f t="shared" si="124"/>
        <v>3.4293280370738168</v>
      </c>
      <c r="V105" s="221">
        <f t="shared" si="181"/>
        <v>1.6003530839677813</v>
      </c>
      <c r="W105" s="221">
        <f t="shared" si="126"/>
        <v>1.0065113735646423</v>
      </c>
      <c r="X105" s="201">
        <f t="shared" si="127"/>
        <v>350</v>
      </c>
      <c r="Y105" s="451">
        <f t="shared" si="164"/>
        <v>350</v>
      </c>
      <c r="AA105" s="221">
        <f t="shared" si="128"/>
        <v>3.7585690646915135</v>
      </c>
      <c r="AB105" s="177">
        <f t="shared" si="182"/>
        <v>1.1031439602868174</v>
      </c>
      <c r="AC105" s="177">
        <f t="shared" si="183"/>
        <v>1.0883887252967701</v>
      </c>
      <c r="AD105" s="177"/>
      <c r="AE105" s="177">
        <f t="shared" si="131"/>
        <v>0.24067085953878403</v>
      </c>
      <c r="AF105" s="559">
        <f t="shared" si="184"/>
        <v>6756.1825444038423</v>
      </c>
      <c r="AG105" s="542">
        <f t="shared" si="133"/>
        <v>5.1804402515723262E-2</v>
      </c>
      <c r="AI105" s="177">
        <f t="shared" si="134"/>
        <v>3.6963127910384448</v>
      </c>
      <c r="AJ105" s="177">
        <f t="shared" si="185"/>
        <v>3.6963127910384448</v>
      </c>
      <c r="AK105" s="177">
        <f t="shared" si="186"/>
        <v>3.3306020674358852</v>
      </c>
      <c r="AM105" s="559">
        <f t="shared" si="137"/>
        <v>1000</v>
      </c>
      <c r="AN105" s="469">
        <f t="shared" si="138"/>
        <v>350</v>
      </c>
      <c r="AP105">
        <f t="shared" si="188"/>
        <v>1000</v>
      </c>
      <c r="AQ105" s="469">
        <f t="shared" si="189"/>
        <v>350</v>
      </c>
      <c r="AS105" s="5">
        <f t="shared" si="165"/>
        <v>2.8571428571428572</v>
      </c>
      <c r="AT105" s="5">
        <f t="shared" si="141"/>
        <v>1.7249459691512741</v>
      </c>
      <c r="AU105" s="5">
        <f t="shared" si="166"/>
        <v>1.1321968879915831</v>
      </c>
      <c r="AV105" s="5">
        <f t="shared" si="142"/>
        <v>1.0848716787114931</v>
      </c>
      <c r="AW105" s="177">
        <f t="shared" si="167"/>
        <v>0.60373108920294594</v>
      </c>
      <c r="AX105" s="177">
        <f t="shared" si="143"/>
        <v>16.736842105263161</v>
      </c>
      <c r="AY105" s="177">
        <f t="shared" si="144"/>
        <v>1.0985503827525176</v>
      </c>
      <c r="AZ105" s="177">
        <f t="shared" si="168"/>
        <v>15.235388715925332</v>
      </c>
      <c r="BA105" s="469">
        <f t="shared" si="145"/>
        <v>17.027319442995115</v>
      </c>
      <c r="BB105" s="469">
        <f t="shared" si="146"/>
        <v>44.180740740740731</v>
      </c>
      <c r="BC105" s="5">
        <f t="shared" si="147"/>
        <v>1.5890482638478363</v>
      </c>
      <c r="BD105" s="469">
        <f t="shared" si="148"/>
        <v>122.33651452542979</v>
      </c>
      <c r="BE105" s="5"/>
      <c r="BF105" s="177">
        <f t="shared" si="169"/>
        <v>1.6581730717238177</v>
      </c>
      <c r="BG105" s="177">
        <f t="shared" si="149"/>
        <v>2.0150895343304995</v>
      </c>
      <c r="BH105" s="177"/>
      <c r="BI105" s="542">
        <f t="shared" si="150"/>
        <v>0.30244917293690016</v>
      </c>
      <c r="BJ105" s="542">
        <f t="shared" si="151"/>
        <v>0.25130306588072626</v>
      </c>
      <c r="BK105" s="542">
        <f t="shared" si="152"/>
        <v>1.7499999999999998E-2</v>
      </c>
      <c r="BL105" s="542">
        <f t="shared" si="153"/>
        <v>0.11885914687500002</v>
      </c>
      <c r="BM105">
        <f t="shared" si="154"/>
        <v>4.3499999999999997E-3</v>
      </c>
      <c r="BN105" s="469">
        <f t="shared" si="170"/>
        <v>694.46138569262632</v>
      </c>
      <c r="BO105" s="542">
        <f t="shared" si="155"/>
        <v>0.9</v>
      </c>
      <c r="BP105" s="542"/>
      <c r="BR105" s="469">
        <f t="shared" si="171"/>
        <v>900</v>
      </c>
      <c r="BS105" s="542">
        <f t="shared" si="156"/>
        <v>0</v>
      </c>
      <c r="BT105" s="542">
        <f t="shared" si="157"/>
        <v>0</v>
      </c>
      <c r="BU105" s="542">
        <f t="shared" si="158"/>
        <v>0</v>
      </c>
      <c r="BV105" s="542">
        <f t="shared" si="159"/>
        <v>0</v>
      </c>
      <c r="BW105" s="469">
        <f t="shared" si="172"/>
        <v>0</v>
      </c>
      <c r="BX105" s="177">
        <f t="shared" si="173"/>
        <v>1.5944613856926262</v>
      </c>
      <c r="BY105" s="5">
        <f t="shared" si="174"/>
        <v>15</v>
      </c>
      <c r="BZ105" s="177">
        <f t="shared" si="175"/>
        <v>0.90391605074526049</v>
      </c>
      <c r="CA105" s="5">
        <f t="shared" si="176"/>
        <v>90.391605074526055</v>
      </c>
      <c r="CD105" s="576">
        <f t="shared" si="160"/>
        <v>-50</v>
      </c>
      <c r="CE105">
        <f t="shared" si="161"/>
        <v>-50</v>
      </c>
    </row>
    <row r="106" spans="5:83" x14ac:dyDescent="0.25">
      <c r="E106" s="174"/>
      <c r="F106" s="221"/>
      <c r="G106" s="221"/>
      <c r="H106" s="221"/>
      <c r="I106" s="555"/>
      <c r="J106" s="451"/>
      <c r="K106" s="451"/>
      <c r="L106" s="451"/>
      <c r="M106" s="221"/>
      <c r="N106" s="176"/>
      <c r="O106" s="176"/>
      <c r="P106" s="221"/>
      <c r="Q106" s="221"/>
      <c r="R106" s="221"/>
      <c r="S106" s="176"/>
      <c r="T106" s="176"/>
      <c r="U106" s="221"/>
      <c r="V106" s="221"/>
      <c r="W106" s="221"/>
      <c r="X106" s="201"/>
      <c r="Y106" s="451"/>
      <c r="AA106" s="221"/>
      <c r="AB106" s="177"/>
      <c r="AC106" s="177"/>
      <c r="AD106" s="177"/>
      <c r="AE106" s="177"/>
      <c r="AF106" s="559"/>
      <c r="AI106" s="177"/>
      <c r="AJ106" s="177"/>
      <c r="AK106" s="177"/>
      <c r="AM106" s="559"/>
      <c r="AN106" s="469"/>
      <c r="AQ106" s="3"/>
      <c r="AS106" s="5"/>
      <c r="AT106" s="5"/>
      <c r="AU106" s="5"/>
      <c r="AV106" s="5"/>
      <c r="AW106" s="177"/>
      <c r="AX106" s="177"/>
      <c r="AY106" s="177"/>
      <c r="AZ106" s="177"/>
      <c r="BA106" s="469"/>
      <c r="BB106" s="469"/>
      <c r="BC106" s="5"/>
      <c r="BD106" s="469"/>
      <c r="BE106" s="5"/>
      <c r="BF106" s="177"/>
      <c r="BG106" s="177"/>
      <c r="BH106" s="177"/>
      <c r="BI106" s="542"/>
      <c r="BJ106" s="542"/>
      <c r="BK106" s="542"/>
      <c r="BL106" s="542"/>
      <c r="BN106" s="469"/>
      <c r="BO106" s="542"/>
      <c r="BP106" s="542"/>
      <c r="BR106" s="469"/>
      <c r="BS106" s="542"/>
      <c r="BT106" s="542"/>
      <c r="BU106" s="542"/>
      <c r="BV106" s="542"/>
      <c r="BW106" s="469"/>
      <c r="BX106" s="177"/>
      <c r="BY106" s="5"/>
      <c r="BZ106" s="177"/>
      <c r="CA106" s="5"/>
      <c r="CD106" s="576"/>
    </row>
    <row r="107" spans="5:83" x14ac:dyDescent="0.25">
      <c r="H107" s="221"/>
      <c r="I107" s="555"/>
      <c r="J107" s="451"/>
      <c r="K107" s="451"/>
      <c r="L107" s="451"/>
      <c r="M107" s="221"/>
      <c r="N107" s="176"/>
      <c r="O107" s="176"/>
      <c r="P107" s="221"/>
      <c r="Q107" s="221"/>
      <c r="R107" s="221"/>
      <c r="S107" s="176"/>
      <c r="T107" s="176"/>
      <c r="U107" s="221"/>
      <c r="V107" s="221"/>
      <c r="W107" s="221"/>
      <c r="X107" s="201"/>
      <c r="Y107" s="451"/>
      <c r="AA107" s="221"/>
      <c r="AB107" s="177"/>
      <c r="AC107" s="177"/>
      <c r="AD107" s="177"/>
      <c r="AE107" s="177"/>
      <c r="AF107" s="559"/>
      <c r="AI107" s="177"/>
      <c r="AJ107" s="177"/>
      <c r="AK107" s="177"/>
      <c r="AM107" s="559"/>
      <c r="AN107" s="469"/>
      <c r="AS107" s="5"/>
      <c r="AT107" s="5"/>
      <c r="AU107" s="5"/>
      <c r="AV107" s="5"/>
      <c r="AW107" s="177"/>
      <c r="AX107" s="177"/>
      <c r="AY107" s="177"/>
      <c r="AZ107" s="177"/>
      <c r="BA107" s="469"/>
      <c r="BB107" s="469"/>
      <c r="BC107" s="5"/>
      <c r="BD107" s="469"/>
      <c r="BF107" s="177"/>
      <c r="BG107" s="177"/>
      <c r="BI107" s="542"/>
      <c r="BJ107" s="542"/>
      <c r="BK107" s="542"/>
      <c r="BL107" s="542"/>
      <c r="BN107" s="469"/>
      <c r="BO107" s="542"/>
      <c r="BR107" s="469"/>
      <c r="BS107" s="542"/>
      <c r="BT107" s="542"/>
      <c r="BU107" s="542"/>
      <c r="BV107" s="542"/>
      <c r="BW107" s="469"/>
      <c r="BX107" s="177"/>
      <c r="BY107" s="5"/>
      <c r="BZ107" s="177"/>
      <c r="CA107" s="5"/>
      <c r="CD107" s="576"/>
    </row>
    <row r="108" spans="5:83" x14ac:dyDescent="0.25">
      <c r="E108" s="453" t="s">
        <v>445</v>
      </c>
      <c r="H108" s="221"/>
      <c r="I108" s="555"/>
      <c r="J108" s="451"/>
      <c r="K108" s="451"/>
      <c r="L108" s="451"/>
      <c r="M108" s="221"/>
      <c r="N108" s="176"/>
      <c r="O108" s="176"/>
      <c r="P108" s="221"/>
      <c r="Q108" s="221"/>
      <c r="R108" s="221"/>
      <c r="S108" s="176"/>
      <c r="T108" s="176"/>
      <c r="U108" s="221"/>
      <c r="V108" s="221"/>
      <c r="W108" s="221"/>
      <c r="X108" s="201"/>
      <c r="Y108" s="451"/>
      <c r="AA108" s="221"/>
      <c r="AB108" s="177"/>
      <c r="AC108" s="177"/>
      <c r="AD108" s="177"/>
      <c r="AE108" s="177"/>
      <c r="AF108" s="559"/>
      <c r="AI108" s="177"/>
      <c r="AJ108" s="177"/>
      <c r="AK108" s="177"/>
      <c r="AM108" s="559"/>
      <c r="AN108" s="469"/>
      <c r="AS108" s="5"/>
      <c r="AT108" s="5"/>
      <c r="AU108" s="5"/>
      <c r="AV108" s="5"/>
      <c r="AW108" s="177"/>
      <c r="AX108" s="177"/>
      <c r="AY108" s="177"/>
      <c r="AZ108" s="177"/>
      <c r="BA108" s="469"/>
      <c r="BB108" s="469"/>
      <c r="BC108" s="5"/>
      <c r="BD108" s="469"/>
      <c r="BF108" s="177"/>
      <c r="BG108" s="177"/>
      <c r="BI108" s="542"/>
      <c r="BJ108" s="542"/>
      <c r="BK108" s="542"/>
      <c r="BL108" s="542"/>
      <c r="BN108" s="469"/>
      <c r="BO108" s="542"/>
      <c r="BR108" s="469"/>
      <c r="BS108" s="542"/>
      <c r="BT108" s="542"/>
      <c r="BU108" s="542"/>
      <c r="BV108" s="542"/>
      <c r="BW108" s="469"/>
      <c r="BX108" s="177"/>
      <c r="BY108" s="5"/>
      <c r="BZ108" s="177"/>
      <c r="CA108" s="5"/>
      <c r="CD108" s="576"/>
    </row>
    <row r="109" spans="5:83" ht="45" customHeight="1" thickBot="1" x14ac:dyDescent="0.3">
      <c r="E109" s="245" t="s">
        <v>25</v>
      </c>
      <c r="F109" s="452" t="s">
        <v>195</v>
      </c>
      <c r="G109" s="264"/>
      <c r="H109" s="541" t="s">
        <v>224</v>
      </c>
      <c r="I109" s="246" t="s">
        <v>423</v>
      </c>
      <c r="J109" s="247" t="s">
        <v>429</v>
      </c>
      <c r="K109" s="541" t="s">
        <v>424</v>
      </c>
      <c r="L109" s="541"/>
      <c r="M109" s="248" t="s">
        <v>48</v>
      </c>
      <c r="N109" s="541" t="s">
        <v>413</v>
      </c>
      <c r="O109" s="541" t="s">
        <v>677</v>
      </c>
      <c r="P109" s="541" t="s">
        <v>414</v>
      </c>
      <c r="Q109" s="541" t="s">
        <v>444</v>
      </c>
      <c r="R109" s="541" t="s">
        <v>675</v>
      </c>
      <c r="S109" s="541" t="s">
        <v>678</v>
      </c>
      <c r="T109" s="541" t="s">
        <v>676</v>
      </c>
      <c r="U109" s="541" t="s">
        <v>425</v>
      </c>
      <c r="V109" s="541" t="s">
        <v>477</v>
      </c>
      <c r="W109" s="541" t="s">
        <v>476</v>
      </c>
      <c r="X109" s="560" t="s">
        <v>431</v>
      </c>
      <c r="Y109" s="556" t="s">
        <v>436</v>
      </c>
      <c r="AA109" s="249" t="s">
        <v>428</v>
      </c>
      <c r="AB109" s="249" t="s">
        <v>475</v>
      </c>
      <c r="AC109" s="249" t="s">
        <v>434</v>
      </c>
      <c r="AD109" s="558"/>
      <c r="AE109" s="249" t="s">
        <v>718</v>
      </c>
      <c r="AF109" s="249" t="s">
        <v>719</v>
      </c>
      <c r="AG109" s="249" t="s">
        <v>438</v>
      </c>
      <c r="AH109" s="558"/>
      <c r="AI109" s="249" t="s">
        <v>440</v>
      </c>
      <c r="AJ109" s="561" t="s">
        <v>441</v>
      </c>
      <c r="AK109" s="561" t="s">
        <v>442</v>
      </c>
      <c r="AM109" s="557" t="s">
        <v>276</v>
      </c>
      <c r="AN109" s="557" t="s">
        <v>443</v>
      </c>
      <c r="AP109" s="249" t="s">
        <v>276</v>
      </c>
      <c r="AQ109" s="249" t="s">
        <v>443</v>
      </c>
      <c r="AR109" s="562"/>
      <c r="AS109" s="249" t="s">
        <v>478</v>
      </c>
      <c r="AT109" s="249" t="s">
        <v>472</v>
      </c>
      <c r="AU109" s="249" t="s">
        <v>473</v>
      </c>
      <c r="AV109" s="249" t="s">
        <v>674</v>
      </c>
      <c r="AW109" s="249" t="s">
        <v>48</v>
      </c>
      <c r="AX109" s="562" t="s">
        <v>672</v>
      </c>
      <c r="AY109" s="558" t="s">
        <v>671</v>
      </c>
      <c r="AZ109" s="558" t="s">
        <v>673</v>
      </c>
      <c r="BA109" s="249" t="s">
        <v>493</v>
      </c>
      <c r="BB109" s="249" t="s">
        <v>717</v>
      </c>
      <c r="BC109" s="249" t="s">
        <v>527</v>
      </c>
      <c r="BD109" s="249" t="s">
        <v>723</v>
      </c>
      <c r="BE109" s="558"/>
      <c r="BF109" s="571" t="s">
        <v>467</v>
      </c>
      <c r="BG109" s="249" t="s">
        <v>468</v>
      </c>
      <c r="BH109" s="558"/>
      <c r="BI109" s="571" t="s">
        <v>485</v>
      </c>
      <c r="BJ109" s="249" t="s">
        <v>486</v>
      </c>
      <c r="BK109" s="249" t="s">
        <v>484</v>
      </c>
      <c r="BL109" s="249" t="s">
        <v>480</v>
      </c>
      <c r="BM109" s="249" t="s">
        <v>489</v>
      </c>
      <c r="BN109" s="249" t="s">
        <v>503</v>
      </c>
      <c r="BO109" s="571" t="s">
        <v>487</v>
      </c>
      <c r="BP109" s="249" t="s">
        <v>488</v>
      </c>
      <c r="BQ109" s="249" t="s">
        <v>495</v>
      </c>
      <c r="BR109" s="249" t="s">
        <v>499</v>
      </c>
      <c r="BS109" s="571" t="s">
        <v>469</v>
      </c>
      <c r="BT109" s="249" t="s">
        <v>470</v>
      </c>
      <c r="BU109" s="249" t="s">
        <v>479</v>
      </c>
      <c r="BV109" s="249" t="s">
        <v>496</v>
      </c>
      <c r="BW109" s="249" t="s">
        <v>498</v>
      </c>
      <c r="BX109" s="571" t="s">
        <v>494</v>
      </c>
      <c r="BY109" s="249" t="s">
        <v>224</v>
      </c>
      <c r="BZ109" s="249" t="s">
        <v>47</v>
      </c>
      <c r="CA109" s="249" t="s">
        <v>497</v>
      </c>
      <c r="CB109" s="249"/>
      <c r="CD109" s="576"/>
    </row>
    <row r="110" spans="5:83" x14ac:dyDescent="0.25">
      <c r="E110" s="174">
        <v>0.1</v>
      </c>
      <c r="F110" s="221">
        <v>1.0000000000000001E-9</v>
      </c>
      <c r="G110" s="221"/>
      <c r="H110" s="221">
        <f t="shared" ref="H110:H141" si="190">F110*Vout</f>
        <v>1.5000000000000002E-8</v>
      </c>
      <c r="I110" s="555">
        <f t="shared" ref="I110:I141" si="191">VIN_min</f>
        <v>12</v>
      </c>
      <c r="J110" s="451">
        <f t="shared" ref="J110:J141" si="192">(T110+Vfwd1)*Nps</f>
        <v>23.85</v>
      </c>
      <c r="K110" s="451">
        <f t="shared" ref="K110:K141" si="193">(Vout+Vfwd1)*Nps+I110</f>
        <v>35.85</v>
      </c>
      <c r="L110" s="451"/>
      <c r="M110" s="221">
        <f t="shared" ref="M110:M141" si="194">(Vout+Vfwd1)*Nps/((Vout+Vfwd1)*Nps+I110)</f>
        <v>0.66527196652719667</v>
      </c>
      <c r="N110" s="176">
        <f>M110*I110*Isw_max*0.5*Efficiency</f>
        <v>15.547405857740586</v>
      </c>
      <c r="O110" s="176">
        <f t="shared" si="163"/>
        <v>1.5000000000000002E-8</v>
      </c>
      <c r="P110" s="221">
        <f t="shared" ref="P110:P141" si="195">N110/Vout</f>
        <v>1.0364937238493723</v>
      </c>
      <c r="Q110" s="221">
        <f t="shared" ref="Q110:Q141" si="196">MIN(Vout,N110/F110)</f>
        <v>15</v>
      </c>
      <c r="R110" s="221"/>
      <c r="S110" s="176">
        <f t="shared" ref="S110:S141" si="197">(SQRT(Isw_max^2*Nps^2*I110^2+4*Isw_max*F110/Efficiency*(Nps^2*Vfwd1*I110-Nps*I110^2)+4*(F110/Efficiency)^2*Nps^2*Vfwd1^2+8*(F110/Efficiency)^2*Nps*Vfwd1*I110+4*(F110/Efficiency)^2*I110^2)-2*F110/Efficiency*I110-2*F110/Efficiency*Nps*Vfwd1+Isw_max*Nps*I110)/(4*F110/Efficiency*Nps)</f>
        <v>23369999991.999996</v>
      </c>
      <c r="T110" s="176">
        <f t="shared" ref="T110:T141" si="198">MIN(Vout, S110)</f>
        <v>15</v>
      </c>
      <c r="U110" s="221">
        <f t="shared" ref="U110:U141" si="199">MIN(2*Vout*F110/(Efficiency*I110*M110), Isw_max)</f>
        <v>3.9556438265475021E-9</v>
      </c>
      <c r="V110" s="221">
        <f t="shared" ref="V110:V141" si="200">L*U110/I110*1000000</f>
        <v>2.3074588988193761E-9</v>
      </c>
      <c r="W110" s="221">
        <f t="shared" ref="W110:W141" si="201">L*U110/J110*1000000</f>
        <v>1.1609856094688684E-9</v>
      </c>
      <c r="X110" s="201">
        <f t="shared" ref="X110:X141" si="202">IF(1/((350000*L)*(1/I110+1/J110))&gt;Isw_min, 350, 0.001/((Isw_min*L)*(1/I110+1/J110)))</f>
        <v>350</v>
      </c>
      <c r="Y110" s="451">
        <f t="shared" ref="Y110:Y169" si="203">MIN(1/(V110+W110)*1000, 350)</f>
        <v>350</v>
      </c>
      <c r="AA110" s="221">
        <f t="shared" ref="AA110:AA141" si="204">1/((X110*1000*L)*(1/I110+1/J110))</f>
        <v>3.2584749380923919</v>
      </c>
      <c r="AB110" s="177">
        <f t="shared" ref="AB110:AB141" si="205">L*AA110/J110*1000000</f>
        <v>0.95636580992229525</v>
      </c>
      <c r="AC110" s="177">
        <f t="shared" ref="AC110:AC141" si="206">0.5*AB110*AA110*Nps*X110/1000</f>
        <v>0.81802718111106087</v>
      </c>
      <c r="AD110" s="177"/>
      <c r="AE110" s="177">
        <f t="shared" ref="AE110:AE141" si="207">L*Isw_min/J110*1000000</f>
        <v>0.24067085953878403</v>
      </c>
      <c r="AF110" s="559">
        <f t="shared" ref="AF110:AF141" si="208">MAX(12000,F110/(0.5*AE110/1000000*Isw_min*Nps))/1000</f>
        <v>12</v>
      </c>
      <c r="AG110" s="542">
        <f t="shared" ref="AG110:AG141" si="209">0.5*AE110/1000000*Isw_min*Nps*X110*1000</f>
        <v>5.1804402515723262E-2</v>
      </c>
      <c r="AI110" s="177">
        <f t="shared" ref="AI110:AI141" si="210">SQRT(F110/(0.5*L/J110*Fsw_DCM*Nps))</f>
        <v>1.1392801164215364E-4</v>
      </c>
      <c r="AJ110" s="177">
        <f t="shared" ref="AJ110:AJ141" si="211">MAX(IF(F110&gt;AC110,U110,AI110),Isw_min)</f>
        <v>0.82</v>
      </c>
      <c r="AK110" s="177">
        <f t="shared" ref="AK110:AK141" si="212">IF(F110&gt;AG110, (AJ110-Isw_min)/1.08*0.8+1.2, AF110*0.2/350+1)</f>
        <v>1.0068571428571429</v>
      </c>
      <c r="AM110" s="559">
        <f t="shared" ref="AM110:AM141" si="213">F110*1000</f>
        <v>1.0000000000000002E-6</v>
      </c>
      <c r="AN110" s="469">
        <f t="shared" ref="AN110:AN141" si="214">IF(F110&gt;AG110, Y110, AF110)</f>
        <v>12</v>
      </c>
      <c r="AP110" s="469">
        <f t="shared" ref="AP110:AP141" si="215">IF(H110&gt;N110, "",AM110)</f>
        <v>1.0000000000000002E-6</v>
      </c>
      <c r="AQ110" s="469">
        <f t="shared" ref="AQ110:AQ141" si="216">IF(H110&gt;N110, "",AN110)</f>
        <v>12</v>
      </c>
      <c r="AS110" s="5">
        <f t="shared" si="165"/>
        <v>83.333333333333329</v>
      </c>
      <c r="AT110" s="5">
        <f t="shared" ref="AT110:AT141" si="217">L*AJ110/I110*1000000</f>
        <v>0.47833333333333322</v>
      </c>
      <c r="AU110" s="5">
        <f t="shared" ref="AU110:AU169" si="218">AS110-AT110</f>
        <v>82.85499999999999</v>
      </c>
      <c r="AV110" s="5"/>
      <c r="AW110" s="177">
        <f t="shared" ref="AW110:AW169" si="219">AT110/AS110</f>
        <v>5.7399999999999986E-3</v>
      </c>
      <c r="AX110" s="177">
        <f t="shared" si="143"/>
        <v>2.8240799999999996E-2</v>
      </c>
      <c r="AY110" s="177">
        <f t="shared" si="144"/>
        <v>0.61146990000000001</v>
      </c>
      <c r="AZ110" s="177">
        <f t="shared" si="168"/>
        <v>4.6185102488282739E-2</v>
      </c>
      <c r="BA110" s="469">
        <f t="shared" ref="BA110:BA141" si="220">L*Isw_max^2/(2*Vout_ripple*Vout)*1000000000*((1+M110)/2)^2</f>
        <v>18.128571784263034</v>
      </c>
      <c r="BB110" s="469">
        <f t="shared" ref="BB110:BB141" si="221">L*F110^2/(2*Cout*Vout*Nps^2)*1000000000*((1+M110)/(1-M110))^2+F110*RCoutEsr</f>
        <v>3.0000000583348067E-9</v>
      </c>
      <c r="BC110" s="5">
        <f t="shared" ref="BC110:BC169" si="222">H110/Efficiency/I110*AU110/Vinripple1</f>
        <v>1.4535964912280702E-7</v>
      </c>
      <c r="BD110" s="469">
        <f t="shared" ref="BD110:BD141" si="223">((BY110/I110/Efficiency)*AU110/Cin+(BY110/I110/Efficiency)*RCinEsr)*1000</f>
        <v>1.0905921052631582E-5</v>
      </c>
      <c r="BF110" s="177">
        <f t="shared" si="169"/>
        <v>3.586816601574902E-2</v>
      </c>
      <c r="BG110" s="177">
        <f t="shared" si="149"/>
        <v>0.70809979381440302</v>
      </c>
      <c r="BI110" s="542">
        <f t="shared" ref="BI110:BI169" si="224">Rdson*BF110^2</f>
        <v>1.4151778666666662E-4</v>
      </c>
      <c r="BJ110" s="542">
        <f t="shared" ref="BJ110:BJ169" si="225">0.5*K110*AJ110*AN110*1000*Trise</f>
        <v>1.7638200000000001E-3</v>
      </c>
      <c r="BK110" s="542">
        <f t="shared" ref="BK110:BK169" si="226">Qg*Vdd*AN110*1000</f>
        <v>5.9999999999999995E-4</v>
      </c>
      <c r="BL110" s="542">
        <f t="shared" ref="BL110:BL169" si="227">0.5*(Coss+Csw)*K110^2*AN110*1000</f>
        <v>3.4701007500000003E-3</v>
      </c>
      <c r="BM110">
        <f t="shared" ref="BM110:BM169" si="228">I110*IQ</f>
        <v>3.48E-3</v>
      </c>
      <c r="BN110" s="469">
        <f t="shared" ref="BN110:BN169" si="229">SUM(BI110:BM110)*1000</f>
        <v>9.4554385366666676</v>
      </c>
      <c r="BO110" s="542">
        <f t="shared" ref="BO110:BO169" si="230">Vfwd2*F110</f>
        <v>9.000000000000001E-10</v>
      </c>
      <c r="BR110" s="469">
        <f t="shared" ref="BR110:BR169" si="231">SUM(BO110:BQ110)*1000</f>
        <v>9.0000000000000007E-7</v>
      </c>
      <c r="BS110" s="542">
        <f t="shared" ref="BS110:BS169" si="232">Rdcr_pri*BF110^2</f>
        <v>0</v>
      </c>
      <c r="BT110" s="542">
        <f t="shared" ref="BT110:BT169" si="233">Rdcr_sec*BG110^2</f>
        <v>0</v>
      </c>
      <c r="BU110" s="542">
        <f t="shared" ref="BU110:BU169" si="234">AJ110^2.5*AN110^2.5*k_core</f>
        <v>0</v>
      </c>
      <c r="BV110" s="542">
        <f t="shared" ref="BV110:BV169" si="235">0.5*Lleak*0.000000001*AJ110^2*AN110*1000</f>
        <v>0</v>
      </c>
      <c r="BW110" s="469">
        <f t="shared" ref="BW110:BW169" si="236">SUM(BS110:BV110)*1000</f>
        <v>0</v>
      </c>
      <c r="BX110" s="177">
        <f t="shared" ref="BX110:BX169" si="237">SUM(BI110:BM110,BO110:BQ110,BS110:BV110)</f>
        <v>9.4554394366666676E-3</v>
      </c>
      <c r="BY110" s="5">
        <f t="shared" ref="BY110:BY169" si="238">MIN(H110,O110)</f>
        <v>1.5000000000000002E-8</v>
      </c>
      <c r="BZ110" s="177">
        <f t="shared" ref="BZ110:BZ169" si="239">BY110/(BY110+BX110)</f>
        <v>1.5863859426821957E-6</v>
      </c>
      <c r="CA110" s="5">
        <f t="shared" ref="CA110:CA169" si="240">BZ110*100</f>
        <v>1.5863859426821958E-4</v>
      </c>
      <c r="CD110" s="576">
        <f t="shared" ref="CD110:CD141" si="241">IF(ABS(F110-Ioutmax_Vinmin)&lt;Iout/200, AN110, -50)</f>
        <v>-50</v>
      </c>
      <c r="CE110">
        <f t="shared" ref="CE110:CE141" si="242">IF(ABS(F110-Ioutmax_Vinmin)&lt;Iout/200, N110*BZ110, -50)</f>
        <v>-50</v>
      </c>
    </row>
    <row r="111" spans="5:83" x14ac:dyDescent="0.25">
      <c r="E111" s="174">
        <v>1</v>
      </c>
      <c r="F111" s="221">
        <f t="shared" ref="F111:F142" si="243">IF(PLOT_TYPE=1, E111/100*Iout_max, min_I*EXP(N111*rr/100))</f>
        <v>0.01</v>
      </c>
      <c r="G111" s="221"/>
      <c r="H111" s="221">
        <f t="shared" si="190"/>
        <v>0.15</v>
      </c>
      <c r="I111" s="555">
        <f t="shared" si="191"/>
        <v>12</v>
      </c>
      <c r="J111" s="451">
        <f t="shared" si="192"/>
        <v>23.85</v>
      </c>
      <c r="K111" s="451">
        <f t="shared" si="193"/>
        <v>35.85</v>
      </c>
      <c r="L111" s="451"/>
      <c r="M111" s="221">
        <f t="shared" si="194"/>
        <v>0.66527196652719667</v>
      </c>
      <c r="N111" s="176">
        <f t="shared" ref="N111:N141" si="244">M111*I111*Isw_max*0.5*Efficiency</f>
        <v>15.547405857740586</v>
      </c>
      <c r="O111" s="176">
        <f t="shared" si="163"/>
        <v>0.15</v>
      </c>
      <c r="P111" s="221">
        <f t="shared" si="195"/>
        <v>1.0364937238493723</v>
      </c>
      <c r="Q111" s="221">
        <f t="shared" si="196"/>
        <v>15</v>
      </c>
      <c r="R111" s="221"/>
      <c r="S111" s="176">
        <f t="shared" si="197"/>
        <v>2329.0030902572853</v>
      </c>
      <c r="T111" s="176">
        <f t="shared" si="198"/>
        <v>15</v>
      </c>
      <c r="U111" s="221">
        <f t="shared" si="199"/>
        <v>3.9556438265475009E-2</v>
      </c>
      <c r="V111" s="221">
        <f t="shared" si="200"/>
        <v>2.3074588988193756E-2</v>
      </c>
      <c r="W111" s="221">
        <f t="shared" si="201"/>
        <v>1.1609856094688682E-2</v>
      </c>
      <c r="X111" s="201">
        <f t="shared" si="202"/>
        <v>350</v>
      </c>
      <c r="Y111" s="451">
        <f t="shared" si="203"/>
        <v>350</v>
      </c>
      <c r="AA111" s="221">
        <f t="shared" si="204"/>
        <v>3.2584749380923919</v>
      </c>
      <c r="AB111" s="177">
        <f t="shared" si="205"/>
        <v>0.95636580992229525</v>
      </c>
      <c r="AC111" s="177">
        <f t="shared" si="206"/>
        <v>0.81802718111106087</v>
      </c>
      <c r="AD111" s="177"/>
      <c r="AE111" s="177">
        <f t="shared" si="207"/>
        <v>0.24067085953878403</v>
      </c>
      <c r="AF111" s="559">
        <f t="shared" si="208"/>
        <v>67.561825444038433</v>
      </c>
      <c r="AG111" s="542">
        <f t="shared" si="209"/>
        <v>5.1804402515723262E-2</v>
      </c>
      <c r="AI111" s="177">
        <f t="shared" si="210"/>
        <v>0.3602720060833855</v>
      </c>
      <c r="AJ111" s="177">
        <f t="shared" si="211"/>
        <v>0.82</v>
      </c>
      <c r="AK111" s="177">
        <f t="shared" si="212"/>
        <v>1.0386067573965934</v>
      </c>
      <c r="AM111" s="559">
        <f t="shared" si="213"/>
        <v>10</v>
      </c>
      <c r="AN111" s="469">
        <f t="shared" si="214"/>
        <v>67.561825444038433</v>
      </c>
      <c r="AP111" s="469">
        <f t="shared" si="215"/>
        <v>10</v>
      </c>
      <c r="AQ111" s="469">
        <f t="shared" si="216"/>
        <v>67.561825444038433</v>
      </c>
      <c r="AS111" s="5">
        <f t="shared" si="165"/>
        <v>14.801257861635216</v>
      </c>
      <c r="AT111" s="5">
        <f t="shared" si="217"/>
        <v>0.47833333333333322</v>
      </c>
      <c r="AU111" s="5">
        <f t="shared" si="218"/>
        <v>14.322924528301883</v>
      </c>
      <c r="AV111" s="5"/>
      <c r="AW111" s="177">
        <f t="shared" si="219"/>
        <v>3.2317073170731708E-2</v>
      </c>
      <c r="AX111" s="177">
        <f t="shared" si="143"/>
        <v>0.15900000000000003</v>
      </c>
      <c r="AY111" s="177">
        <f t="shared" si="144"/>
        <v>0.59512500000000002</v>
      </c>
      <c r="AZ111" s="177">
        <f t="shared" si="168"/>
        <v>0.2671707624448646</v>
      </c>
      <c r="BA111" s="469">
        <f t="shared" si="220"/>
        <v>18.128571784263034</v>
      </c>
      <c r="BB111" s="469">
        <f t="shared" si="221"/>
        <v>3.5833480639730644E-2</v>
      </c>
      <c r="BC111" s="5">
        <f t="shared" si="222"/>
        <v>0.2512793776895067</v>
      </c>
      <c r="BD111" s="469">
        <f t="shared" si="223"/>
        <v>18.885427010923529</v>
      </c>
      <c r="BF111" s="177">
        <f t="shared" si="169"/>
        <v>8.5107774811313985E-2</v>
      </c>
      <c r="BG111" s="177">
        <f t="shared" si="149"/>
        <v>0.6985717572304222</v>
      </c>
      <c r="BI111" s="542">
        <f t="shared" si="224"/>
        <v>7.967666666666665E-4</v>
      </c>
      <c r="BJ111" s="542">
        <f t="shared" si="225"/>
        <v>9.9305749128919887E-3</v>
      </c>
      <c r="BK111" s="542">
        <f t="shared" si="226"/>
        <v>3.3780912722019218E-3</v>
      </c>
      <c r="BL111" s="542">
        <f t="shared" si="227"/>
        <v>1.9537195095393908E-2</v>
      </c>
      <c r="BM111">
        <f t="shared" si="228"/>
        <v>3.48E-3</v>
      </c>
      <c r="BN111" s="469">
        <f t="shared" si="229"/>
        <v>37.122627947154484</v>
      </c>
      <c r="BO111" s="542">
        <f t="shared" si="230"/>
        <v>9.0000000000000011E-3</v>
      </c>
      <c r="BR111" s="469">
        <f t="shared" si="231"/>
        <v>9.0000000000000018</v>
      </c>
      <c r="BS111" s="542">
        <f t="shared" si="232"/>
        <v>0</v>
      </c>
      <c r="BT111" s="542">
        <f t="shared" si="233"/>
        <v>0</v>
      </c>
      <c r="BU111" s="542">
        <f t="shared" si="234"/>
        <v>0</v>
      </c>
      <c r="BV111" s="542">
        <f t="shared" si="235"/>
        <v>0</v>
      </c>
      <c r="BW111" s="469">
        <f t="shared" si="236"/>
        <v>0</v>
      </c>
      <c r="BX111" s="177">
        <f t="shared" si="237"/>
        <v>4.6122627947154486E-2</v>
      </c>
      <c r="BY111" s="5">
        <f t="shared" si="238"/>
        <v>0.15</v>
      </c>
      <c r="BZ111" s="177">
        <f t="shared" si="239"/>
        <v>0.76482760592223809</v>
      </c>
      <c r="CA111" s="5">
        <f t="shared" si="240"/>
        <v>76.482760592223812</v>
      </c>
      <c r="CD111" s="576">
        <f t="shared" si="241"/>
        <v>-50</v>
      </c>
      <c r="CE111">
        <f t="shared" si="242"/>
        <v>-50</v>
      </c>
    </row>
    <row r="112" spans="5:83" x14ac:dyDescent="0.25">
      <c r="E112" s="174">
        <v>2</v>
      </c>
      <c r="F112" s="221">
        <f t="shared" si="243"/>
        <v>0.02</v>
      </c>
      <c r="G112" s="221"/>
      <c r="H112" s="221">
        <f t="shared" si="190"/>
        <v>0.3</v>
      </c>
      <c r="I112" s="555">
        <f t="shared" si="191"/>
        <v>12</v>
      </c>
      <c r="J112" s="451">
        <f t="shared" si="192"/>
        <v>23.85</v>
      </c>
      <c r="K112" s="451">
        <f t="shared" si="193"/>
        <v>35.85</v>
      </c>
      <c r="L112" s="451"/>
      <c r="M112" s="221">
        <f t="shared" si="194"/>
        <v>0.66527196652719667</v>
      </c>
      <c r="N112" s="176">
        <f t="shared" si="244"/>
        <v>15.547405857740586</v>
      </c>
      <c r="O112" s="176">
        <f t="shared" si="163"/>
        <v>0.3</v>
      </c>
      <c r="P112" s="221">
        <f t="shared" si="195"/>
        <v>1.0364937238493723</v>
      </c>
      <c r="Q112" s="221">
        <f t="shared" si="196"/>
        <v>15</v>
      </c>
      <c r="R112" s="221"/>
      <c r="S112" s="176">
        <f t="shared" si="197"/>
        <v>1160.5061993814084</v>
      </c>
      <c r="T112" s="176">
        <f t="shared" si="198"/>
        <v>15</v>
      </c>
      <c r="U112" s="221">
        <f t="shared" si="199"/>
        <v>7.9112876530950019E-2</v>
      </c>
      <c r="V112" s="221">
        <f t="shared" si="200"/>
        <v>4.6149177976387512E-2</v>
      </c>
      <c r="W112" s="221">
        <f t="shared" si="201"/>
        <v>2.3219712189377364E-2</v>
      </c>
      <c r="X112" s="201">
        <f t="shared" si="202"/>
        <v>350</v>
      </c>
      <c r="Y112" s="451">
        <f t="shared" si="203"/>
        <v>350</v>
      </c>
      <c r="AA112" s="221">
        <f t="shared" si="204"/>
        <v>3.2584749380923919</v>
      </c>
      <c r="AB112" s="177">
        <f t="shared" si="205"/>
        <v>0.95636580992229525</v>
      </c>
      <c r="AC112" s="177">
        <f t="shared" si="206"/>
        <v>0.81802718111106087</v>
      </c>
      <c r="AD112" s="177"/>
      <c r="AE112" s="177">
        <f t="shared" si="207"/>
        <v>0.24067085953878403</v>
      </c>
      <c r="AF112" s="559">
        <f t="shared" si="208"/>
        <v>135.12365088807687</v>
      </c>
      <c r="AG112" s="542">
        <f t="shared" si="209"/>
        <v>5.1804402515723262E-2</v>
      </c>
      <c r="AI112" s="177">
        <f t="shared" si="210"/>
        <v>0.50950155714648604</v>
      </c>
      <c r="AJ112" s="177">
        <f t="shared" si="211"/>
        <v>0.82</v>
      </c>
      <c r="AK112" s="177">
        <f t="shared" si="212"/>
        <v>1.0772135147931867</v>
      </c>
      <c r="AM112" s="559">
        <f t="shared" si="213"/>
        <v>20</v>
      </c>
      <c r="AN112" s="469">
        <f t="shared" si="214"/>
        <v>135.12365088807687</v>
      </c>
      <c r="AP112" s="469">
        <f t="shared" si="215"/>
        <v>20</v>
      </c>
      <c r="AQ112" s="469">
        <f t="shared" si="216"/>
        <v>135.12365088807687</v>
      </c>
      <c r="AS112" s="5">
        <f t="shared" si="165"/>
        <v>7.4006289308176081</v>
      </c>
      <c r="AT112" s="5">
        <f t="shared" si="217"/>
        <v>0.47833333333333322</v>
      </c>
      <c r="AU112" s="5">
        <f t="shared" si="218"/>
        <v>6.9222955974842746</v>
      </c>
      <c r="AV112" s="5"/>
      <c r="AW112" s="177">
        <f t="shared" si="219"/>
        <v>6.4634146341463417E-2</v>
      </c>
      <c r="AX112" s="177">
        <f t="shared" si="143"/>
        <v>0.31800000000000006</v>
      </c>
      <c r="AY112" s="177">
        <f t="shared" si="144"/>
        <v>0.57524999999999993</v>
      </c>
      <c r="AZ112" s="177">
        <f t="shared" si="168"/>
        <v>0.55280312907431572</v>
      </c>
      <c r="BA112" s="469">
        <f t="shared" si="220"/>
        <v>18.128571784263034</v>
      </c>
      <c r="BB112" s="469">
        <f t="shared" si="221"/>
        <v>8.3333922558922566E-2</v>
      </c>
      <c r="BC112" s="5">
        <f t="shared" si="222"/>
        <v>0.24288756482400964</v>
      </c>
      <c r="BD112" s="469">
        <f t="shared" si="223"/>
        <v>18.295514730221779</v>
      </c>
      <c r="BF112" s="177">
        <f t="shared" si="169"/>
        <v>0.12036056940155553</v>
      </c>
      <c r="BG112" s="177">
        <f t="shared" si="149"/>
        <v>0.68680783338572937</v>
      </c>
      <c r="BI112" s="542">
        <f t="shared" si="224"/>
        <v>1.5935333333333332E-3</v>
      </c>
      <c r="BJ112" s="542">
        <f t="shared" si="225"/>
        <v>1.9861149825783977E-2</v>
      </c>
      <c r="BK112" s="542">
        <f t="shared" si="226"/>
        <v>6.7561825444038435E-3</v>
      </c>
      <c r="BL112" s="542">
        <f t="shared" si="227"/>
        <v>3.9074390190787817E-2</v>
      </c>
      <c r="BM112">
        <f t="shared" si="228"/>
        <v>3.48E-3</v>
      </c>
      <c r="BN112" s="469">
        <f t="shared" si="229"/>
        <v>70.765255894308979</v>
      </c>
      <c r="BO112" s="542">
        <f t="shared" si="230"/>
        <v>1.8000000000000002E-2</v>
      </c>
      <c r="BR112" s="469">
        <f t="shared" si="231"/>
        <v>18.000000000000004</v>
      </c>
      <c r="BS112" s="542">
        <f t="shared" si="232"/>
        <v>0</v>
      </c>
      <c r="BT112" s="542">
        <f t="shared" si="233"/>
        <v>0</v>
      </c>
      <c r="BU112" s="542">
        <f t="shared" si="234"/>
        <v>0</v>
      </c>
      <c r="BV112" s="542">
        <f t="shared" si="235"/>
        <v>0</v>
      </c>
      <c r="BW112" s="469">
        <f t="shared" si="236"/>
        <v>0</v>
      </c>
      <c r="BX112" s="177">
        <f t="shared" si="237"/>
        <v>8.8765255894308975E-2</v>
      </c>
      <c r="BY112" s="5">
        <f t="shared" si="238"/>
        <v>0.3</v>
      </c>
      <c r="BZ112" s="177">
        <f t="shared" si="239"/>
        <v>0.77167389691212263</v>
      </c>
      <c r="CA112" s="5">
        <f t="shared" si="240"/>
        <v>77.167389691212264</v>
      </c>
      <c r="CD112" s="576">
        <f t="shared" si="241"/>
        <v>-50</v>
      </c>
      <c r="CE112">
        <f t="shared" si="242"/>
        <v>-50</v>
      </c>
    </row>
    <row r="113" spans="5:83" x14ac:dyDescent="0.25">
      <c r="E113" s="174">
        <v>3</v>
      </c>
      <c r="F113" s="221">
        <f t="shared" si="243"/>
        <v>0.03</v>
      </c>
      <c r="G113" s="221"/>
      <c r="H113" s="221">
        <f t="shared" si="190"/>
        <v>0.44999999999999996</v>
      </c>
      <c r="I113" s="555">
        <f t="shared" si="191"/>
        <v>12</v>
      </c>
      <c r="J113" s="451">
        <f t="shared" si="192"/>
        <v>23.85</v>
      </c>
      <c r="K113" s="451">
        <f t="shared" si="193"/>
        <v>35.85</v>
      </c>
      <c r="L113" s="451"/>
      <c r="M113" s="221">
        <f t="shared" si="194"/>
        <v>0.66527196652719667</v>
      </c>
      <c r="N113" s="176">
        <f t="shared" si="244"/>
        <v>15.547405857740586</v>
      </c>
      <c r="O113" s="176">
        <f t="shared" si="163"/>
        <v>0.44999999999999996</v>
      </c>
      <c r="P113" s="221">
        <f t="shared" si="195"/>
        <v>1.0364937238493723</v>
      </c>
      <c r="Q113" s="221">
        <f t="shared" si="196"/>
        <v>15</v>
      </c>
      <c r="R113" s="221"/>
      <c r="S113" s="176">
        <f t="shared" si="197"/>
        <v>771.00932752040069</v>
      </c>
      <c r="T113" s="176">
        <f t="shared" si="198"/>
        <v>15</v>
      </c>
      <c r="U113" s="221">
        <f t="shared" si="199"/>
        <v>0.11866931479642502</v>
      </c>
      <c r="V113" s="221">
        <f t="shared" si="200"/>
        <v>6.9223766964581268E-2</v>
      </c>
      <c r="W113" s="221">
        <f t="shared" si="201"/>
        <v>3.482956828406604E-2</v>
      </c>
      <c r="X113" s="201">
        <f t="shared" si="202"/>
        <v>350</v>
      </c>
      <c r="Y113" s="451">
        <f t="shared" si="203"/>
        <v>350</v>
      </c>
      <c r="AA113" s="221">
        <f t="shared" si="204"/>
        <v>3.2584749380923919</v>
      </c>
      <c r="AB113" s="177">
        <f t="shared" si="205"/>
        <v>0.95636580992229525</v>
      </c>
      <c r="AC113" s="177">
        <f t="shared" si="206"/>
        <v>0.81802718111106087</v>
      </c>
      <c r="AD113" s="177"/>
      <c r="AE113" s="177">
        <f t="shared" si="207"/>
        <v>0.24067085953878403</v>
      </c>
      <c r="AF113" s="559">
        <f t="shared" si="208"/>
        <v>202.68547633211526</v>
      </c>
      <c r="AG113" s="542">
        <f t="shared" si="209"/>
        <v>5.1804402515723262E-2</v>
      </c>
      <c r="AI113" s="177">
        <f t="shared" si="210"/>
        <v>0.62400941908118734</v>
      </c>
      <c r="AJ113" s="177">
        <f t="shared" si="211"/>
        <v>0.82</v>
      </c>
      <c r="AK113" s="177">
        <f t="shared" si="212"/>
        <v>1.1158202721897801</v>
      </c>
      <c r="AM113" s="559">
        <f t="shared" si="213"/>
        <v>30</v>
      </c>
      <c r="AN113" s="469">
        <f t="shared" si="214"/>
        <v>202.68547633211526</v>
      </c>
      <c r="AP113" s="469">
        <f t="shared" si="215"/>
        <v>30</v>
      </c>
      <c r="AQ113" s="469">
        <f t="shared" si="216"/>
        <v>202.68547633211526</v>
      </c>
      <c r="AS113" s="5">
        <f t="shared" si="165"/>
        <v>4.9337526205450732</v>
      </c>
      <c r="AT113" s="5">
        <f t="shared" si="217"/>
        <v>0.47833333333333322</v>
      </c>
      <c r="AU113" s="5">
        <f t="shared" si="218"/>
        <v>4.4554192872117397</v>
      </c>
      <c r="AV113" s="5"/>
      <c r="AW113" s="177">
        <f t="shared" si="219"/>
        <v>9.6951219512195097E-2</v>
      </c>
      <c r="AX113" s="177">
        <f t="shared" si="143"/>
        <v>0.47699999999999998</v>
      </c>
      <c r="AY113" s="177">
        <f t="shared" si="144"/>
        <v>0.55537499999999995</v>
      </c>
      <c r="AZ113" s="177">
        <f t="shared" si="168"/>
        <v>0.85887913571910879</v>
      </c>
      <c r="BA113" s="469">
        <f t="shared" si="220"/>
        <v>18.128571784263034</v>
      </c>
      <c r="BB113" s="469">
        <f t="shared" si="221"/>
        <v>0.14250132575757576</v>
      </c>
      <c r="BC113" s="5">
        <f t="shared" si="222"/>
        <v>0.2344957519585126</v>
      </c>
      <c r="BD113" s="469">
        <f t="shared" si="223"/>
        <v>17.705602449520025</v>
      </c>
      <c r="BF113" s="177">
        <f t="shared" si="169"/>
        <v>0.14741099009232653</v>
      </c>
      <c r="BG113" s="177">
        <f t="shared" si="149"/>
        <v>0.67483886965704631</v>
      </c>
      <c r="BI113" s="542">
        <f t="shared" si="224"/>
        <v>2.3902999999999988E-3</v>
      </c>
      <c r="BJ113" s="542">
        <f t="shared" si="225"/>
        <v>2.9791724738675963E-2</v>
      </c>
      <c r="BK113" s="542">
        <f t="shared" si="226"/>
        <v>1.0134273816605761E-2</v>
      </c>
      <c r="BL113" s="542">
        <f t="shared" si="227"/>
        <v>5.8611585286181711E-2</v>
      </c>
      <c r="BM113">
        <f t="shared" si="228"/>
        <v>3.48E-3</v>
      </c>
      <c r="BN113" s="469">
        <f t="shared" si="229"/>
        <v>104.40788384146343</v>
      </c>
      <c r="BO113" s="542">
        <f t="shared" si="230"/>
        <v>2.7E-2</v>
      </c>
      <c r="BR113" s="469">
        <f t="shared" si="231"/>
        <v>27</v>
      </c>
      <c r="BS113" s="542">
        <f t="shared" si="232"/>
        <v>0</v>
      </c>
      <c r="BT113" s="542">
        <f t="shared" si="233"/>
        <v>0</v>
      </c>
      <c r="BU113" s="542">
        <f t="shared" si="234"/>
        <v>0</v>
      </c>
      <c r="BV113" s="542">
        <f t="shared" si="235"/>
        <v>0</v>
      </c>
      <c r="BW113" s="469">
        <f t="shared" si="236"/>
        <v>0</v>
      </c>
      <c r="BX113" s="177">
        <f t="shared" si="237"/>
        <v>0.13140788384146343</v>
      </c>
      <c r="BY113" s="5">
        <f t="shared" si="238"/>
        <v>0.44999999999999996</v>
      </c>
      <c r="BZ113" s="177">
        <f t="shared" si="239"/>
        <v>0.77398331275931698</v>
      </c>
      <c r="CA113" s="5">
        <f t="shared" si="240"/>
        <v>77.398331275931696</v>
      </c>
      <c r="CD113" s="576">
        <f t="shared" si="241"/>
        <v>-50</v>
      </c>
      <c r="CE113">
        <f t="shared" si="242"/>
        <v>-50</v>
      </c>
    </row>
    <row r="114" spans="5:83" x14ac:dyDescent="0.25">
      <c r="E114" s="174">
        <v>4</v>
      </c>
      <c r="F114" s="221">
        <f t="shared" si="243"/>
        <v>0.04</v>
      </c>
      <c r="G114" s="221"/>
      <c r="H114" s="221">
        <f t="shared" si="190"/>
        <v>0.6</v>
      </c>
      <c r="I114" s="555">
        <f t="shared" si="191"/>
        <v>12</v>
      </c>
      <c r="J114" s="451">
        <f t="shared" si="192"/>
        <v>23.85</v>
      </c>
      <c r="K114" s="451">
        <f t="shared" si="193"/>
        <v>35.85</v>
      </c>
      <c r="L114" s="451"/>
      <c r="M114" s="221">
        <f t="shared" si="194"/>
        <v>0.66527196652719667</v>
      </c>
      <c r="N114" s="176">
        <f t="shared" si="244"/>
        <v>15.547405857740586</v>
      </c>
      <c r="O114" s="176">
        <f t="shared" si="163"/>
        <v>0.6</v>
      </c>
      <c r="P114" s="221">
        <f t="shared" si="195"/>
        <v>1.0364937238493723</v>
      </c>
      <c r="Q114" s="221">
        <f t="shared" si="196"/>
        <v>15</v>
      </c>
      <c r="R114" s="221"/>
      <c r="S114" s="176">
        <f t="shared" si="197"/>
        <v>576.26247482349265</v>
      </c>
      <c r="T114" s="176">
        <f t="shared" si="198"/>
        <v>15</v>
      </c>
      <c r="U114" s="221">
        <f t="shared" si="199"/>
        <v>0.15822575306190004</v>
      </c>
      <c r="V114" s="221">
        <f t="shared" si="200"/>
        <v>9.2298355952775024E-2</v>
      </c>
      <c r="W114" s="221">
        <f t="shared" si="201"/>
        <v>4.6439424378754729E-2</v>
      </c>
      <c r="X114" s="201">
        <f t="shared" si="202"/>
        <v>350</v>
      </c>
      <c r="Y114" s="451">
        <f t="shared" si="203"/>
        <v>350</v>
      </c>
      <c r="AA114" s="221">
        <f t="shared" si="204"/>
        <v>3.2584749380923919</v>
      </c>
      <c r="AB114" s="177">
        <f t="shared" si="205"/>
        <v>0.95636580992229525</v>
      </c>
      <c r="AC114" s="177">
        <f t="shared" si="206"/>
        <v>0.81802718111106087</v>
      </c>
      <c r="AD114" s="177"/>
      <c r="AE114" s="177">
        <f t="shared" si="207"/>
        <v>0.24067085953878403</v>
      </c>
      <c r="AF114" s="559">
        <f t="shared" si="208"/>
        <v>270.24730177615373</v>
      </c>
      <c r="AG114" s="542">
        <f t="shared" si="209"/>
        <v>5.1804402515723262E-2</v>
      </c>
      <c r="AI114" s="177">
        <f t="shared" si="210"/>
        <v>0.720544012166771</v>
      </c>
      <c r="AJ114" s="177">
        <f t="shared" si="211"/>
        <v>0.82</v>
      </c>
      <c r="AK114" s="177">
        <f t="shared" si="212"/>
        <v>1.1544270295863737</v>
      </c>
      <c r="AM114" s="559">
        <f t="shared" si="213"/>
        <v>40</v>
      </c>
      <c r="AN114" s="469">
        <f t="shared" si="214"/>
        <v>270.24730177615373</v>
      </c>
      <c r="AP114" s="469">
        <f t="shared" si="215"/>
        <v>40</v>
      </c>
      <c r="AQ114" s="469">
        <f t="shared" si="216"/>
        <v>270.24730177615373</v>
      </c>
      <c r="AS114" s="5">
        <f t="shared" si="165"/>
        <v>3.700314465408804</v>
      </c>
      <c r="AT114" s="5">
        <f t="shared" si="217"/>
        <v>0.47833333333333322</v>
      </c>
      <c r="AU114" s="5">
        <f t="shared" si="218"/>
        <v>3.221981132075471</v>
      </c>
      <c r="AV114" s="5"/>
      <c r="AW114" s="177">
        <f t="shared" si="219"/>
        <v>0.12926829268292683</v>
      </c>
      <c r="AX114" s="177">
        <f t="shared" si="143"/>
        <v>0.63600000000000012</v>
      </c>
      <c r="AY114" s="177">
        <f t="shared" si="144"/>
        <v>0.53549999999999998</v>
      </c>
      <c r="AZ114" s="177">
        <f t="shared" si="168"/>
        <v>1.1876750700280114</v>
      </c>
      <c r="BA114" s="469">
        <f t="shared" si="220"/>
        <v>18.128571784263034</v>
      </c>
      <c r="BB114" s="469">
        <f t="shared" si="221"/>
        <v>0.21333569023569027</v>
      </c>
      <c r="BC114" s="5">
        <f t="shared" si="222"/>
        <v>0.22610393909301549</v>
      </c>
      <c r="BD114" s="469">
        <f t="shared" si="223"/>
        <v>17.115690168818269</v>
      </c>
      <c r="BF114" s="177">
        <f t="shared" si="169"/>
        <v>0.17021554962262797</v>
      </c>
      <c r="BG114" s="177">
        <f t="shared" si="149"/>
        <v>0.66265375574277097</v>
      </c>
      <c r="BI114" s="542">
        <f t="shared" si="224"/>
        <v>3.187066666666666E-3</v>
      </c>
      <c r="BJ114" s="542">
        <f t="shared" si="225"/>
        <v>3.9722299651567955E-2</v>
      </c>
      <c r="BK114" s="542">
        <f t="shared" si="226"/>
        <v>1.3512365088807687E-2</v>
      </c>
      <c r="BL114" s="542">
        <f t="shared" si="227"/>
        <v>7.8148780381575633E-2</v>
      </c>
      <c r="BM114">
        <f t="shared" si="228"/>
        <v>3.48E-3</v>
      </c>
      <c r="BN114" s="469">
        <f t="shared" si="229"/>
        <v>138.05051178861797</v>
      </c>
      <c r="BO114" s="542">
        <f t="shared" si="230"/>
        <v>3.6000000000000004E-2</v>
      </c>
      <c r="BR114" s="469">
        <f t="shared" si="231"/>
        <v>36.000000000000007</v>
      </c>
      <c r="BS114" s="542">
        <f t="shared" si="232"/>
        <v>0</v>
      </c>
      <c r="BT114" s="542">
        <f t="shared" si="233"/>
        <v>0</v>
      </c>
      <c r="BU114" s="542">
        <f t="shared" si="234"/>
        <v>0</v>
      </c>
      <c r="BV114" s="542">
        <f t="shared" si="235"/>
        <v>0</v>
      </c>
      <c r="BW114" s="469">
        <f t="shared" si="236"/>
        <v>0</v>
      </c>
      <c r="BX114" s="177">
        <f t="shared" si="237"/>
        <v>0.17405051178861797</v>
      </c>
      <c r="BY114" s="5">
        <f t="shared" si="238"/>
        <v>0.6</v>
      </c>
      <c r="BZ114" s="177">
        <f t="shared" si="239"/>
        <v>0.77514321205416548</v>
      </c>
      <c r="CA114" s="5">
        <f t="shared" si="240"/>
        <v>77.51432120541655</v>
      </c>
      <c r="CD114" s="576">
        <f t="shared" si="241"/>
        <v>-50</v>
      </c>
      <c r="CE114">
        <f t="shared" si="242"/>
        <v>-50</v>
      </c>
    </row>
    <row r="115" spans="5:83" x14ac:dyDescent="0.25">
      <c r="E115" s="174">
        <v>5</v>
      </c>
      <c r="F115" s="221">
        <f t="shared" si="243"/>
        <v>0.05</v>
      </c>
      <c r="G115" s="221"/>
      <c r="H115" s="221">
        <f t="shared" si="190"/>
        <v>0.75</v>
      </c>
      <c r="I115" s="555">
        <f t="shared" si="191"/>
        <v>12</v>
      </c>
      <c r="J115" s="451">
        <f t="shared" si="192"/>
        <v>23.85</v>
      </c>
      <c r="K115" s="451">
        <f t="shared" si="193"/>
        <v>35.85</v>
      </c>
      <c r="L115" s="451"/>
      <c r="M115" s="221">
        <f t="shared" si="194"/>
        <v>0.66527196652719667</v>
      </c>
      <c r="N115" s="176">
        <f t="shared" si="244"/>
        <v>15.547405857740586</v>
      </c>
      <c r="O115" s="176">
        <f t="shared" si="163"/>
        <v>0.75</v>
      </c>
      <c r="P115" s="221">
        <f t="shared" si="195"/>
        <v>1.0364937238493723</v>
      </c>
      <c r="Q115" s="221">
        <f t="shared" si="196"/>
        <v>15</v>
      </c>
      <c r="R115" s="221"/>
      <c r="S115" s="176">
        <f t="shared" si="197"/>
        <v>459.4156414411151</v>
      </c>
      <c r="T115" s="176">
        <f t="shared" si="198"/>
        <v>15</v>
      </c>
      <c r="U115" s="221">
        <f t="shared" si="199"/>
        <v>0.19778219132737507</v>
      </c>
      <c r="V115" s="221">
        <f t="shared" si="200"/>
        <v>0.11537294494096879</v>
      </c>
      <c r="W115" s="221">
        <f t="shared" si="201"/>
        <v>5.8049280473443411E-2</v>
      </c>
      <c r="X115" s="201">
        <f t="shared" si="202"/>
        <v>350</v>
      </c>
      <c r="Y115" s="451">
        <f t="shared" si="203"/>
        <v>350</v>
      </c>
      <c r="AA115" s="221">
        <f t="shared" si="204"/>
        <v>3.2584749380923919</v>
      </c>
      <c r="AB115" s="177">
        <f t="shared" si="205"/>
        <v>0.95636580992229525</v>
      </c>
      <c r="AC115" s="177">
        <f t="shared" si="206"/>
        <v>0.81802718111106087</v>
      </c>
      <c r="AD115" s="177"/>
      <c r="AE115" s="177">
        <f t="shared" si="207"/>
        <v>0.24067085953878403</v>
      </c>
      <c r="AF115" s="559">
        <f t="shared" si="208"/>
        <v>337.80912722019218</v>
      </c>
      <c r="AG115" s="542">
        <f t="shared" si="209"/>
        <v>5.1804402515723262E-2</v>
      </c>
      <c r="AI115" s="177">
        <f t="shared" si="210"/>
        <v>0.80559269599266781</v>
      </c>
      <c r="AJ115" s="177">
        <f t="shared" si="211"/>
        <v>0.82</v>
      </c>
      <c r="AK115" s="177">
        <f t="shared" si="212"/>
        <v>1.193033786982967</v>
      </c>
      <c r="AM115" s="559">
        <f t="shared" si="213"/>
        <v>50</v>
      </c>
      <c r="AN115" s="469">
        <f t="shared" si="214"/>
        <v>337.80912722019218</v>
      </c>
      <c r="AP115" s="469">
        <f t="shared" si="215"/>
        <v>50</v>
      </c>
      <c r="AQ115" s="469">
        <f t="shared" si="216"/>
        <v>337.80912722019218</v>
      </c>
      <c r="AS115" s="5">
        <f t="shared" si="165"/>
        <v>2.9602515723270431</v>
      </c>
      <c r="AT115" s="5">
        <f t="shared" si="217"/>
        <v>0.47833333333333322</v>
      </c>
      <c r="AU115" s="5">
        <f t="shared" si="218"/>
        <v>2.48191823899371</v>
      </c>
      <c r="AV115" s="5"/>
      <c r="AW115" s="177">
        <f t="shared" si="219"/>
        <v>0.16158536585365854</v>
      </c>
      <c r="AX115" s="177">
        <f t="shared" si="143"/>
        <v>0.79500000000000026</v>
      </c>
      <c r="AY115" s="177">
        <f t="shared" si="144"/>
        <v>0.515625</v>
      </c>
      <c r="AZ115" s="177">
        <f t="shared" si="168"/>
        <v>1.5418181818181824</v>
      </c>
      <c r="BA115" s="469">
        <f t="shared" si="220"/>
        <v>18.128571784263034</v>
      </c>
      <c r="BB115" s="469">
        <f t="shared" si="221"/>
        <v>0.29583701599326606</v>
      </c>
      <c r="BC115" s="5">
        <f t="shared" si="222"/>
        <v>0.21771212622751843</v>
      </c>
      <c r="BD115" s="469">
        <f t="shared" si="223"/>
        <v>16.525777888116512</v>
      </c>
      <c r="BF115" s="177">
        <f t="shared" si="169"/>
        <v>0.19030676989184245</v>
      </c>
      <c r="BG115" s="177">
        <f t="shared" si="149"/>
        <v>0.65024034018199761</v>
      </c>
      <c r="BI115" s="542">
        <f t="shared" si="224"/>
        <v>3.9838333333333332E-3</v>
      </c>
      <c r="BJ115" s="542">
        <f t="shared" si="225"/>
        <v>4.9652874564459951E-2</v>
      </c>
      <c r="BK115" s="542">
        <f t="shared" si="226"/>
        <v>1.6890456361009609E-2</v>
      </c>
      <c r="BL115" s="542">
        <f t="shared" si="227"/>
        <v>9.7685975476969542E-2</v>
      </c>
      <c r="BM115">
        <f t="shared" si="228"/>
        <v>3.48E-3</v>
      </c>
      <c r="BN115" s="469">
        <f t="shared" si="229"/>
        <v>171.69313973577246</v>
      </c>
      <c r="BO115" s="542">
        <f t="shared" si="230"/>
        <v>4.5000000000000005E-2</v>
      </c>
      <c r="BR115" s="469">
        <f t="shared" si="231"/>
        <v>45.000000000000007</v>
      </c>
      <c r="BS115" s="542">
        <f t="shared" si="232"/>
        <v>0</v>
      </c>
      <c r="BT115" s="542">
        <f t="shared" si="233"/>
        <v>0</v>
      </c>
      <c r="BU115" s="542">
        <f t="shared" si="234"/>
        <v>0</v>
      </c>
      <c r="BV115" s="542">
        <f t="shared" si="235"/>
        <v>0</v>
      </c>
      <c r="BW115" s="469">
        <f t="shared" si="236"/>
        <v>0</v>
      </c>
      <c r="BX115" s="177">
        <f t="shared" si="237"/>
        <v>0.21669313973577248</v>
      </c>
      <c r="BY115" s="5">
        <f t="shared" si="238"/>
        <v>0.75</v>
      </c>
      <c r="BZ115" s="177">
        <f t="shared" si="239"/>
        <v>0.77584082184031888</v>
      </c>
      <c r="CA115" s="5">
        <f t="shared" si="240"/>
        <v>77.584082184031885</v>
      </c>
      <c r="CD115" s="576">
        <f t="shared" si="241"/>
        <v>-50</v>
      </c>
      <c r="CE115">
        <f t="shared" si="242"/>
        <v>-50</v>
      </c>
    </row>
    <row r="116" spans="5:83" x14ac:dyDescent="0.25">
      <c r="E116" s="174">
        <v>6</v>
      </c>
      <c r="F116" s="221">
        <f t="shared" si="243"/>
        <v>0.06</v>
      </c>
      <c r="G116" s="221"/>
      <c r="H116" s="221">
        <f t="shared" si="190"/>
        <v>0.89999999999999991</v>
      </c>
      <c r="I116" s="555">
        <f t="shared" si="191"/>
        <v>12</v>
      </c>
      <c r="J116" s="451">
        <f t="shared" si="192"/>
        <v>23.85</v>
      </c>
      <c r="K116" s="451">
        <f t="shared" si="193"/>
        <v>35.85</v>
      </c>
      <c r="L116" s="451"/>
      <c r="M116" s="221">
        <f t="shared" si="194"/>
        <v>0.66527196652719667</v>
      </c>
      <c r="N116" s="176">
        <f t="shared" si="244"/>
        <v>15.547405857740586</v>
      </c>
      <c r="O116" s="176">
        <f t="shared" si="163"/>
        <v>0.89999999999999991</v>
      </c>
      <c r="P116" s="221">
        <f t="shared" si="195"/>
        <v>1.0364937238493723</v>
      </c>
      <c r="Q116" s="221">
        <f t="shared" si="196"/>
        <v>15</v>
      </c>
      <c r="R116" s="221"/>
      <c r="S116" s="176">
        <f t="shared" si="197"/>
        <v>381.51882752490661</v>
      </c>
      <c r="T116" s="176">
        <f t="shared" si="198"/>
        <v>15</v>
      </c>
      <c r="U116" s="221">
        <f t="shared" si="199"/>
        <v>0.23733862959285004</v>
      </c>
      <c r="V116" s="221">
        <f t="shared" si="200"/>
        <v>0.13844753392916254</v>
      </c>
      <c r="W116" s="221">
        <f t="shared" si="201"/>
        <v>6.965913656813208E-2</v>
      </c>
      <c r="X116" s="201">
        <f t="shared" si="202"/>
        <v>350</v>
      </c>
      <c r="Y116" s="451">
        <f t="shared" si="203"/>
        <v>350</v>
      </c>
      <c r="AA116" s="221">
        <f t="shared" si="204"/>
        <v>3.2584749380923919</v>
      </c>
      <c r="AB116" s="177">
        <f t="shared" si="205"/>
        <v>0.95636580992229525</v>
      </c>
      <c r="AC116" s="177">
        <f t="shared" si="206"/>
        <v>0.81802718111106087</v>
      </c>
      <c r="AD116" s="177"/>
      <c r="AE116" s="177">
        <f t="shared" si="207"/>
        <v>0.24067085953878403</v>
      </c>
      <c r="AF116" s="559">
        <f t="shared" si="208"/>
        <v>405.37095266423051</v>
      </c>
      <c r="AG116" s="542">
        <f t="shared" si="209"/>
        <v>5.1804402515723262E-2</v>
      </c>
      <c r="AI116" s="177">
        <f t="shared" si="210"/>
        <v>0.88248258351317155</v>
      </c>
      <c r="AJ116" s="177">
        <f t="shared" si="211"/>
        <v>0.88248258351317155</v>
      </c>
      <c r="AK116" s="177">
        <f t="shared" si="212"/>
        <v>1.2462833951949419</v>
      </c>
      <c r="AM116" s="559">
        <f t="shared" si="213"/>
        <v>60</v>
      </c>
      <c r="AN116" s="469">
        <f t="shared" si="214"/>
        <v>350</v>
      </c>
      <c r="AP116" s="469">
        <f t="shared" si="215"/>
        <v>60</v>
      </c>
      <c r="AQ116" s="469">
        <f t="shared" si="216"/>
        <v>350</v>
      </c>
      <c r="AS116" s="5">
        <f t="shared" si="165"/>
        <v>2.8571428571428572</v>
      </c>
      <c r="AT116" s="5">
        <f t="shared" si="217"/>
        <v>0.51478150704935</v>
      </c>
      <c r="AU116" s="5">
        <f t="shared" si="218"/>
        <v>2.3423613500935074</v>
      </c>
      <c r="AV116" s="5"/>
      <c r="AW116" s="177">
        <f t="shared" si="219"/>
        <v>0.1801735274672725</v>
      </c>
      <c r="AX116" s="177">
        <f t="shared" si="143"/>
        <v>0.95400000000000007</v>
      </c>
      <c r="AY116" s="177">
        <f t="shared" si="144"/>
        <v>0.54261193763487869</v>
      </c>
      <c r="AZ116" s="177">
        <f t="shared" si="168"/>
        <v>1.7581625722395047</v>
      </c>
      <c r="BA116" s="469">
        <f t="shared" si="220"/>
        <v>18.128571784263034</v>
      </c>
      <c r="BB116" s="469">
        <f t="shared" si="221"/>
        <v>0.39000530303030306</v>
      </c>
      <c r="BC116" s="5">
        <f t="shared" si="222"/>
        <v>0.24656435264142182</v>
      </c>
      <c r="BD116" s="469">
        <f t="shared" si="223"/>
        <v>18.729168553369792</v>
      </c>
      <c r="BF116" s="177">
        <f t="shared" si="169"/>
        <v>0.21626737369792537</v>
      </c>
      <c r="BG116" s="177">
        <f t="shared" si="149"/>
        <v>0.69198669392490175</v>
      </c>
      <c r="BI116" s="542">
        <f t="shared" si="224"/>
        <v>5.144873461881791E-3</v>
      </c>
      <c r="BJ116" s="542">
        <f t="shared" si="225"/>
        <v>5.5364751083157603E-2</v>
      </c>
      <c r="BK116" s="542">
        <f t="shared" si="226"/>
        <v>1.7499999999999998E-2</v>
      </c>
      <c r="BL116" s="542">
        <f t="shared" si="227"/>
        <v>0.10121127187500001</v>
      </c>
      <c r="BM116">
        <f t="shared" si="228"/>
        <v>3.48E-3</v>
      </c>
      <c r="BN116" s="469">
        <f t="shared" si="229"/>
        <v>182.70089642003941</v>
      </c>
      <c r="BO116" s="542">
        <f t="shared" si="230"/>
        <v>5.3999999999999999E-2</v>
      </c>
      <c r="BR116" s="469">
        <f t="shared" si="231"/>
        <v>54</v>
      </c>
      <c r="BS116" s="542">
        <f t="shared" si="232"/>
        <v>0</v>
      </c>
      <c r="BT116" s="542">
        <f t="shared" si="233"/>
        <v>0</v>
      </c>
      <c r="BU116" s="542">
        <f t="shared" si="234"/>
        <v>0</v>
      </c>
      <c r="BV116" s="542">
        <f t="shared" si="235"/>
        <v>0</v>
      </c>
      <c r="BW116" s="469">
        <f t="shared" si="236"/>
        <v>0</v>
      </c>
      <c r="BX116" s="177">
        <f t="shared" si="237"/>
        <v>0.23670089642003941</v>
      </c>
      <c r="BY116" s="5">
        <f t="shared" si="238"/>
        <v>0.89999999999999991</v>
      </c>
      <c r="BZ116" s="177">
        <f t="shared" si="239"/>
        <v>0.79176501297261881</v>
      </c>
      <c r="CA116" s="5">
        <f t="shared" si="240"/>
        <v>79.176501297261879</v>
      </c>
      <c r="CD116" s="576">
        <f t="shared" si="241"/>
        <v>-50</v>
      </c>
      <c r="CE116">
        <f t="shared" si="242"/>
        <v>-50</v>
      </c>
    </row>
    <row r="117" spans="5:83" x14ac:dyDescent="0.25">
      <c r="E117" s="174">
        <v>7</v>
      </c>
      <c r="F117" s="221">
        <f t="shared" si="243"/>
        <v>7.0000000000000007E-2</v>
      </c>
      <c r="G117" s="221"/>
      <c r="H117" s="221">
        <f t="shared" si="190"/>
        <v>1.05</v>
      </c>
      <c r="I117" s="555">
        <f t="shared" si="191"/>
        <v>12</v>
      </c>
      <c r="J117" s="451">
        <f t="shared" si="192"/>
        <v>23.85</v>
      </c>
      <c r="K117" s="451">
        <f t="shared" si="193"/>
        <v>35.85</v>
      </c>
      <c r="L117" s="451"/>
      <c r="M117" s="221">
        <f t="shared" si="194"/>
        <v>0.66527196652719667</v>
      </c>
      <c r="N117" s="176">
        <f t="shared" si="244"/>
        <v>15.547405857740586</v>
      </c>
      <c r="O117" s="176">
        <f t="shared" si="163"/>
        <v>1.05</v>
      </c>
      <c r="P117" s="221">
        <f t="shared" si="195"/>
        <v>1.0364937238493723</v>
      </c>
      <c r="Q117" s="221">
        <f t="shared" si="196"/>
        <v>15</v>
      </c>
      <c r="R117" s="221"/>
      <c r="S117" s="176">
        <f t="shared" si="197"/>
        <v>325.87917608486021</v>
      </c>
      <c r="T117" s="176">
        <f t="shared" si="198"/>
        <v>15</v>
      </c>
      <c r="U117" s="221">
        <f t="shared" si="199"/>
        <v>0.27689506785832507</v>
      </c>
      <c r="V117" s="221">
        <f t="shared" si="200"/>
        <v>0.16152212291735629</v>
      </c>
      <c r="W117" s="221">
        <f t="shared" si="201"/>
        <v>8.1268992662820769E-2</v>
      </c>
      <c r="X117" s="201">
        <f t="shared" si="202"/>
        <v>350</v>
      </c>
      <c r="Y117" s="451">
        <f t="shared" si="203"/>
        <v>350</v>
      </c>
      <c r="AA117" s="221">
        <f t="shared" si="204"/>
        <v>3.2584749380923919</v>
      </c>
      <c r="AB117" s="177">
        <f t="shared" si="205"/>
        <v>0.95636580992229525</v>
      </c>
      <c r="AC117" s="177">
        <f t="shared" si="206"/>
        <v>0.81802718111106087</v>
      </c>
      <c r="AD117" s="177"/>
      <c r="AE117" s="177">
        <f t="shared" si="207"/>
        <v>0.24067085953878403</v>
      </c>
      <c r="AF117" s="559">
        <f t="shared" si="208"/>
        <v>472.93277810826902</v>
      </c>
      <c r="AG117" s="542">
        <f t="shared" si="209"/>
        <v>5.1804402515723262E-2</v>
      </c>
      <c r="AI117" s="177">
        <f t="shared" si="210"/>
        <v>0.9531901324349874</v>
      </c>
      <c r="AJ117" s="177">
        <f t="shared" si="211"/>
        <v>0.9531901324349874</v>
      </c>
      <c r="AK117" s="177">
        <f t="shared" si="212"/>
        <v>1.29865935735925</v>
      </c>
      <c r="AM117" s="559">
        <f t="shared" si="213"/>
        <v>70</v>
      </c>
      <c r="AN117" s="469">
        <f t="shared" si="214"/>
        <v>350</v>
      </c>
      <c r="AP117" s="469">
        <f t="shared" si="215"/>
        <v>70</v>
      </c>
      <c r="AQ117" s="469">
        <f t="shared" si="216"/>
        <v>350</v>
      </c>
      <c r="AS117" s="5">
        <f t="shared" si="165"/>
        <v>2.8571428571428572</v>
      </c>
      <c r="AT117" s="5">
        <f t="shared" si="217"/>
        <v>0.55602757725374263</v>
      </c>
      <c r="AU117" s="5">
        <f t="shared" si="218"/>
        <v>2.3011152798891148</v>
      </c>
      <c r="AV117" s="5"/>
      <c r="AW117" s="177">
        <f t="shared" si="219"/>
        <v>0.19460965203880992</v>
      </c>
      <c r="AX117" s="177">
        <f t="shared" si="143"/>
        <v>1.1130000000000002</v>
      </c>
      <c r="AY117" s="177">
        <f t="shared" si="144"/>
        <v>0.57576759932624055</v>
      </c>
      <c r="AZ117" s="177">
        <f t="shared" si="168"/>
        <v>1.9330716096258724</v>
      </c>
      <c r="BA117" s="469">
        <f t="shared" si="220"/>
        <v>18.128571784263034</v>
      </c>
      <c r="BB117" s="469">
        <f t="shared" si="221"/>
        <v>0.49584055134680144</v>
      </c>
      <c r="BC117" s="5">
        <f t="shared" si="222"/>
        <v>0.28259310454778602</v>
      </c>
      <c r="BD117" s="469">
        <f t="shared" si="223"/>
        <v>21.470798630557638</v>
      </c>
      <c r="BF117" s="177">
        <f t="shared" si="169"/>
        <v>0.24277339884941421</v>
      </c>
      <c r="BG117" s="177">
        <f t="shared" si="149"/>
        <v>0.74082116212588978</v>
      </c>
      <c r="BI117" s="542">
        <f t="shared" si="224"/>
        <v>6.4832815507786428E-3</v>
      </c>
      <c r="BJ117" s="542">
        <f t="shared" si="225"/>
        <v>5.9800765933640025E-2</v>
      </c>
      <c r="BK117" s="542">
        <f t="shared" si="226"/>
        <v>1.7499999999999998E-2</v>
      </c>
      <c r="BL117" s="542">
        <f t="shared" si="227"/>
        <v>0.10121127187500001</v>
      </c>
      <c r="BM117">
        <f t="shared" si="228"/>
        <v>3.48E-3</v>
      </c>
      <c r="BN117" s="469">
        <f t="shared" si="229"/>
        <v>188.47531935941871</v>
      </c>
      <c r="BO117" s="542">
        <f t="shared" si="230"/>
        <v>6.3000000000000014E-2</v>
      </c>
      <c r="BR117" s="469">
        <f t="shared" si="231"/>
        <v>63.000000000000014</v>
      </c>
      <c r="BS117" s="542">
        <f t="shared" si="232"/>
        <v>0</v>
      </c>
      <c r="BT117" s="542">
        <f t="shared" si="233"/>
        <v>0</v>
      </c>
      <c r="BU117" s="542">
        <f t="shared" si="234"/>
        <v>0</v>
      </c>
      <c r="BV117" s="542">
        <f t="shared" si="235"/>
        <v>0</v>
      </c>
      <c r="BW117" s="469">
        <f t="shared" si="236"/>
        <v>0</v>
      </c>
      <c r="BX117" s="177">
        <f t="shared" si="237"/>
        <v>0.25147531935941869</v>
      </c>
      <c r="BY117" s="5">
        <f t="shared" si="238"/>
        <v>1.05</v>
      </c>
      <c r="BZ117" s="177">
        <f t="shared" si="239"/>
        <v>0.80677672821087842</v>
      </c>
      <c r="CA117" s="5">
        <f t="shared" si="240"/>
        <v>80.677672821087839</v>
      </c>
      <c r="CD117" s="576">
        <f t="shared" si="241"/>
        <v>-50</v>
      </c>
      <c r="CE117">
        <f t="shared" si="242"/>
        <v>-50</v>
      </c>
    </row>
    <row r="118" spans="5:83" x14ac:dyDescent="0.25">
      <c r="E118" s="174">
        <v>8</v>
      </c>
      <c r="F118" s="221">
        <f t="shared" si="243"/>
        <v>0.08</v>
      </c>
      <c r="G118" s="221"/>
      <c r="H118" s="221">
        <f t="shared" si="190"/>
        <v>1.2</v>
      </c>
      <c r="I118" s="555">
        <f t="shared" si="191"/>
        <v>12</v>
      </c>
      <c r="J118" s="451">
        <f t="shared" si="192"/>
        <v>23.85</v>
      </c>
      <c r="K118" s="451">
        <f t="shared" si="193"/>
        <v>35.85</v>
      </c>
      <c r="L118" s="451"/>
      <c r="M118" s="221">
        <f t="shared" si="194"/>
        <v>0.66527196652719667</v>
      </c>
      <c r="N118" s="176">
        <f t="shared" si="244"/>
        <v>15.547405857740586</v>
      </c>
      <c r="O118" s="176">
        <f t="shared" si="163"/>
        <v>1.2</v>
      </c>
      <c r="P118" s="221">
        <f t="shared" si="195"/>
        <v>1.0364937238493723</v>
      </c>
      <c r="Q118" s="221">
        <f t="shared" si="196"/>
        <v>15</v>
      </c>
      <c r="R118" s="221"/>
      <c r="S118" s="176">
        <f t="shared" si="197"/>
        <v>284.15025870361507</v>
      </c>
      <c r="T118" s="176">
        <f t="shared" si="198"/>
        <v>15</v>
      </c>
      <c r="U118" s="221">
        <f t="shared" si="199"/>
        <v>0.31645150612380007</v>
      </c>
      <c r="V118" s="221">
        <f t="shared" si="200"/>
        <v>0.18459671190555005</v>
      </c>
      <c r="W118" s="221">
        <f t="shared" si="201"/>
        <v>9.2878848757509458E-2</v>
      </c>
      <c r="X118" s="201">
        <f t="shared" si="202"/>
        <v>350</v>
      </c>
      <c r="Y118" s="451">
        <f t="shared" si="203"/>
        <v>350</v>
      </c>
      <c r="AA118" s="221">
        <f t="shared" si="204"/>
        <v>3.2584749380923919</v>
      </c>
      <c r="AB118" s="177">
        <f t="shared" si="205"/>
        <v>0.95636580992229525</v>
      </c>
      <c r="AC118" s="177">
        <f t="shared" si="206"/>
        <v>0.81802718111106087</v>
      </c>
      <c r="AD118" s="177"/>
      <c r="AE118" s="177">
        <f t="shared" si="207"/>
        <v>0.24067085953878403</v>
      </c>
      <c r="AF118" s="559">
        <f t="shared" si="208"/>
        <v>540.49460355230747</v>
      </c>
      <c r="AG118" s="542">
        <f t="shared" si="209"/>
        <v>5.1804402515723262E-2</v>
      </c>
      <c r="AI118" s="177">
        <f t="shared" si="210"/>
        <v>1.0190031142929721</v>
      </c>
      <c r="AJ118" s="177">
        <f t="shared" si="211"/>
        <v>1.0190031142929721</v>
      </c>
      <c r="AK118" s="177">
        <f t="shared" si="212"/>
        <v>1.3474097142910904</v>
      </c>
      <c r="AM118" s="559">
        <f t="shared" si="213"/>
        <v>80</v>
      </c>
      <c r="AN118" s="469">
        <f t="shared" si="214"/>
        <v>350</v>
      </c>
      <c r="AP118" s="469">
        <f t="shared" si="215"/>
        <v>80</v>
      </c>
      <c r="AQ118" s="469">
        <f t="shared" si="216"/>
        <v>350</v>
      </c>
      <c r="AS118" s="5">
        <f t="shared" si="165"/>
        <v>2.8571428571428572</v>
      </c>
      <c r="AT118" s="5">
        <f t="shared" si="217"/>
        <v>0.59441848333756708</v>
      </c>
      <c r="AU118" s="5">
        <f t="shared" si="218"/>
        <v>2.2627243738052902</v>
      </c>
      <c r="AV118" s="5"/>
      <c r="AW118" s="177">
        <f t="shared" si="219"/>
        <v>0.20804646916814848</v>
      </c>
      <c r="AX118" s="177">
        <f t="shared" si="143"/>
        <v>1.2720000000000005</v>
      </c>
      <c r="AY118" s="177">
        <f t="shared" si="144"/>
        <v>0.60525233571972892</v>
      </c>
      <c r="AZ118" s="177">
        <f t="shared" si="168"/>
        <v>2.1016027942914359</v>
      </c>
      <c r="BA118" s="469">
        <f t="shared" si="220"/>
        <v>18.128571784263034</v>
      </c>
      <c r="BB118" s="469">
        <f t="shared" si="221"/>
        <v>0.61334276094276108</v>
      </c>
      <c r="BC118" s="5">
        <f t="shared" si="222"/>
        <v>0.31757535070951443</v>
      </c>
      <c r="BD118" s="469">
        <f t="shared" si="223"/>
        <v>24.133940776897791</v>
      </c>
      <c r="BF118" s="177">
        <f t="shared" si="169"/>
        <v>0.26834595843805198</v>
      </c>
      <c r="BG118" s="177">
        <f t="shared" si="149"/>
        <v>0.78533687996394219</v>
      </c>
      <c r="BI118" s="542">
        <f t="shared" si="224"/>
        <v>7.9210508751040385E-3</v>
      </c>
      <c r="BJ118" s="542">
        <f t="shared" si="225"/>
        <v>6.3929707882955336E-2</v>
      </c>
      <c r="BK118" s="542">
        <f t="shared" si="226"/>
        <v>1.7499999999999998E-2</v>
      </c>
      <c r="BL118" s="542">
        <f t="shared" si="227"/>
        <v>0.10121127187500001</v>
      </c>
      <c r="BM118">
        <f t="shared" si="228"/>
        <v>3.48E-3</v>
      </c>
      <c r="BN118" s="469">
        <f t="shared" si="229"/>
        <v>194.0420306330594</v>
      </c>
      <c r="BO118" s="542">
        <f t="shared" si="230"/>
        <v>7.2000000000000008E-2</v>
      </c>
      <c r="BR118" s="469">
        <f t="shared" si="231"/>
        <v>72.000000000000014</v>
      </c>
      <c r="BS118" s="542">
        <f t="shared" si="232"/>
        <v>0</v>
      </c>
      <c r="BT118" s="542">
        <f t="shared" si="233"/>
        <v>0</v>
      </c>
      <c r="BU118" s="542">
        <f t="shared" si="234"/>
        <v>0</v>
      </c>
      <c r="BV118" s="542">
        <f t="shared" si="235"/>
        <v>0</v>
      </c>
      <c r="BW118" s="469">
        <f t="shared" si="236"/>
        <v>0</v>
      </c>
      <c r="BX118" s="177">
        <f t="shared" si="237"/>
        <v>0.26604203063305942</v>
      </c>
      <c r="BY118" s="5">
        <f t="shared" si="238"/>
        <v>1.2</v>
      </c>
      <c r="BZ118" s="177">
        <f t="shared" si="239"/>
        <v>0.81853042063318027</v>
      </c>
      <c r="CA118" s="5">
        <f t="shared" si="240"/>
        <v>81.853042063318028</v>
      </c>
      <c r="CD118" s="576">
        <f t="shared" si="241"/>
        <v>-50</v>
      </c>
      <c r="CE118">
        <f t="shared" si="242"/>
        <v>-50</v>
      </c>
    </row>
    <row r="119" spans="5:83" x14ac:dyDescent="0.25">
      <c r="E119" s="174">
        <v>9</v>
      </c>
      <c r="F119" s="221">
        <f t="shared" si="243"/>
        <v>0.09</v>
      </c>
      <c r="G119" s="221"/>
      <c r="H119" s="221">
        <f t="shared" si="190"/>
        <v>1.3499999999999999</v>
      </c>
      <c r="I119" s="555">
        <f t="shared" si="191"/>
        <v>12</v>
      </c>
      <c r="J119" s="451">
        <f t="shared" si="192"/>
        <v>23.85</v>
      </c>
      <c r="K119" s="451">
        <f t="shared" si="193"/>
        <v>35.85</v>
      </c>
      <c r="L119" s="451"/>
      <c r="M119" s="221">
        <f t="shared" si="194"/>
        <v>0.66527196652719667</v>
      </c>
      <c r="N119" s="176">
        <f t="shared" si="244"/>
        <v>15.547405857740586</v>
      </c>
      <c r="O119" s="176">
        <f t="shared" si="163"/>
        <v>1.3499999999999999</v>
      </c>
      <c r="P119" s="221">
        <f t="shared" si="195"/>
        <v>1.0364937238493723</v>
      </c>
      <c r="Q119" s="221">
        <f t="shared" si="196"/>
        <v>15</v>
      </c>
      <c r="R119" s="221"/>
      <c r="S119" s="176">
        <f t="shared" si="197"/>
        <v>251.69517077455563</v>
      </c>
      <c r="T119" s="176">
        <f t="shared" si="198"/>
        <v>15</v>
      </c>
      <c r="U119" s="221">
        <f t="shared" si="199"/>
        <v>0.35600794438927508</v>
      </c>
      <c r="V119" s="221">
        <f t="shared" si="200"/>
        <v>0.20767130089374378</v>
      </c>
      <c r="W119" s="221">
        <f t="shared" si="201"/>
        <v>0.10448870485219813</v>
      </c>
      <c r="X119" s="201">
        <f t="shared" si="202"/>
        <v>350</v>
      </c>
      <c r="Y119" s="451">
        <f t="shared" si="203"/>
        <v>350</v>
      </c>
      <c r="AA119" s="221">
        <f t="shared" si="204"/>
        <v>3.2584749380923919</v>
      </c>
      <c r="AB119" s="177">
        <f t="shared" si="205"/>
        <v>0.95636580992229525</v>
      </c>
      <c r="AC119" s="177">
        <f t="shared" si="206"/>
        <v>0.81802718111106087</v>
      </c>
      <c r="AD119" s="177"/>
      <c r="AE119" s="177">
        <f t="shared" si="207"/>
        <v>0.24067085953878403</v>
      </c>
      <c r="AF119" s="559">
        <f t="shared" si="208"/>
        <v>608.05642899634586</v>
      </c>
      <c r="AG119" s="542">
        <f t="shared" si="209"/>
        <v>5.1804402515723262E-2</v>
      </c>
      <c r="AI119" s="177">
        <f t="shared" si="210"/>
        <v>1.0808160182501565</v>
      </c>
      <c r="AJ119" s="177">
        <f t="shared" si="211"/>
        <v>1.0808160182501565</v>
      </c>
      <c r="AK119" s="177">
        <f t="shared" si="212"/>
        <v>1.3931970505556714</v>
      </c>
      <c r="AM119" s="559">
        <f t="shared" si="213"/>
        <v>90</v>
      </c>
      <c r="AN119" s="469">
        <f t="shared" si="214"/>
        <v>350</v>
      </c>
      <c r="AP119" s="469">
        <f t="shared" si="215"/>
        <v>90</v>
      </c>
      <c r="AQ119" s="469">
        <f t="shared" si="216"/>
        <v>350</v>
      </c>
      <c r="AS119" s="5">
        <f t="shared" si="165"/>
        <v>2.8571428571428572</v>
      </c>
      <c r="AT119" s="5">
        <f t="shared" si="217"/>
        <v>0.63047601064592462</v>
      </c>
      <c r="AU119" s="5">
        <f t="shared" si="218"/>
        <v>2.2266668464969328</v>
      </c>
      <c r="AV119" s="5"/>
      <c r="AW119" s="177">
        <f t="shared" si="219"/>
        <v>0.22066660372607361</v>
      </c>
      <c r="AX119" s="177">
        <f t="shared" si="143"/>
        <v>1.4310000000000003</v>
      </c>
      <c r="AY119" s="177">
        <f t="shared" si="144"/>
        <v>0.63173701368761737</v>
      </c>
      <c r="AZ119" s="177">
        <f t="shared" si="168"/>
        <v>2.2651830888408324</v>
      </c>
      <c r="BA119" s="469">
        <f t="shared" si="220"/>
        <v>18.128571784263034</v>
      </c>
      <c r="BB119" s="469">
        <f t="shared" si="221"/>
        <v>0.74251193181818198</v>
      </c>
      <c r="BC119" s="5">
        <f t="shared" si="222"/>
        <v>0.35157897576267355</v>
      </c>
      <c r="BD119" s="469">
        <f t="shared" si="223"/>
        <v>26.723686340095256</v>
      </c>
      <c r="BF119" s="177">
        <f t="shared" si="169"/>
        <v>0.2931294482833266</v>
      </c>
      <c r="BG119" s="177">
        <f t="shared" si="149"/>
        <v>0.82631197723081273</v>
      </c>
      <c r="BI119" s="542">
        <f t="shared" si="224"/>
        <v>9.4517360795976189E-3</v>
      </c>
      <c r="BJ119" s="542">
        <f t="shared" si="225"/>
        <v>6.7807694944969202E-2</v>
      </c>
      <c r="BK119" s="542">
        <f t="shared" si="226"/>
        <v>1.7499999999999998E-2</v>
      </c>
      <c r="BL119" s="542">
        <f t="shared" si="227"/>
        <v>0.10121127187500001</v>
      </c>
      <c r="BM119">
        <f t="shared" si="228"/>
        <v>3.48E-3</v>
      </c>
      <c r="BN119" s="469">
        <f t="shared" si="229"/>
        <v>199.45070289956683</v>
      </c>
      <c r="BO119" s="542">
        <f t="shared" si="230"/>
        <v>8.1000000000000003E-2</v>
      </c>
      <c r="BR119" s="469">
        <f t="shared" si="231"/>
        <v>81</v>
      </c>
      <c r="BS119" s="542">
        <f t="shared" si="232"/>
        <v>0</v>
      </c>
      <c r="BT119" s="542">
        <f t="shared" si="233"/>
        <v>0</v>
      </c>
      <c r="BU119" s="542">
        <f t="shared" si="234"/>
        <v>0</v>
      </c>
      <c r="BV119" s="542">
        <f t="shared" si="235"/>
        <v>0</v>
      </c>
      <c r="BW119" s="469">
        <f t="shared" si="236"/>
        <v>0</v>
      </c>
      <c r="BX119" s="177">
        <f t="shared" si="237"/>
        <v>0.28045070289956686</v>
      </c>
      <c r="BY119" s="5">
        <f t="shared" si="238"/>
        <v>1.3499999999999999</v>
      </c>
      <c r="BZ119" s="177">
        <f t="shared" si="239"/>
        <v>0.82799191511842829</v>
      </c>
      <c r="CA119" s="5">
        <f t="shared" si="240"/>
        <v>82.799191511842835</v>
      </c>
      <c r="CD119" s="576">
        <f t="shared" si="241"/>
        <v>-50</v>
      </c>
      <c r="CE119">
        <f t="shared" si="242"/>
        <v>-50</v>
      </c>
    </row>
    <row r="120" spans="5:83" x14ac:dyDescent="0.25">
      <c r="E120" s="174">
        <v>10</v>
      </c>
      <c r="F120" s="221">
        <f t="shared" si="243"/>
        <v>0.1</v>
      </c>
      <c r="G120" s="221"/>
      <c r="H120" s="221">
        <f t="shared" si="190"/>
        <v>1.5</v>
      </c>
      <c r="I120" s="555">
        <f t="shared" si="191"/>
        <v>12</v>
      </c>
      <c r="J120" s="451">
        <f t="shared" si="192"/>
        <v>23.85</v>
      </c>
      <c r="K120" s="451">
        <f t="shared" si="193"/>
        <v>35.85</v>
      </c>
      <c r="L120" s="451"/>
      <c r="M120" s="221">
        <f t="shared" si="194"/>
        <v>0.66527196652719667</v>
      </c>
      <c r="N120" s="176">
        <f t="shared" si="244"/>
        <v>15.547405857740586</v>
      </c>
      <c r="O120" s="176">
        <f t="shared" si="163"/>
        <v>1.5</v>
      </c>
      <c r="P120" s="221">
        <f t="shared" si="195"/>
        <v>1.0364937238493723</v>
      </c>
      <c r="Q120" s="221">
        <f t="shared" si="196"/>
        <v>15</v>
      </c>
      <c r="R120" s="221"/>
      <c r="S120" s="176">
        <f t="shared" si="197"/>
        <v>225.73176959705518</v>
      </c>
      <c r="T120" s="176">
        <f t="shared" si="198"/>
        <v>15</v>
      </c>
      <c r="U120" s="221">
        <f t="shared" si="199"/>
        <v>0.39556438265475014</v>
      </c>
      <c r="V120" s="221">
        <f t="shared" si="200"/>
        <v>0.23074588988193759</v>
      </c>
      <c r="W120" s="221">
        <f t="shared" si="201"/>
        <v>0.11609856094688682</v>
      </c>
      <c r="X120" s="201">
        <f t="shared" si="202"/>
        <v>350</v>
      </c>
      <c r="Y120" s="451">
        <f t="shared" si="203"/>
        <v>350</v>
      </c>
      <c r="AA120" s="221">
        <f t="shared" si="204"/>
        <v>3.2584749380923919</v>
      </c>
      <c r="AB120" s="177">
        <f t="shared" si="205"/>
        <v>0.95636580992229525</v>
      </c>
      <c r="AC120" s="177">
        <f t="shared" si="206"/>
        <v>0.81802718111106087</v>
      </c>
      <c r="AD120" s="177"/>
      <c r="AE120" s="177">
        <f t="shared" si="207"/>
        <v>0.24067085953878403</v>
      </c>
      <c r="AF120" s="559">
        <f t="shared" si="208"/>
        <v>675.61825444038436</v>
      </c>
      <c r="AG120" s="542">
        <f t="shared" si="209"/>
        <v>5.1804402515723262E-2</v>
      </c>
      <c r="AI120" s="177">
        <f t="shared" si="210"/>
        <v>1.1392801164215365</v>
      </c>
      <c r="AJ120" s="177">
        <f t="shared" si="211"/>
        <v>1.1392801164215365</v>
      </c>
      <c r="AK120" s="177">
        <f t="shared" si="212"/>
        <v>1.4365037899418789</v>
      </c>
      <c r="AM120" s="559">
        <f t="shared" si="213"/>
        <v>100</v>
      </c>
      <c r="AN120" s="469">
        <f t="shared" si="214"/>
        <v>350</v>
      </c>
      <c r="AP120" s="469">
        <f t="shared" si="215"/>
        <v>100</v>
      </c>
      <c r="AQ120" s="469">
        <f t="shared" si="216"/>
        <v>350</v>
      </c>
      <c r="AS120" s="5">
        <f t="shared" si="165"/>
        <v>2.8571428571428572</v>
      </c>
      <c r="AT120" s="5">
        <f t="shared" si="217"/>
        <v>0.66458006791256297</v>
      </c>
      <c r="AU120" s="5">
        <f t="shared" si="218"/>
        <v>2.1925627892302941</v>
      </c>
      <c r="AV120" s="5"/>
      <c r="AW120" s="177">
        <f t="shared" si="219"/>
        <v>0.23260302376939704</v>
      </c>
      <c r="AX120" s="177">
        <f t="shared" si="143"/>
        <v>1.5900000000000003</v>
      </c>
      <c r="AY120" s="177">
        <f t="shared" si="144"/>
        <v>0.65571008731615232</v>
      </c>
      <c r="AZ120" s="177">
        <f t="shared" si="168"/>
        <v>2.4248521271160155</v>
      </c>
      <c r="BA120" s="469">
        <f t="shared" si="220"/>
        <v>18.128571784263034</v>
      </c>
      <c r="BB120" s="469">
        <f t="shared" si="221"/>
        <v>0.88334806397306431</v>
      </c>
      <c r="BC120" s="5">
        <f t="shared" si="222"/>
        <v>0.38466013846145514</v>
      </c>
      <c r="BD120" s="469">
        <f t="shared" si="223"/>
        <v>29.2442472267144</v>
      </c>
      <c r="BF120" s="177">
        <f t="shared" si="169"/>
        <v>0.31723242312837824</v>
      </c>
      <c r="BG120" s="177">
        <f t="shared" si="149"/>
        <v>0.86431329077847796</v>
      </c>
      <c r="BI120" s="542">
        <f t="shared" si="224"/>
        <v>1.1070005131229266E-2</v>
      </c>
      <c r="BJ120" s="542">
        <f t="shared" si="225"/>
        <v>7.1475586303996141E-2</v>
      </c>
      <c r="BK120" s="542">
        <f t="shared" si="226"/>
        <v>1.7499999999999998E-2</v>
      </c>
      <c r="BL120" s="542">
        <f t="shared" si="227"/>
        <v>0.10121127187500001</v>
      </c>
      <c r="BM120">
        <f t="shared" si="228"/>
        <v>3.48E-3</v>
      </c>
      <c r="BN120" s="469">
        <f t="shared" si="229"/>
        <v>204.73686331022543</v>
      </c>
      <c r="BO120" s="542">
        <f t="shared" si="230"/>
        <v>9.0000000000000011E-2</v>
      </c>
      <c r="BR120" s="469">
        <f t="shared" si="231"/>
        <v>90.000000000000014</v>
      </c>
      <c r="BS120" s="542">
        <f t="shared" si="232"/>
        <v>0</v>
      </c>
      <c r="BT120" s="542">
        <f t="shared" si="233"/>
        <v>0</v>
      </c>
      <c r="BU120" s="542">
        <f t="shared" si="234"/>
        <v>0</v>
      </c>
      <c r="BV120" s="542">
        <f t="shared" si="235"/>
        <v>0</v>
      </c>
      <c r="BW120" s="469">
        <f t="shared" si="236"/>
        <v>0</v>
      </c>
      <c r="BX120" s="177">
        <f t="shared" si="237"/>
        <v>0.29473686331022542</v>
      </c>
      <c r="BY120" s="5">
        <f t="shared" si="238"/>
        <v>1.5</v>
      </c>
      <c r="BZ120" s="177">
        <f t="shared" si="239"/>
        <v>0.83577711622493189</v>
      </c>
      <c r="CA120" s="5">
        <f t="shared" si="240"/>
        <v>83.577711622493183</v>
      </c>
      <c r="CD120" s="576">
        <f t="shared" si="241"/>
        <v>-50</v>
      </c>
      <c r="CE120">
        <f t="shared" si="242"/>
        <v>-50</v>
      </c>
    </row>
    <row r="121" spans="5:83" x14ac:dyDescent="0.25">
      <c r="E121" s="174">
        <v>11</v>
      </c>
      <c r="F121" s="221">
        <f t="shared" si="243"/>
        <v>0.11</v>
      </c>
      <c r="G121" s="221"/>
      <c r="H121" s="221">
        <f t="shared" si="190"/>
        <v>1.65</v>
      </c>
      <c r="I121" s="555">
        <f t="shared" si="191"/>
        <v>12</v>
      </c>
      <c r="J121" s="451">
        <f t="shared" si="192"/>
        <v>23.85</v>
      </c>
      <c r="K121" s="451">
        <f t="shared" si="193"/>
        <v>35.85</v>
      </c>
      <c r="L121" s="451"/>
      <c r="M121" s="221">
        <f t="shared" si="194"/>
        <v>0.66527196652719667</v>
      </c>
      <c r="N121" s="176">
        <f t="shared" si="244"/>
        <v>15.547405857740586</v>
      </c>
      <c r="O121" s="176">
        <f t="shared" si="163"/>
        <v>1.65</v>
      </c>
      <c r="P121" s="221">
        <f t="shared" si="195"/>
        <v>1.0364937238493723</v>
      </c>
      <c r="Q121" s="221">
        <f t="shared" si="196"/>
        <v>15</v>
      </c>
      <c r="R121" s="221"/>
      <c r="S121" s="176">
        <f t="shared" si="197"/>
        <v>204.48960078340599</v>
      </c>
      <c r="T121" s="176">
        <f t="shared" si="198"/>
        <v>15</v>
      </c>
      <c r="U121" s="221">
        <f t="shared" si="199"/>
        <v>0.43512082092022508</v>
      </c>
      <c r="V121" s="221">
        <f t="shared" si="200"/>
        <v>0.25382047887013132</v>
      </c>
      <c r="W121" s="221">
        <f t="shared" si="201"/>
        <v>0.12770841704157548</v>
      </c>
      <c r="X121" s="201">
        <f t="shared" si="202"/>
        <v>350</v>
      </c>
      <c r="Y121" s="451">
        <f t="shared" si="203"/>
        <v>350</v>
      </c>
      <c r="AA121" s="221">
        <f t="shared" si="204"/>
        <v>3.2584749380923919</v>
      </c>
      <c r="AB121" s="177">
        <f t="shared" si="205"/>
        <v>0.95636580992229525</v>
      </c>
      <c r="AC121" s="177">
        <f t="shared" si="206"/>
        <v>0.81802718111106087</v>
      </c>
      <c r="AD121" s="177"/>
      <c r="AE121" s="177">
        <f t="shared" si="207"/>
        <v>0.24067085953878403</v>
      </c>
      <c r="AF121" s="559">
        <f t="shared" si="208"/>
        <v>743.18007988442275</v>
      </c>
      <c r="AG121" s="542">
        <f t="shared" si="209"/>
        <v>5.1804402515723262E-2</v>
      </c>
      <c r="AI121" s="177">
        <f t="shared" si="210"/>
        <v>1.1948870666472278</v>
      </c>
      <c r="AJ121" s="177">
        <f t="shared" si="211"/>
        <v>1.1948870666472278</v>
      </c>
      <c r="AK121" s="177">
        <f t="shared" si="212"/>
        <v>1.477694123442391</v>
      </c>
      <c r="AM121" s="559">
        <f t="shared" si="213"/>
        <v>110</v>
      </c>
      <c r="AN121" s="469">
        <f t="shared" si="214"/>
        <v>350</v>
      </c>
      <c r="AP121" s="469">
        <f t="shared" si="215"/>
        <v>110</v>
      </c>
      <c r="AQ121" s="469">
        <f t="shared" si="216"/>
        <v>350</v>
      </c>
      <c r="AS121" s="5">
        <f t="shared" si="165"/>
        <v>2.8571428571428572</v>
      </c>
      <c r="AT121" s="5">
        <f t="shared" si="217"/>
        <v>0.69701745554421624</v>
      </c>
      <c r="AU121" s="5">
        <f t="shared" si="218"/>
        <v>2.1601254015986409</v>
      </c>
      <c r="AV121" s="5"/>
      <c r="AW121" s="177">
        <f t="shared" si="219"/>
        <v>0.24395610944047569</v>
      </c>
      <c r="AX121" s="177">
        <f t="shared" si="143"/>
        <v>1.7490000000000003</v>
      </c>
      <c r="AY121" s="177">
        <f t="shared" si="144"/>
        <v>0.67754029998542087</v>
      </c>
      <c r="AZ121" s="177">
        <f t="shared" si="168"/>
        <v>2.5813962653404303</v>
      </c>
      <c r="BA121" s="469">
        <f t="shared" si="220"/>
        <v>18.128571784263034</v>
      </c>
      <c r="BB121" s="469">
        <f t="shared" si="221"/>
        <v>1.0358511574074076</v>
      </c>
      <c r="BC121" s="5">
        <f t="shared" si="222"/>
        <v>0.41686630557166754</v>
      </c>
      <c r="BD121" s="469">
        <f t="shared" si="223"/>
        <v>31.699183444190851</v>
      </c>
      <c r="BF121" s="177">
        <f t="shared" si="169"/>
        <v>0.34073918663579383</v>
      </c>
      <c r="BG121" s="177">
        <f t="shared" si="149"/>
        <v>0.89976893788620094</v>
      </c>
      <c r="BI121" s="542">
        <f t="shared" si="224"/>
        <v>1.2771351264014458E-2</v>
      </c>
      <c r="BJ121" s="542">
        <f t="shared" si="225"/>
        <v>7.4964227343780457E-2</v>
      </c>
      <c r="BK121" s="542">
        <f t="shared" si="226"/>
        <v>1.7499999999999998E-2</v>
      </c>
      <c r="BL121" s="542">
        <f t="shared" si="227"/>
        <v>0.10121127187500001</v>
      </c>
      <c r="BM121">
        <f t="shared" si="228"/>
        <v>3.48E-3</v>
      </c>
      <c r="BN121" s="469">
        <f t="shared" si="229"/>
        <v>209.92685048279495</v>
      </c>
      <c r="BO121" s="542">
        <f t="shared" si="230"/>
        <v>9.9000000000000005E-2</v>
      </c>
      <c r="BR121" s="469">
        <f t="shared" si="231"/>
        <v>99</v>
      </c>
      <c r="BS121" s="542">
        <f t="shared" si="232"/>
        <v>0</v>
      </c>
      <c r="BT121" s="542">
        <f t="shared" si="233"/>
        <v>0</v>
      </c>
      <c r="BU121" s="542">
        <f t="shared" si="234"/>
        <v>0</v>
      </c>
      <c r="BV121" s="542">
        <f t="shared" si="235"/>
        <v>0</v>
      </c>
      <c r="BW121" s="469">
        <f t="shared" si="236"/>
        <v>0</v>
      </c>
      <c r="BX121" s="177">
        <f t="shared" si="237"/>
        <v>0.30892685048279495</v>
      </c>
      <c r="BY121" s="5">
        <f t="shared" si="238"/>
        <v>1.65</v>
      </c>
      <c r="BZ121" s="177">
        <f t="shared" si="239"/>
        <v>0.84229791408155075</v>
      </c>
      <c r="CA121" s="5">
        <f t="shared" si="240"/>
        <v>84.22979140815508</v>
      </c>
      <c r="CD121" s="576">
        <f t="shared" si="241"/>
        <v>-50</v>
      </c>
      <c r="CE121">
        <f t="shared" si="242"/>
        <v>-50</v>
      </c>
    </row>
    <row r="122" spans="5:83" x14ac:dyDescent="0.25">
      <c r="E122" s="174">
        <v>12</v>
      </c>
      <c r="F122" s="221">
        <f t="shared" si="243"/>
        <v>0.12</v>
      </c>
      <c r="G122" s="221"/>
      <c r="H122" s="221">
        <f t="shared" si="190"/>
        <v>1.7999999999999998</v>
      </c>
      <c r="I122" s="555">
        <f t="shared" si="191"/>
        <v>12</v>
      </c>
      <c r="J122" s="451">
        <f t="shared" si="192"/>
        <v>23.85</v>
      </c>
      <c r="K122" s="451">
        <f t="shared" si="193"/>
        <v>35.85</v>
      </c>
      <c r="L122" s="451"/>
      <c r="M122" s="221">
        <f t="shared" si="194"/>
        <v>0.66527196652719667</v>
      </c>
      <c r="N122" s="176">
        <f t="shared" si="244"/>
        <v>15.547405857740586</v>
      </c>
      <c r="O122" s="176">
        <f t="shared" si="163"/>
        <v>1.7999999999999998</v>
      </c>
      <c r="P122" s="221">
        <f t="shared" si="195"/>
        <v>1.0364937238493723</v>
      </c>
      <c r="Q122" s="221">
        <f t="shared" si="196"/>
        <v>15</v>
      </c>
      <c r="R122" s="221"/>
      <c r="S122" s="176">
        <f t="shared" si="197"/>
        <v>186.78836146228733</v>
      </c>
      <c r="T122" s="176">
        <f t="shared" si="198"/>
        <v>15</v>
      </c>
      <c r="U122" s="221">
        <f t="shared" si="199"/>
        <v>0.47467725918570008</v>
      </c>
      <c r="V122" s="221">
        <f t="shared" si="200"/>
        <v>0.27689506785832507</v>
      </c>
      <c r="W122" s="221">
        <f t="shared" si="201"/>
        <v>0.13931827313626416</v>
      </c>
      <c r="X122" s="201">
        <f t="shared" si="202"/>
        <v>350</v>
      </c>
      <c r="Y122" s="451">
        <f t="shared" si="203"/>
        <v>350</v>
      </c>
      <c r="AA122" s="221">
        <f t="shared" si="204"/>
        <v>3.2584749380923919</v>
      </c>
      <c r="AB122" s="177">
        <f t="shared" si="205"/>
        <v>0.95636580992229525</v>
      </c>
      <c r="AC122" s="177">
        <f t="shared" si="206"/>
        <v>0.81802718111106087</v>
      </c>
      <c r="AD122" s="177"/>
      <c r="AE122" s="177">
        <f t="shared" si="207"/>
        <v>0.24067085953878403</v>
      </c>
      <c r="AF122" s="559">
        <f t="shared" si="208"/>
        <v>810.74190532846103</v>
      </c>
      <c r="AG122" s="542">
        <f t="shared" si="209"/>
        <v>5.1804402515723262E-2</v>
      </c>
      <c r="AI122" s="177">
        <f t="shared" si="210"/>
        <v>1.2480188381623747</v>
      </c>
      <c r="AJ122" s="177">
        <f t="shared" si="211"/>
        <v>1.2480188381623747</v>
      </c>
      <c r="AK122" s="177">
        <f t="shared" si="212"/>
        <v>1.5170509912313888</v>
      </c>
      <c r="AM122" s="559">
        <f t="shared" si="213"/>
        <v>120</v>
      </c>
      <c r="AN122" s="469">
        <f t="shared" si="214"/>
        <v>350</v>
      </c>
      <c r="AP122" s="469">
        <f t="shared" si="215"/>
        <v>120</v>
      </c>
      <c r="AQ122" s="469">
        <f t="shared" si="216"/>
        <v>350</v>
      </c>
      <c r="AS122" s="5">
        <f t="shared" si="165"/>
        <v>2.8571428571428572</v>
      </c>
      <c r="AT122" s="5">
        <f t="shared" si="217"/>
        <v>0.72801098892805183</v>
      </c>
      <c r="AU122" s="5">
        <f t="shared" si="218"/>
        <v>2.1291318682148055</v>
      </c>
      <c r="AV122" s="5"/>
      <c r="AW122" s="177">
        <f t="shared" si="219"/>
        <v>0.25480384612481816</v>
      </c>
      <c r="AX122" s="177">
        <f t="shared" si="143"/>
        <v>1.9080000000000001</v>
      </c>
      <c r="AY122" s="177">
        <f t="shared" si="144"/>
        <v>0.69751412862178108</v>
      </c>
      <c r="AZ122" s="177">
        <f t="shared" si="168"/>
        <v>2.7354284618865274</v>
      </c>
      <c r="BA122" s="469">
        <f t="shared" si="220"/>
        <v>18.128571784263034</v>
      </c>
      <c r="BB122" s="469">
        <f t="shared" si="221"/>
        <v>1.2000212121212122</v>
      </c>
      <c r="BC122" s="5">
        <f t="shared" si="222"/>
        <v>0.4482382880452222</v>
      </c>
      <c r="BD122" s="469">
        <f t="shared" si="223"/>
        <v>34.091555813917978</v>
      </c>
      <c r="BF122" s="177">
        <f t="shared" si="169"/>
        <v>0.36371691855784183</v>
      </c>
      <c r="BG122" s="177">
        <f t="shared" si="149"/>
        <v>0.93301166788223844</v>
      </c>
      <c r="BI122" s="542">
        <f t="shared" si="224"/>
        <v>1.4551899652973294E-2</v>
      </c>
      <c r="BJ122" s="542">
        <f t="shared" si="225"/>
        <v>7.8297581859211984E-2</v>
      </c>
      <c r="BK122" s="542">
        <f t="shared" si="226"/>
        <v>1.7499999999999998E-2</v>
      </c>
      <c r="BL122" s="542">
        <f t="shared" si="227"/>
        <v>0.10121127187500001</v>
      </c>
      <c r="BM122">
        <f t="shared" si="228"/>
        <v>3.48E-3</v>
      </c>
      <c r="BN122" s="469">
        <f t="shared" si="229"/>
        <v>215.04075338718528</v>
      </c>
      <c r="BO122" s="542">
        <f t="shared" si="230"/>
        <v>0.108</v>
      </c>
      <c r="BR122" s="469">
        <f t="shared" si="231"/>
        <v>108</v>
      </c>
      <c r="BS122" s="542">
        <f t="shared" si="232"/>
        <v>0</v>
      </c>
      <c r="BT122" s="542">
        <f t="shared" si="233"/>
        <v>0</v>
      </c>
      <c r="BU122" s="542">
        <f t="shared" si="234"/>
        <v>0</v>
      </c>
      <c r="BV122" s="542">
        <f t="shared" si="235"/>
        <v>0</v>
      </c>
      <c r="BW122" s="469">
        <f t="shared" si="236"/>
        <v>0</v>
      </c>
      <c r="BX122" s="177">
        <f t="shared" si="237"/>
        <v>0.3230407533871853</v>
      </c>
      <c r="BY122" s="5">
        <f t="shared" si="238"/>
        <v>1.7999999999999998</v>
      </c>
      <c r="BZ122" s="177">
        <f t="shared" si="239"/>
        <v>0.84784053114769797</v>
      </c>
      <c r="CA122" s="5">
        <f t="shared" si="240"/>
        <v>84.78405311476979</v>
      </c>
      <c r="CD122" s="576">
        <f t="shared" si="241"/>
        <v>-50</v>
      </c>
      <c r="CE122">
        <f t="shared" si="242"/>
        <v>-50</v>
      </c>
    </row>
    <row r="123" spans="5:83" x14ac:dyDescent="0.25">
      <c r="E123" s="174">
        <v>13</v>
      </c>
      <c r="F123" s="221">
        <f t="shared" si="243"/>
        <v>0.13</v>
      </c>
      <c r="G123" s="221"/>
      <c r="H123" s="221">
        <f t="shared" si="190"/>
        <v>1.9500000000000002</v>
      </c>
      <c r="I123" s="555">
        <f t="shared" si="191"/>
        <v>12</v>
      </c>
      <c r="J123" s="451">
        <f t="shared" si="192"/>
        <v>23.85</v>
      </c>
      <c r="K123" s="451">
        <f t="shared" si="193"/>
        <v>35.85</v>
      </c>
      <c r="L123" s="451"/>
      <c r="M123" s="221">
        <f t="shared" si="194"/>
        <v>0.66527196652719667</v>
      </c>
      <c r="N123" s="176">
        <f t="shared" si="244"/>
        <v>15.547405857740586</v>
      </c>
      <c r="O123" s="176">
        <f t="shared" si="163"/>
        <v>1.9500000000000002</v>
      </c>
      <c r="P123" s="221">
        <f t="shared" si="195"/>
        <v>1.0364937238493723</v>
      </c>
      <c r="Q123" s="221">
        <f t="shared" si="196"/>
        <v>15</v>
      </c>
      <c r="R123" s="221"/>
      <c r="S123" s="176">
        <f t="shared" si="197"/>
        <v>171.81091892678756</v>
      </c>
      <c r="T123" s="176">
        <f t="shared" si="198"/>
        <v>15</v>
      </c>
      <c r="U123" s="221">
        <f t="shared" si="199"/>
        <v>0.5142336974511752</v>
      </c>
      <c r="V123" s="221">
        <f t="shared" si="200"/>
        <v>0.29996965684651888</v>
      </c>
      <c r="W123" s="221">
        <f t="shared" si="201"/>
        <v>0.15092812923095289</v>
      </c>
      <c r="X123" s="201">
        <f t="shared" si="202"/>
        <v>350</v>
      </c>
      <c r="Y123" s="451">
        <f t="shared" si="203"/>
        <v>350</v>
      </c>
      <c r="AA123" s="221">
        <f t="shared" si="204"/>
        <v>3.2584749380923919</v>
      </c>
      <c r="AB123" s="177">
        <f t="shared" si="205"/>
        <v>0.95636580992229525</v>
      </c>
      <c r="AC123" s="177">
        <f t="shared" si="206"/>
        <v>0.81802718111106087</v>
      </c>
      <c r="AD123" s="177"/>
      <c r="AE123" s="177">
        <f t="shared" si="207"/>
        <v>0.24067085953878403</v>
      </c>
      <c r="AF123" s="559">
        <f t="shared" si="208"/>
        <v>878.30373077249953</v>
      </c>
      <c r="AG123" s="542">
        <f t="shared" si="209"/>
        <v>5.1804402515723262E-2</v>
      </c>
      <c r="AI123" s="177">
        <f t="shared" si="210"/>
        <v>1.2989791910479207</v>
      </c>
      <c r="AJ123" s="177">
        <f t="shared" si="211"/>
        <v>1.2989791910479207</v>
      </c>
      <c r="AK123" s="177">
        <f t="shared" si="212"/>
        <v>1.5547994007762376</v>
      </c>
      <c r="AM123" s="559">
        <f t="shared" si="213"/>
        <v>130</v>
      </c>
      <c r="AN123" s="469">
        <f t="shared" si="214"/>
        <v>350</v>
      </c>
      <c r="AP123" s="469">
        <f t="shared" si="215"/>
        <v>130</v>
      </c>
      <c r="AQ123" s="469">
        <f t="shared" si="216"/>
        <v>350</v>
      </c>
      <c r="AS123" s="5">
        <f t="shared" si="165"/>
        <v>2.8571428571428572</v>
      </c>
      <c r="AT123" s="5">
        <f t="shared" si="217"/>
        <v>0.75773786144462041</v>
      </c>
      <c r="AU123" s="5">
        <f t="shared" si="218"/>
        <v>2.0994049956982366</v>
      </c>
      <c r="AV123" s="5"/>
      <c r="AW123" s="177">
        <f t="shared" si="219"/>
        <v>0.26520825150561711</v>
      </c>
      <c r="AX123" s="177">
        <f t="shared" si="143"/>
        <v>2.0670000000000002</v>
      </c>
      <c r="AY123" s="177">
        <f t="shared" si="144"/>
        <v>0.7158593932859405</v>
      </c>
      <c r="AZ123" s="177">
        <f t="shared" si="168"/>
        <v>2.8874385380515144</v>
      </c>
      <c r="BA123" s="469">
        <f t="shared" si="220"/>
        <v>18.128571784263034</v>
      </c>
      <c r="BB123" s="469">
        <f t="shared" si="221"/>
        <v>1.3758582281144784</v>
      </c>
      <c r="BC123" s="5">
        <f t="shared" si="222"/>
        <v>0.47881166568556277</v>
      </c>
      <c r="BD123" s="469">
        <f t="shared" si="223"/>
        <v>36.42403282115405</v>
      </c>
      <c r="BF123" s="177">
        <f t="shared" si="169"/>
        <v>0.3862202874509178</v>
      </c>
      <c r="BG123" s="177">
        <f t="shared" si="149"/>
        <v>0.96430620427052438</v>
      </c>
      <c r="BI123" s="542">
        <f t="shared" si="224"/>
        <v>1.640827214825365E-2</v>
      </c>
      <c r="BJ123" s="542">
        <f t="shared" si="225"/>
        <v>8.1494706998368929E-2</v>
      </c>
      <c r="BK123" s="542">
        <f t="shared" si="226"/>
        <v>1.7499999999999998E-2</v>
      </c>
      <c r="BL123" s="542">
        <f t="shared" si="227"/>
        <v>0.10121127187500001</v>
      </c>
      <c r="BM123">
        <f t="shared" si="228"/>
        <v>3.48E-3</v>
      </c>
      <c r="BN123" s="469">
        <f t="shared" si="229"/>
        <v>220.0942510216226</v>
      </c>
      <c r="BO123" s="542">
        <f t="shared" si="230"/>
        <v>0.11700000000000001</v>
      </c>
      <c r="BR123" s="469">
        <f t="shared" si="231"/>
        <v>117</v>
      </c>
      <c r="BS123" s="542">
        <f t="shared" si="232"/>
        <v>0</v>
      </c>
      <c r="BT123" s="542">
        <f t="shared" si="233"/>
        <v>0</v>
      </c>
      <c r="BU123" s="542">
        <f t="shared" si="234"/>
        <v>0</v>
      </c>
      <c r="BV123" s="542">
        <f t="shared" si="235"/>
        <v>0</v>
      </c>
      <c r="BW123" s="469">
        <f t="shared" si="236"/>
        <v>0</v>
      </c>
      <c r="BX123" s="177">
        <f t="shared" si="237"/>
        <v>0.3370942510216226</v>
      </c>
      <c r="BY123" s="5">
        <f t="shared" si="238"/>
        <v>1.9500000000000002</v>
      </c>
      <c r="BZ123" s="177">
        <f t="shared" si="239"/>
        <v>0.85261024950281528</v>
      </c>
      <c r="CA123" s="5">
        <f t="shared" si="240"/>
        <v>85.261024950281524</v>
      </c>
      <c r="CD123" s="576">
        <f t="shared" si="241"/>
        <v>-50</v>
      </c>
      <c r="CE123">
        <f t="shared" si="242"/>
        <v>-50</v>
      </c>
    </row>
    <row r="124" spans="5:83" x14ac:dyDescent="0.25">
      <c r="E124" s="174">
        <v>14</v>
      </c>
      <c r="F124" s="221">
        <f t="shared" si="243"/>
        <v>0.14000000000000001</v>
      </c>
      <c r="G124" s="221"/>
      <c r="H124" s="221">
        <f t="shared" si="190"/>
        <v>2.1</v>
      </c>
      <c r="I124" s="555">
        <f t="shared" si="191"/>
        <v>12</v>
      </c>
      <c r="J124" s="451">
        <f t="shared" si="192"/>
        <v>23.85</v>
      </c>
      <c r="K124" s="451">
        <f t="shared" si="193"/>
        <v>35.85</v>
      </c>
      <c r="L124" s="451"/>
      <c r="M124" s="221">
        <f t="shared" si="194"/>
        <v>0.66527196652719667</v>
      </c>
      <c r="N124" s="176">
        <f t="shared" si="244"/>
        <v>15.547405857740586</v>
      </c>
      <c r="O124" s="176">
        <f t="shared" si="163"/>
        <v>2.1</v>
      </c>
      <c r="P124" s="221">
        <f t="shared" si="195"/>
        <v>1.0364937238493723</v>
      </c>
      <c r="Q124" s="221">
        <f t="shared" si="196"/>
        <v>15</v>
      </c>
      <c r="R124" s="221"/>
      <c r="S124" s="176">
        <f t="shared" si="197"/>
        <v>158.97360700470495</v>
      </c>
      <c r="T124" s="176">
        <f t="shared" si="198"/>
        <v>15</v>
      </c>
      <c r="U124" s="221">
        <f t="shared" si="199"/>
        <v>0.55379013571665014</v>
      </c>
      <c r="V124" s="221">
        <f t="shared" si="200"/>
        <v>0.32304424583471258</v>
      </c>
      <c r="W124" s="221">
        <f t="shared" si="201"/>
        <v>0.16253798532564154</v>
      </c>
      <c r="X124" s="201">
        <f t="shared" si="202"/>
        <v>350</v>
      </c>
      <c r="Y124" s="451">
        <f t="shared" si="203"/>
        <v>350</v>
      </c>
      <c r="AA124" s="221">
        <f t="shared" si="204"/>
        <v>3.2584749380923919</v>
      </c>
      <c r="AB124" s="177">
        <f t="shared" si="205"/>
        <v>0.95636580992229525</v>
      </c>
      <c r="AC124" s="177">
        <f t="shared" si="206"/>
        <v>0.81802718111106087</v>
      </c>
      <c r="AD124" s="177"/>
      <c r="AE124" s="177">
        <f t="shared" si="207"/>
        <v>0.24067085953878403</v>
      </c>
      <c r="AF124" s="559">
        <f t="shared" si="208"/>
        <v>945.86555621653804</v>
      </c>
      <c r="AG124" s="542">
        <f t="shared" si="209"/>
        <v>5.1804402515723262E-2</v>
      </c>
      <c r="AI124" s="177">
        <f t="shared" si="210"/>
        <v>1.3480144128097657</v>
      </c>
      <c r="AJ124" s="177">
        <f t="shared" si="211"/>
        <v>1.3480144128097657</v>
      </c>
      <c r="AK124" s="177">
        <f t="shared" si="212"/>
        <v>1.5911217872664931</v>
      </c>
      <c r="AM124" s="559">
        <f t="shared" si="213"/>
        <v>140</v>
      </c>
      <c r="AN124" s="469">
        <f t="shared" si="214"/>
        <v>350</v>
      </c>
      <c r="AP124" s="469">
        <f t="shared" si="215"/>
        <v>140</v>
      </c>
      <c r="AQ124" s="469">
        <f t="shared" si="216"/>
        <v>350</v>
      </c>
      <c r="AS124" s="5">
        <f t="shared" si="165"/>
        <v>2.8571428571428572</v>
      </c>
      <c r="AT124" s="5">
        <f t="shared" si="217"/>
        <v>0.78634174080569663</v>
      </c>
      <c r="AU124" s="5">
        <f t="shared" si="218"/>
        <v>2.0708011163371607</v>
      </c>
      <c r="AV124" s="5"/>
      <c r="AW124" s="177">
        <f t="shared" si="219"/>
        <v>0.27521960928199379</v>
      </c>
      <c r="AX124" s="177">
        <f t="shared" si="143"/>
        <v>2.2260000000000004</v>
      </c>
      <c r="AY124" s="177">
        <f t="shared" si="144"/>
        <v>0.73276080960732415</v>
      </c>
      <c r="AZ124" s="177">
        <f t="shared" si="168"/>
        <v>3.0378262194356185</v>
      </c>
      <c r="BA124" s="469">
        <f t="shared" si="220"/>
        <v>18.128571784263034</v>
      </c>
      <c r="BB124" s="469">
        <f t="shared" si="221"/>
        <v>1.5633622053872056</v>
      </c>
      <c r="BC124" s="5">
        <f t="shared" si="222"/>
        <v>0.50861781804772377</v>
      </c>
      <c r="BD124" s="469">
        <f t="shared" si="223"/>
        <v>38.698967932526649</v>
      </c>
      <c r="BF124" s="177">
        <f t="shared" si="169"/>
        <v>0.4082945616228652</v>
      </c>
      <c r="BG124" s="177">
        <f t="shared" si="149"/>
        <v>0.9938672610026078</v>
      </c>
      <c r="BI124" s="542">
        <f t="shared" si="224"/>
        <v>1.8337489395588845E-2</v>
      </c>
      <c r="BJ124" s="542">
        <f t="shared" si="225"/>
        <v>8.4571054223652686E-2</v>
      </c>
      <c r="BK124" s="542">
        <f t="shared" si="226"/>
        <v>1.7499999999999998E-2</v>
      </c>
      <c r="BL124" s="542">
        <f t="shared" si="227"/>
        <v>0.10121127187500001</v>
      </c>
      <c r="BM124">
        <f t="shared" si="228"/>
        <v>3.48E-3</v>
      </c>
      <c r="BN124" s="469">
        <f t="shared" si="229"/>
        <v>225.09981549424154</v>
      </c>
      <c r="BO124" s="542">
        <f t="shared" si="230"/>
        <v>0.12600000000000003</v>
      </c>
      <c r="BR124" s="469">
        <f t="shared" si="231"/>
        <v>126.00000000000003</v>
      </c>
      <c r="BS124" s="542">
        <f t="shared" si="232"/>
        <v>0</v>
      </c>
      <c r="BT124" s="542">
        <f t="shared" si="233"/>
        <v>0</v>
      </c>
      <c r="BU124" s="542">
        <f t="shared" si="234"/>
        <v>0</v>
      </c>
      <c r="BV124" s="542">
        <f t="shared" si="235"/>
        <v>0</v>
      </c>
      <c r="BW124" s="469">
        <f t="shared" si="236"/>
        <v>0</v>
      </c>
      <c r="BX124" s="177">
        <f t="shared" si="237"/>
        <v>0.35109981549424157</v>
      </c>
      <c r="BY124" s="5">
        <f t="shared" si="238"/>
        <v>2.1</v>
      </c>
      <c r="BZ124" s="177">
        <f t="shared" si="239"/>
        <v>0.85675825469251832</v>
      </c>
      <c r="CA124" s="5">
        <f t="shared" si="240"/>
        <v>85.675825469251834</v>
      </c>
      <c r="CD124" s="576">
        <f t="shared" si="241"/>
        <v>-50</v>
      </c>
      <c r="CE124">
        <f t="shared" si="242"/>
        <v>-50</v>
      </c>
    </row>
    <row r="125" spans="5:83" x14ac:dyDescent="0.25">
      <c r="E125" s="174">
        <v>15</v>
      </c>
      <c r="F125" s="221">
        <f t="shared" si="243"/>
        <v>0.15</v>
      </c>
      <c r="G125" s="221"/>
      <c r="H125" s="221">
        <f t="shared" si="190"/>
        <v>2.25</v>
      </c>
      <c r="I125" s="555">
        <f t="shared" si="191"/>
        <v>12</v>
      </c>
      <c r="J125" s="451">
        <f t="shared" si="192"/>
        <v>23.85</v>
      </c>
      <c r="K125" s="451">
        <f t="shared" si="193"/>
        <v>35.85</v>
      </c>
      <c r="L125" s="451"/>
      <c r="M125" s="221">
        <f t="shared" si="194"/>
        <v>0.66527196652719667</v>
      </c>
      <c r="N125" s="176">
        <f t="shared" si="244"/>
        <v>15.547405857740586</v>
      </c>
      <c r="O125" s="176">
        <f t="shared" si="163"/>
        <v>2.25</v>
      </c>
      <c r="P125" s="221">
        <f t="shared" si="195"/>
        <v>1.0364937238493723</v>
      </c>
      <c r="Q125" s="221">
        <f t="shared" si="196"/>
        <v>15</v>
      </c>
      <c r="R125" s="221"/>
      <c r="S125" s="176">
        <f t="shared" si="197"/>
        <v>147.84840388072851</v>
      </c>
      <c r="T125" s="176">
        <f t="shared" si="198"/>
        <v>15</v>
      </c>
      <c r="U125" s="221">
        <f t="shared" si="199"/>
        <v>0.5933465739821252</v>
      </c>
      <c r="V125" s="221">
        <f t="shared" si="200"/>
        <v>0.34611883482290634</v>
      </c>
      <c r="W125" s="221">
        <f t="shared" si="201"/>
        <v>0.17414784142033024</v>
      </c>
      <c r="X125" s="201">
        <f t="shared" si="202"/>
        <v>350</v>
      </c>
      <c r="Y125" s="451">
        <f t="shared" si="203"/>
        <v>350</v>
      </c>
      <c r="AA125" s="221">
        <f t="shared" si="204"/>
        <v>3.2584749380923919</v>
      </c>
      <c r="AB125" s="177">
        <f t="shared" si="205"/>
        <v>0.95636580992229525</v>
      </c>
      <c r="AC125" s="177">
        <f t="shared" si="206"/>
        <v>0.81802718111106087</v>
      </c>
      <c r="AD125" s="177"/>
      <c r="AE125" s="177">
        <f t="shared" si="207"/>
        <v>0.24067085953878403</v>
      </c>
      <c r="AF125" s="559">
        <f t="shared" si="208"/>
        <v>1013.4273816605763</v>
      </c>
      <c r="AG125" s="542">
        <f t="shared" si="209"/>
        <v>5.1804402515723262E-2</v>
      </c>
      <c r="AI125" s="177">
        <f t="shared" si="210"/>
        <v>1.3953274796656892</v>
      </c>
      <c r="AJ125" s="177">
        <f t="shared" si="211"/>
        <v>1.3953274796656892</v>
      </c>
      <c r="AK125" s="177">
        <f t="shared" si="212"/>
        <v>1.626168503456066</v>
      </c>
      <c r="AM125" s="559">
        <f t="shared" si="213"/>
        <v>150</v>
      </c>
      <c r="AN125" s="469">
        <f t="shared" si="214"/>
        <v>350</v>
      </c>
      <c r="AP125" s="469">
        <f t="shared" si="215"/>
        <v>150</v>
      </c>
      <c r="AQ125" s="469">
        <f t="shared" si="216"/>
        <v>350</v>
      </c>
      <c r="AS125" s="5">
        <f t="shared" si="165"/>
        <v>2.8571428571428572</v>
      </c>
      <c r="AT125" s="5">
        <f t="shared" si="217"/>
        <v>0.81394102980498528</v>
      </c>
      <c r="AU125" s="5">
        <f t="shared" si="218"/>
        <v>2.0432018273378718</v>
      </c>
      <c r="AV125" s="5"/>
      <c r="AW125" s="177">
        <f t="shared" si="219"/>
        <v>0.28487936043174483</v>
      </c>
      <c r="AX125" s="177">
        <f t="shared" si="143"/>
        <v>2.3849999999999998</v>
      </c>
      <c r="AY125" s="177">
        <f t="shared" si="144"/>
        <v>0.74837060974926695</v>
      </c>
      <c r="AZ125" s="177">
        <f t="shared" si="168"/>
        <v>3.1869236564475281</v>
      </c>
      <c r="BA125" s="469">
        <f t="shared" si="220"/>
        <v>18.128571784263034</v>
      </c>
      <c r="BB125" s="469">
        <f t="shared" si="221"/>
        <v>1.7625331439393943</v>
      </c>
      <c r="BC125" s="5">
        <f t="shared" si="222"/>
        <v>0.53768469140470321</v>
      </c>
      <c r="BD125" s="469">
        <f t="shared" si="223"/>
        <v>40.918457118510624</v>
      </c>
      <c r="BF125" s="177">
        <f t="shared" si="169"/>
        <v>0.42997777972321294</v>
      </c>
      <c r="BG125" s="177">
        <f t="shared" si="149"/>
        <v>1.021871849478847</v>
      </c>
      <c r="BI125" s="542">
        <f t="shared" si="224"/>
        <v>2.0336898016127421E-2</v>
      </c>
      <c r="BJ125" s="542">
        <f t="shared" si="225"/>
        <v>8.7539357755526181E-2</v>
      </c>
      <c r="BK125" s="542">
        <f t="shared" si="226"/>
        <v>1.7499999999999998E-2</v>
      </c>
      <c r="BL125" s="542">
        <f t="shared" si="227"/>
        <v>0.10121127187500001</v>
      </c>
      <c r="BM125">
        <f t="shared" si="228"/>
        <v>3.48E-3</v>
      </c>
      <c r="BN125" s="469">
        <f t="shared" si="229"/>
        <v>230.06752764665362</v>
      </c>
      <c r="BO125" s="542">
        <f t="shared" si="230"/>
        <v>0.13500000000000001</v>
      </c>
      <c r="BR125" s="469">
        <f t="shared" si="231"/>
        <v>135</v>
      </c>
      <c r="BS125" s="542">
        <f t="shared" si="232"/>
        <v>0</v>
      </c>
      <c r="BT125" s="542">
        <f t="shared" si="233"/>
        <v>0</v>
      </c>
      <c r="BU125" s="542">
        <f t="shared" si="234"/>
        <v>0</v>
      </c>
      <c r="BV125" s="542">
        <f t="shared" si="235"/>
        <v>0</v>
      </c>
      <c r="BW125" s="469">
        <f t="shared" si="236"/>
        <v>0</v>
      </c>
      <c r="BX125" s="177">
        <f t="shared" si="237"/>
        <v>0.36506752764665362</v>
      </c>
      <c r="BY125" s="5">
        <f t="shared" si="238"/>
        <v>2.25</v>
      </c>
      <c r="BZ125" s="177">
        <f t="shared" si="239"/>
        <v>0.86039843186184006</v>
      </c>
      <c r="CA125" s="5">
        <f t="shared" si="240"/>
        <v>86.039843186184001</v>
      </c>
      <c r="CD125" s="576">
        <f t="shared" si="241"/>
        <v>-50</v>
      </c>
      <c r="CE125">
        <f t="shared" si="242"/>
        <v>-50</v>
      </c>
    </row>
    <row r="126" spans="5:83" x14ac:dyDescent="0.25">
      <c r="E126" s="174">
        <v>16</v>
      </c>
      <c r="F126" s="221">
        <f t="shared" si="243"/>
        <v>0.16</v>
      </c>
      <c r="G126" s="221"/>
      <c r="H126" s="221">
        <f t="shared" si="190"/>
        <v>2.4</v>
      </c>
      <c r="I126" s="555">
        <f t="shared" si="191"/>
        <v>12</v>
      </c>
      <c r="J126" s="451">
        <f t="shared" si="192"/>
        <v>23.85</v>
      </c>
      <c r="K126" s="451">
        <f t="shared" si="193"/>
        <v>35.85</v>
      </c>
      <c r="L126" s="451"/>
      <c r="M126" s="221">
        <f t="shared" si="194"/>
        <v>0.66527196652719667</v>
      </c>
      <c r="N126" s="176">
        <f t="shared" si="244"/>
        <v>15.547405857740586</v>
      </c>
      <c r="O126" s="176">
        <f t="shared" si="163"/>
        <v>2.4</v>
      </c>
      <c r="P126" s="221">
        <f t="shared" si="195"/>
        <v>1.0364937238493723</v>
      </c>
      <c r="Q126" s="221">
        <f t="shared" si="196"/>
        <v>15</v>
      </c>
      <c r="R126" s="221"/>
      <c r="S126" s="176">
        <f t="shared" si="197"/>
        <v>138.11429323530288</v>
      </c>
      <c r="T126" s="176">
        <f t="shared" si="198"/>
        <v>15</v>
      </c>
      <c r="U126" s="221">
        <f t="shared" si="199"/>
        <v>0.63290301224760015</v>
      </c>
      <c r="V126" s="221">
        <f t="shared" si="200"/>
        <v>0.3691934238111001</v>
      </c>
      <c r="W126" s="221">
        <f t="shared" si="201"/>
        <v>0.18575769751501892</v>
      </c>
      <c r="X126" s="201">
        <f t="shared" si="202"/>
        <v>350</v>
      </c>
      <c r="Y126" s="451">
        <f t="shared" si="203"/>
        <v>350</v>
      </c>
      <c r="AA126" s="221">
        <f t="shared" si="204"/>
        <v>3.2584749380923919</v>
      </c>
      <c r="AB126" s="177">
        <f t="shared" si="205"/>
        <v>0.95636580992229525</v>
      </c>
      <c r="AC126" s="177">
        <f t="shared" si="206"/>
        <v>0.81802718111106087</v>
      </c>
      <c r="AD126" s="177"/>
      <c r="AE126" s="177">
        <f t="shared" si="207"/>
        <v>0.24067085953878403</v>
      </c>
      <c r="AF126" s="559">
        <f t="shared" si="208"/>
        <v>1080.9892071046149</v>
      </c>
      <c r="AG126" s="542">
        <f t="shared" si="209"/>
        <v>5.1804402515723262E-2</v>
      </c>
      <c r="AI126" s="177">
        <f t="shared" si="210"/>
        <v>1.441088024333542</v>
      </c>
      <c r="AJ126" s="177">
        <f t="shared" si="211"/>
        <v>1.441088024333542</v>
      </c>
      <c r="AK126" s="177">
        <f t="shared" si="212"/>
        <v>1.6600652032100311</v>
      </c>
      <c r="AM126" s="559">
        <f t="shared" si="213"/>
        <v>160</v>
      </c>
      <c r="AN126" s="469">
        <f t="shared" si="214"/>
        <v>350</v>
      </c>
      <c r="AP126" s="469">
        <f t="shared" si="215"/>
        <v>160</v>
      </c>
      <c r="AQ126" s="469">
        <f t="shared" si="216"/>
        <v>350</v>
      </c>
      <c r="AS126" s="5">
        <f t="shared" si="165"/>
        <v>2.8571428571428572</v>
      </c>
      <c r="AT126" s="5">
        <f t="shared" si="217"/>
        <v>0.84063468086123283</v>
      </c>
      <c r="AU126" s="5">
        <f t="shared" si="218"/>
        <v>2.0165081762816244</v>
      </c>
      <c r="AV126" s="5"/>
      <c r="AW126" s="177">
        <f t="shared" si="219"/>
        <v>0.29422213830143146</v>
      </c>
      <c r="AX126" s="177">
        <f t="shared" si="143"/>
        <v>2.544</v>
      </c>
      <c r="AY126" s="177">
        <f t="shared" si="144"/>
        <v>0.76281601825015655</v>
      </c>
      <c r="AZ126" s="177">
        <f t="shared" si="168"/>
        <v>3.3350112466643629</v>
      </c>
      <c r="BA126" s="469">
        <f t="shared" si="220"/>
        <v>18.128571784263034</v>
      </c>
      <c r="BB126" s="469">
        <f t="shared" si="221"/>
        <v>1.9733710437710443</v>
      </c>
      <c r="BC126" s="5">
        <f t="shared" si="222"/>
        <v>0.56603738281589455</v>
      </c>
      <c r="BD126" s="469">
        <f t="shared" si="223"/>
        <v>43.084382658560507</v>
      </c>
      <c r="BF126" s="177">
        <f t="shared" si="169"/>
        <v>0.45130230899676027</v>
      </c>
      <c r="BG126" s="177">
        <f t="shared" si="149"/>
        <v>1.0484679435586466</v>
      </c>
      <c r="BI126" s="542">
        <f t="shared" si="224"/>
        <v>2.2404115151638801E-2</v>
      </c>
      <c r="BJ126" s="542">
        <f t="shared" si="225"/>
        <v>9.0410259926625602E-2</v>
      </c>
      <c r="BK126" s="542">
        <f t="shared" si="226"/>
        <v>1.7499999999999998E-2</v>
      </c>
      <c r="BL126" s="542">
        <f t="shared" si="227"/>
        <v>0.10121127187500001</v>
      </c>
      <c r="BM126">
        <f t="shared" si="228"/>
        <v>3.48E-3</v>
      </c>
      <c r="BN126" s="469">
        <f t="shared" si="229"/>
        <v>235.00564695326443</v>
      </c>
      <c r="BO126" s="542">
        <f t="shared" si="230"/>
        <v>0.14400000000000002</v>
      </c>
      <c r="BR126" s="469">
        <f t="shared" si="231"/>
        <v>144.00000000000003</v>
      </c>
      <c r="BS126" s="542">
        <f t="shared" si="232"/>
        <v>0</v>
      </c>
      <c r="BT126" s="542">
        <f t="shared" si="233"/>
        <v>0</v>
      </c>
      <c r="BU126" s="542">
        <f t="shared" si="234"/>
        <v>0</v>
      </c>
      <c r="BV126" s="542">
        <f t="shared" si="235"/>
        <v>0</v>
      </c>
      <c r="BW126" s="469">
        <f t="shared" si="236"/>
        <v>0</v>
      </c>
      <c r="BX126" s="177">
        <f t="shared" si="237"/>
        <v>0.37900564695326444</v>
      </c>
      <c r="BY126" s="5">
        <f t="shared" si="238"/>
        <v>2.4</v>
      </c>
      <c r="BZ126" s="177">
        <f t="shared" si="239"/>
        <v>0.86361825231669331</v>
      </c>
      <c r="CA126" s="5">
        <f t="shared" si="240"/>
        <v>86.361825231669329</v>
      </c>
      <c r="CD126" s="576">
        <f t="shared" si="241"/>
        <v>-50</v>
      </c>
      <c r="CE126">
        <f t="shared" si="242"/>
        <v>-50</v>
      </c>
    </row>
    <row r="127" spans="5:83" x14ac:dyDescent="0.25">
      <c r="E127" s="174">
        <v>17</v>
      </c>
      <c r="F127" s="221">
        <f t="shared" si="243"/>
        <v>0.17</v>
      </c>
      <c r="G127" s="221"/>
      <c r="H127" s="221">
        <f t="shared" si="190"/>
        <v>2.5500000000000003</v>
      </c>
      <c r="I127" s="555">
        <f t="shared" si="191"/>
        <v>12</v>
      </c>
      <c r="J127" s="451">
        <f t="shared" si="192"/>
        <v>23.85</v>
      </c>
      <c r="K127" s="451">
        <f t="shared" si="193"/>
        <v>35.85</v>
      </c>
      <c r="L127" s="451"/>
      <c r="M127" s="221">
        <f t="shared" si="194"/>
        <v>0.66527196652719667</v>
      </c>
      <c r="N127" s="176">
        <f t="shared" si="244"/>
        <v>15.547405857740586</v>
      </c>
      <c r="O127" s="176">
        <f t="shared" si="163"/>
        <v>2.5500000000000003</v>
      </c>
      <c r="P127" s="221">
        <f t="shared" si="195"/>
        <v>1.0364937238493723</v>
      </c>
      <c r="Q127" s="221">
        <f t="shared" si="196"/>
        <v>15</v>
      </c>
      <c r="R127" s="221"/>
      <c r="S127" s="176">
        <f t="shared" si="197"/>
        <v>129.52579204036488</v>
      </c>
      <c r="T127" s="176">
        <f t="shared" si="198"/>
        <v>15</v>
      </c>
      <c r="U127" s="221">
        <f t="shared" si="199"/>
        <v>0.67245945051307532</v>
      </c>
      <c r="V127" s="221">
        <f t="shared" si="200"/>
        <v>0.39226801279929396</v>
      </c>
      <c r="W127" s="221">
        <f t="shared" si="201"/>
        <v>0.19736755360970762</v>
      </c>
      <c r="X127" s="201">
        <f t="shared" si="202"/>
        <v>350</v>
      </c>
      <c r="Y127" s="451">
        <f t="shared" si="203"/>
        <v>350</v>
      </c>
      <c r="AA127" s="221">
        <f t="shared" si="204"/>
        <v>3.2584749380923919</v>
      </c>
      <c r="AB127" s="177">
        <f t="shared" si="205"/>
        <v>0.95636580992229525</v>
      </c>
      <c r="AC127" s="177">
        <f t="shared" si="206"/>
        <v>0.81802718111106087</v>
      </c>
      <c r="AD127" s="177"/>
      <c r="AE127" s="177">
        <f t="shared" si="207"/>
        <v>0.24067085953878403</v>
      </c>
      <c r="AF127" s="559">
        <f t="shared" si="208"/>
        <v>1148.5510325486532</v>
      </c>
      <c r="AG127" s="542">
        <f t="shared" si="209"/>
        <v>5.1804402515723262E-2</v>
      </c>
      <c r="AI127" s="177">
        <f t="shared" si="210"/>
        <v>1.485439535034967</v>
      </c>
      <c r="AJ127" s="177">
        <f t="shared" si="211"/>
        <v>1.485439535034967</v>
      </c>
      <c r="AK127" s="177">
        <f t="shared" si="212"/>
        <v>1.6929181740999755</v>
      </c>
      <c r="AM127" s="559">
        <f t="shared" si="213"/>
        <v>170</v>
      </c>
      <c r="AN127" s="469">
        <f t="shared" si="214"/>
        <v>350</v>
      </c>
      <c r="AP127" s="469">
        <f t="shared" si="215"/>
        <v>170</v>
      </c>
      <c r="AQ127" s="469">
        <f t="shared" si="216"/>
        <v>350</v>
      </c>
      <c r="AS127" s="5">
        <f t="shared" si="165"/>
        <v>2.8571428571428572</v>
      </c>
      <c r="AT127" s="5">
        <f t="shared" si="217"/>
        <v>0.86650639543706398</v>
      </c>
      <c r="AU127" s="5">
        <f t="shared" si="218"/>
        <v>1.9906364617057932</v>
      </c>
      <c r="AV127" s="5"/>
      <c r="AW127" s="177">
        <f t="shared" si="219"/>
        <v>0.30327723840297238</v>
      </c>
      <c r="AX127" s="177">
        <f t="shared" si="143"/>
        <v>2.7030000000000012</v>
      </c>
      <c r="AY127" s="177">
        <f t="shared" si="144"/>
        <v>0.77620465127622518</v>
      </c>
      <c r="AZ127" s="177">
        <f t="shared" si="168"/>
        <v>3.4823290424191162</v>
      </c>
      <c r="BA127" s="469">
        <f t="shared" si="220"/>
        <v>18.128571784263034</v>
      </c>
      <c r="BB127" s="469">
        <f t="shared" si="221"/>
        <v>2.1958759048821559</v>
      </c>
      <c r="BC127" s="5">
        <f t="shared" si="222"/>
        <v>0.59369859384207879</v>
      </c>
      <c r="BD127" s="469">
        <f t="shared" si="223"/>
        <v>45.198447169734855</v>
      </c>
      <c r="BF127" s="177">
        <f t="shared" si="169"/>
        <v>0.472295991419665</v>
      </c>
      <c r="BG127" s="177">
        <f t="shared" si="149"/>
        <v>1.073780739389441</v>
      </c>
      <c r="BI127" s="542">
        <f t="shared" si="224"/>
        <v>2.4536985386219273E-2</v>
      </c>
      <c r="BJ127" s="542">
        <f t="shared" si="225"/>
        <v>9.3192762829256245E-2</v>
      </c>
      <c r="BK127" s="542">
        <f t="shared" si="226"/>
        <v>1.7499999999999998E-2</v>
      </c>
      <c r="BL127" s="542">
        <f t="shared" si="227"/>
        <v>0.10121127187500001</v>
      </c>
      <c r="BM127">
        <f t="shared" si="228"/>
        <v>3.48E-3</v>
      </c>
      <c r="BN127" s="469">
        <f t="shared" si="229"/>
        <v>239.92102009047554</v>
      </c>
      <c r="BO127" s="542">
        <f t="shared" si="230"/>
        <v>0.15300000000000002</v>
      </c>
      <c r="BR127" s="469">
        <f t="shared" si="231"/>
        <v>153.00000000000003</v>
      </c>
      <c r="BS127" s="542">
        <f t="shared" si="232"/>
        <v>0</v>
      </c>
      <c r="BT127" s="542">
        <f t="shared" si="233"/>
        <v>0</v>
      </c>
      <c r="BU127" s="542">
        <f t="shared" si="234"/>
        <v>0</v>
      </c>
      <c r="BV127" s="542">
        <f t="shared" si="235"/>
        <v>0</v>
      </c>
      <c r="BW127" s="469">
        <f t="shared" si="236"/>
        <v>0</v>
      </c>
      <c r="BX127" s="177">
        <f t="shared" si="237"/>
        <v>0.39292102009047558</v>
      </c>
      <c r="BY127" s="5">
        <f t="shared" si="238"/>
        <v>2.5500000000000003</v>
      </c>
      <c r="BZ127" s="177">
        <f t="shared" si="239"/>
        <v>0.86648604654759098</v>
      </c>
      <c r="CA127" s="5">
        <f t="shared" si="240"/>
        <v>86.648604654759097</v>
      </c>
      <c r="CD127" s="576">
        <f t="shared" si="241"/>
        <v>-50</v>
      </c>
      <c r="CE127">
        <f t="shared" si="242"/>
        <v>-50</v>
      </c>
    </row>
    <row r="128" spans="5:83" x14ac:dyDescent="0.25">
      <c r="E128" s="174">
        <v>18</v>
      </c>
      <c r="F128" s="221">
        <f t="shared" si="243"/>
        <v>0.18</v>
      </c>
      <c r="G128" s="221"/>
      <c r="H128" s="221">
        <f t="shared" si="190"/>
        <v>2.6999999999999997</v>
      </c>
      <c r="I128" s="555">
        <f t="shared" si="191"/>
        <v>12</v>
      </c>
      <c r="J128" s="451">
        <f t="shared" si="192"/>
        <v>23.85</v>
      </c>
      <c r="K128" s="451">
        <f t="shared" si="193"/>
        <v>35.85</v>
      </c>
      <c r="L128" s="451"/>
      <c r="M128" s="221">
        <f t="shared" si="194"/>
        <v>0.66527196652719667</v>
      </c>
      <c r="N128" s="176">
        <f t="shared" si="244"/>
        <v>15.547405857740586</v>
      </c>
      <c r="O128" s="176">
        <f t="shared" si="163"/>
        <v>2.6999999999999997</v>
      </c>
      <c r="P128" s="221">
        <f t="shared" si="195"/>
        <v>1.0364937238493723</v>
      </c>
      <c r="Q128" s="221">
        <f t="shared" si="196"/>
        <v>15</v>
      </c>
      <c r="R128" s="221"/>
      <c r="S128" s="176">
        <f t="shared" si="197"/>
        <v>121.89196908983573</v>
      </c>
      <c r="T128" s="176">
        <f t="shared" si="198"/>
        <v>15</v>
      </c>
      <c r="U128" s="221">
        <f t="shared" si="199"/>
        <v>0.71201588877855015</v>
      </c>
      <c r="V128" s="221">
        <f t="shared" si="200"/>
        <v>0.41534260178748755</v>
      </c>
      <c r="W128" s="221">
        <f t="shared" si="201"/>
        <v>0.20897740970439627</v>
      </c>
      <c r="X128" s="201">
        <f t="shared" si="202"/>
        <v>350</v>
      </c>
      <c r="Y128" s="451">
        <f t="shared" si="203"/>
        <v>350</v>
      </c>
      <c r="AA128" s="221">
        <f t="shared" si="204"/>
        <v>3.2584749380923919</v>
      </c>
      <c r="AB128" s="177">
        <f t="shared" si="205"/>
        <v>0.95636580992229525</v>
      </c>
      <c r="AC128" s="177">
        <f t="shared" si="206"/>
        <v>0.81802718111106087</v>
      </c>
      <c r="AD128" s="177"/>
      <c r="AE128" s="177">
        <f t="shared" si="207"/>
        <v>0.24067085953878403</v>
      </c>
      <c r="AF128" s="559">
        <f t="shared" si="208"/>
        <v>1216.1128579926917</v>
      </c>
      <c r="AG128" s="542">
        <f t="shared" si="209"/>
        <v>5.1804402515723262E-2</v>
      </c>
      <c r="AI128" s="177">
        <f t="shared" si="210"/>
        <v>1.5285046714394579</v>
      </c>
      <c r="AJ128" s="177">
        <f t="shared" si="211"/>
        <v>1.5285046714394579</v>
      </c>
      <c r="AK128" s="177">
        <f t="shared" si="212"/>
        <v>1.7248182751403391</v>
      </c>
      <c r="AM128" s="559">
        <f t="shared" si="213"/>
        <v>180</v>
      </c>
      <c r="AN128" s="469">
        <f t="shared" si="214"/>
        <v>350</v>
      </c>
      <c r="AP128" s="469">
        <f t="shared" si="215"/>
        <v>180</v>
      </c>
      <c r="AQ128" s="469">
        <f t="shared" si="216"/>
        <v>350</v>
      </c>
      <c r="AS128" s="5">
        <f t="shared" si="165"/>
        <v>2.8571428571428572</v>
      </c>
      <c r="AT128" s="5">
        <f t="shared" si="217"/>
        <v>0.89162772500635035</v>
      </c>
      <c r="AU128" s="5">
        <f t="shared" si="218"/>
        <v>1.965515132136507</v>
      </c>
      <c r="AV128" s="5"/>
      <c r="AW128" s="177">
        <f t="shared" si="219"/>
        <v>0.31206970375222259</v>
      </c>
      <c r="AX128" s="177">
        <f t="shared" si="143"/>
        <v>2.8620000000000005</v>
      </c>
      <c r="AY128" s="177">
        <f t="shared" si="144"/>
        <v>0.78862850357959347</v>
      </c>
      <c r="AZ128" s="177">
        <f t="shared" si="168"/>
        <v>3.6290851611491988</v>
      </c>
      <c r="BA128" s="469">
        <f t="shared" si="220"/>
        <v>18.128571784263034</v>
      </c>
      <c r="BB128" s="469">
        <f t="shared" si="221"/>
        <v>2.4300477272727279</v>
      </c>
      <c r="BC128" s="5">
        <f t="shared" si="222"/>
        <v>0.620688989095739</v>
      </c>
      <c r="BD128" s="469">
        <f t="shared" si="223"/>
        <v>47.2622004979699</v>
      </c>
      <c r="BF128" s="177">
        <f t="shared" si="169"/>
        <v>0.49298300453349686</v>
      </c>
      <c r="BG128" s="177">
        <f t="shared" si="149"/>
        <v>1.0979172791024459</v>
      </c>
      <c r="BI128" s="542">
        <f t="shared" si="224"/>
        <v>2.6733546703476115E-2</v>
      </c>
      <c r="BJ128" s="542">
        <f t="shared" si="225"/>
        <v>9.5894561824433011E-2</v>
      </c>
      <c r="BK128" s="542">
        <f t="shared" si="226"/>
        <v>1.7499999999999998E-2</v>
      </c>
      <c r="BL128" s="542">
        <f t="shared" si="227"/>
        <v>0.10121127187500001</v>
      </c>
      <c r="BM128">
        <f t="shared" si="228"/>
        <v>3.48E-3</v>
      </c>
      <c r="BN128" s="469">
        <f t="shared" si="229"/>
        <v>244.81938040290913</v>
      </c>
      <c r="BO128" s="542">
        <f t="shared" si="230"/>
        <v>0.16200000000000001</v>
      </c>
      <c r="BR128" s="469">
        <f t="shared" si="231"/>
        <v>162</v>
      </c>
      <c r="BS128" s="542">
        <f t="shared" si="232"/>
        <v>0</v>
      </c>
      <c r="BT128" s="542">
        <f t="shared" si="233"/>
        <v>0</v>
      </c>
      <c r="BU128" s="542">
        <f t="shared" si="234"/>
        <v>0</v>
      </c>
      <c r="BV128" s="542">
        <f t="shared" si="235"/>
        <v>0</v>
      </c>
      <c r="BW128" s="469">
        <f t="shared" si="236"/>
        <v>0</v>
      </c>
      <c r="BX128" s="177">
        <f t="shared" si="237"/>
        <v>0.4068193804029091</v>
      </c>
      <c r="BY128" s="5">
        <f t="shared" si="238"/>
        <v>2.6999999999999997</v>
      </c>
      <c r="BZ128" s="177">
        <f t="shared" si="239"/>
        <v>0.86905599245033982</v>
      </c>
      <c r="CA128" s="5">
        <f t="shared" si="240"/>
        <v>86.905599245033983</v>
      </c>
      <c r="CD128" s="576">
        <f t="shared" si="241"/>
        <v>-50</v>
      </c>
      <c r="CE128">
        <f t="shared" si="242"/>
        <v>-50</v>
      </c>
    </row>
    <row r="129" spans="5:83" x14ac:dyDescent="0.25">
      <c r="E129" s="174">
        <v>19</v>
      </c>
      <c r="F129" s="221">
        <f t="shared" si="243"/>
        <v>0.19</v>
      </c>
      <c r="G129" s="221"/>
      <c r="H129" s="221">
        <f t="shared" si="190"/>
        <v>2.85</v>
      </c>
      <c r="I129" s="555">
        <f t="shared" si="191"/>
        <v>12</v>
      </c>
      <c r="J129" s="451">
        <f t="shared" si="192"/>
        <v>23.85</v>
      </c>
      <c r="K129" s="451">
        <f t="shared" si="193"/>
        <v>35.85</v>
      </c>
      <c r="L129" s="451"/>
      <c r="M129" s="221">
        <f t="shared" si="194"/>
        <v>0.66527196652719667</v>
      </c>
      <c r="N129" s="176">
        <f t="shared" si="244"/>
        <v>15.547405857740586</v>
      </c>
      <c r="O129" s="176">
        <f t="shared" si="163"/>
        <v>2.85</v>
      </c>
      <c r="P129" s="221">
        <f t="shared" si="195"/>
        <v>1.0364937238493723</v>
      </c>
      <c r="Q129" s="221">
        <f t="shared" si="196"/>
        <v>15</v>
      </c>
      <c r="R129" s="221"/>
      <c r="S129" s="176">
        <f t="shared" si="197"/>
        <v>115.06208925732635</v>
      </c>
      <c r="T129" s="176">
        <f t="shared" si="198"/>
        <v>15</v>
      </c>
      <c r="U129" s="221">
        <f t="shared" si="199"/>
        <v>0.75157232704402521</v>
      </c>
      <c r="V129" s="221">
        <f t="shared" si="200"/>
        <v>0.43841719077568136</v>
      </c>
      <c r="W129" s="221">
        <f t="shared" si="201"/>
        <v>0.22058726579908494</v>
      </c>
      <c r="X129" s="201">
        <f t="shared" si="202"/>
        <v>350</v>
      </c>
      <c r="Y129" s="451">
        <f t="shared" si="203"/>
        <v>350</v>
      </c>
      <c r="AA129" s="221">
        <f t="shared" si="204"/>
        <v>3.2584749380923919</v>
      </c>
      <c r="AB129" s="177">
        <f t="shared" si="205"/>
        <v>0.95636580992229525</v>
      </c>
      <c r="AC129" s="177">
        <f t="shared" si="206"/>
        <v>0.81802718111106087</v>
      </c>
      <c r="AD129" s="177"/>
      <c r="AE129" s="177">
        <f t="shared" si="207"/>
        <v>0.24067085953878403</v>
      </c>
      <c r="AF129" s="559">
        <f t="shared" si="208"/>
        <v>1283.6746834367302</v>
      </c>
      <c r="AG129" s="542">
        <f t="shared" si="209"/>
        <v>5.1804402515723262E-2</v>
      </c>
      <c r="AI129" s="177">
        <f t="shared" si="210"/>
        <v>1.5703892667041484</v>
      </c>
      <c r="AJ129" s="177">
        <f t="shared" si="211"/>
        <v>1.5703892667041484</v>
      </c>
      <c r="AK129" s="177">
        <f t="shared" si="212"/>
        <v>1.7558439012623319</v>
      </c>
      <c r="AM129" s="559">
        <f t="shared" si="213"/>
        <v>190</v>
      </c>
      <c r="AN129" s="469">
        <f t="shared" si="214"/>
        <v>350</v>
      </c>
      <c r="AP129" s="469">
        <f t="shared" si="215"/>
        <v>190</v>
      </c>
      <c r="AQ129" s="469">
        <f t="shared" si="216"/>
        <v>350</v>
      </c>
      <c r="AS129" s="5">
        <f t="shared" si="165"/>
        <v>2.8571428571428572</v>
      </c>
      <c r="AT129" s="5">
        <f t="shared" si="217"/>
        <v>0.91606040557741975</v>
      </c>
      <c r="AU129" s="5">
        <f t="shared" si="218"/>
        <v>1.9410824515654375</v>
      </c>
      <c r="AV129" s="5"/>
      <c r="AW129" s="177">
        <f t="shared" si="219"/>
        <v>0.3206211419520969</v>
      </c>
      <c r="AX129" s="177">
        <f t="shared" si="143"/>
        <v>3.0210000000000017</v>
      </c>
      <c r="AY129" s="177">
        <f t="shared" si="144"/>
        <v>0.80016695002811122</v>
      </c>
      <c r="AZ129" s="177">
        <f t="shared" si="168"/>
        <v>3.7754621081186479</v>
      </c>
      <c r="BA129" s="469">
        <f t="shared" si="220"/>
        <v>18.128571784263034</v>
      </c>
      <c r="BB129" s="469">
        <f t="shared" si="221"/>
        <v>2.6758865109427612</v>
      </c>
      <c r="BC129" s="5">
        <f t="shared" si="222"/>
        <v>0.64702748385514597</v>
      </c>
      <c r="BD129" s="469">
        <f t="shared" si="223"/>
        <v>49.277061289135951</v>
      </c>
      <c r="BF129" s="177">
        <f t="shared" si="169"/>
        <v>0.51338451988918232</v>
      </c>
      <c r="BG129" s="177">
        <f t="shared" si="149"/>
        <v>1.1209699326456266</v>
      </c>
      <c r="BI129" s="542">
        <f t="shared" si="224"/>
        <v>2.8992003178803082E-2</v>
      </c>
      <c r="BJ129" s="542">
        <f t="shared" si="225"/>
        <v>9.8522296619851513E-2</v>
      </c>
      <c r="BK129" s="542">
        <f t="shared" si="226"/>
        <v>1.7499999999999998E-2</v>
      </c>
      <c r="BL129" s="542">
        <f t="shared" si="227"/>
        <v>0.10121127187500001</v>
      </c>
      <c r="BM129">
        <f t="shared" si="228"/>
        <v>3.48E-3</v>
      </c>
      <c r="BN129" s="469">
        <f t="shared" si="229"/>
        <v>249.70557167365459</v>
      </c>
      <c r="BO129" s="542">
        <f t="shared" si="230"/>
        <v>0.17100000000000001</v>
      </c>
      <c r="BR129" s="469">
        <f t="shared" si="231"/>
        <v>171</v>
      </c>
      <c r="BS129" s="542">
        <f t="shared" si="232"/>
        <v>0</v>
      </c>
      <c r="BT129" s="542">
        <f t="shared" si="233"/>
        <v>0</v>
      </c>
      <c r="BU129" s="542">
        <f t="shared" si="234"/>
        <v>0</v>
      </c>
      <c r="BV129" s="542">
        <f t="shared" si="235"/>
        <v>0</v>
      </c>
      <c r="BW129" s="469">
        <f t="shared" si="236"/>
        <v>0</v>
      </c>
      <c r="BX129" s="177">
        <f t="shared" si="237"/>
        <v>0.42070557167365463</v>
      </c>
      <c r="BY129" s="5">
        <f t="shared" si="238"/>
        <v>2.85</v>
      </c>
      <c r="BZ129" s="177">
        <f t="shared" si="239"/>
        <v>0.8713716161683196</v>
      </c>
      <c r="CA129" s="5">
        <f t="shared" si="240"/>
        <v>87.13716161683196</v>
      </c>
      <c r="CD129" s="576">
        <f t="shared" si="241"/>
        <v>-50</v>
      </c>
      <c r="CE129">
        <f t="shared" si="242"/>
        <v>-50</v>
      </c>
    </row>
    <row r="130" spans="5:83" x14ac:dyDescent="0.25">
      <c r="E130" s="174">
        <v>20</v>
      </c>
      <c r="F130" s="221">
        <f t="shared" si="243"/>
        <v>0.2</v>
      </c>
      <c r="G130" s="221"/>
      <c r="H130" s="221">
        <f t="shared" si="190"/>
        <v>3</v>
      </c>
      <c r="I130" s="555">
        <f t="shared" si="191"/>
        <v>12</v>
      </c>
      <c r="J130" s="451">
        <f t="shared" si="192"/>
        <v>23.85</v>
      </c>
      <c r="K130" s="451">
        <f t="shared" si="193"/>
        <v>35.85</v>
      </c>
      <c r="L130" s="451"/>
      <c r="M130" s="221">
        <f t="shared" si="194"/>
        <v>0.66527196652719667</v>
      </c>
      <c r="N130" s="176">
        <f t="shared" si="244"/>
        <v>15.547405857740586</v>
      </c>
      <c r="O130" s="176">
        <f t="shared" si="163"/>
        <v>3</v>
      </c>
      <c r="P130" s="221">
        <f t="shared" si="195"/>
        <v>1.0364937238493723</v>
      </c>
      <c r="Q130" s="221">
        <f t="shared" si="196"/>
        <v>15</v>
      </c>
      <c r="R130" s="221"/>
      <c r="S130" s="176">
        <f t="shared" si="197"/>
        <v>108.91556447653225</v>
      </c>
      <c r="T130" s="176">
        <f t="shared" si="198"/>
        <v>15</v>
      </c>
      <c r="U130" s="221">
        <f t="shared" si="199"/>
        <v>0.79112876530950027</v>
      </c>
      <c r="V130" s="221">
        <f t="shared" si="200"/>
        <v>0.46149177976387518</v>
      </c>
      <c r="W130" s="221">
        <f t="shared" si="201"/>
        <v>0.23219712189377364</v>
      </c>
      <c r="X130" s="201">
        <f t="shared" si="202"/>
        <v>350</v>
      </c>
      <c r="Y130" s="451">
        <f t="shared" si="203"/>
        <v>350</v>
      </c>
      <c r="AA130" s="221">
        <f t="shared" si="204"/>
        <v>3.2584749380923919</v>
      </c>
      <c r="AB130" s="177">
        <f t="shared" si="205"/>
        <v>0.95636580992229525</v>
      </c>
      <c r="AC130" s="177">
        <f t="shared" si="206"/>
        <v>0.81802718111106087</v>
      </c>
      <c r="AD130" s="177"/>
      <c r="AE130" s="177">
        <f t="shared" si="207"/>
        <v>0.24067085953878403</v>
      </c>
      <c r="AF130" s="559">
        <f t="shared" si="208"/>
        <v>1351.2365088807687</v>
      </c>
      <c r="AG130" s="542">
        <f t="shared" si="209"/>
        <v>5.1804402515723262E-2</v>
      </c>
      <c r="AI130" s="177">
        <f t="shared" si="210"/>
        <v>1.6111853919853356</v>
      </c>
      <c r="AJ130" s="177">
        <f t="shared" si="211"/>
        <v>1.6111853919853356</v>
      </c>
      <c r="AK130" s="177">
        <f t="shared" si="212"/>
        <v>1.7860632533224707</v>
      </c>
      <c r="AM130" s="559">
        <f t="shared" si="213"/>
        <v>200</v>
      </c>
      <c r="AN130" s="469">
        <f t="shared" si="214"/>
        <v>350</v>
      </c>
      <c r="AP130" s="469">
        <f t="shared" si="215"/>
        <v>200</v>
      </c>
      <c r="AQ130" s="469">
        <f t="shared" si="216"/>
        <v>350</v>
      </c>
      <c r="AS130" s="5">
        <f t="shared" si="165"/>
        <v>2.8571428571428572</v>
      </c>
      <c r="AT130" s="5">
        <f t="shared" si="217"/>
        <v>0.93985814532477896</v>
      </c>
      <c r="AU130" s="5">
        <f t="shared" si="218"/>
        <v>1.9172847118180782</v>
      </c>
      <c r="AV130" s="5"/>
      <c r="AW130" s="177">
        <f t="shared" si="219"/>
        <v>0.32895035086367264</v>
      </c>
      <c r="AX130" s="177">
        <f t="shared" si="143"/>
        <v>3.1800000000000015</v>
      </c>
      <c r="AY130" s="177">
        <f t="shared" si="144"/>
        <v>0.81088904398900163</v>
      </c>
      <c r="AZ130" s="177">
        <f t="shared" si="168"/>
        <v>3.9216216121957284</v>
      </c>
      <c r="BA130" s="469">
        <f t="shared" si="220"/>
        <v>18.128571784263034</v>
      </c>
      <c r="BB130" s="469">
        <f t="shared" si="221"/>
        <v>2.9333922558922572</v>
      </c>
      <c r="BC130" s="5">
        <f t="shared" si="222"/>
        <v>0.6727314778309047</v>
      </c>
      <c r="BD130" s="469">
        <f t="shared" si="223"/>
        <v>51.24433452152838</v>
      </c>
      <c r="BF130" s="177">
        <f t="shared" si="169"/>
        <v>0.53351921482180564</v>
      </c>
      <c r="BG130" s="177">
        <f t="shared" si="149"/>
        <v>1.1430190646686667</v>
      </c>
      <c r="BI130" s="542">
        <f t="shared" si="224"/>
        <v>3.1310702784248363E-2</v>
      </c>
      <c r="BJ130" s="542">
        <f t="shared" si="225"/>
        <v>0.10108174352968</v>
      </c>
      <c r="BK130" s="542">
        <f t="shared" si="226"/>
        <v>1.7499999999999998E-2</v>
      </c>
      <c r="BL130" s="542">
        <f t="shared" si="227"/>
        <v>0.10121127187500001</v>
      </c>
      <c r="BM130">
        <f t="shared" si="228"/>
        <v>3.48E-3</v>
      </c>
      <c r="BN130" s="469">
        <f t="shared" si="229"/>
        <v>254.58371818892834</v>
      </c>
      <c r="BO130" s="542">
        <f t="shared" si="230"/>
        <v>0.18000000000000002</v>
      </c>
      <c r="BR130" s="469">
        <f t="shared" si="231"/>
        <v>180.00000000000003</v>
      </c>
      <c r="BS130" s="542">
        <f t="shared" si="232"/>
        <v>0</v>
      </c>
      <c r="BT130" s="542">
        <f t="shared" si="233"/>
        <v>0</v>
      </c>
      <c r="BU130" s="542">
        <f t="shared" si="234"/>
        <v>0</v>
      </c>
      <c r="BV130" s="542">
        <f t="shared" si="235"/>
        <v>0</v>
      </c>
      <c r="BW130" s="469">
        <f t="shared" si="236"/>
        <v>0</v>
      </c>
      <c r="BX130" s="177">
        <f t="shared" si="237"/>
        <v>0.43458371818892838</v>
      </c>
      <c r="BY130" s="5">
        <f t="shared" si="238"/>
        <v>3</v>
      </c>
      <c r="BZ130" s="177">
        <f t="shared" si="239"/>
        <v>0.87346829955331928</v>
      </c>
      <c r="CA130" s="5">
        <f t="shared" si="240"/>
        <v>87.346829955331927</v>
      </c>
      <c r="CD130" s="576">
        <f t="shared" si="241"/>
        <v>-50</v>
      </c>
      <c r="CE130">
        <f t="shared" si="242"/>
        <v>-50</v>
      </c>
    </row>
    <row r="131" spans="5:83" x14ac:dyDescent="0.25">
      <c r="E131" s="174">
        <v>21</v>
      </c>
      <c r="F131" s="221">
        <f t="shared" si="243"/>
        <v>0.21</v>
      </c>
      <c r="G131" s="221"/>
      <c r="H131" s="221">
        <f t="shared" si="190"/>
        <v>3.15</v>
      </c>
      <c r="I131" s="555">
        <f t="shared" si="191"/>
        <v>12</v>
      </c>
      <c r="J131" s="451">
        <f t="shared" si="192"/>
        <v>23.85</v>
      </c>
      <c r="K131" s="451">
        <f t="shared" si="193"/>
        <v>35.85</v>
      </c>
      <c r="L131" s="451"/>
      <c r="M131" s="221">
        <f t="shared" si="194"/>
        <v>0.66527196652719667</v>
      </c>
      <c r="N131" s="176">
        <f t="shared" si="244"/>
        <v>15.547405857740586</v>
      </c>
      <c r="O131" s="176">
        <f t="shared" si="163"/>
        <v>3.15</v>
      </c>
      <c r="P131" s="221">
        <f t="shared" si="195"/>
        <v>1.0364937238493723</v>
      </c>
      <c r="Q131" s="221">
        <f t="shared" si="196"/>
        <v>15</v>
      </c>
      <c r="R131" s="221"/>
      <c r="S131" s="176">
        <f t="shared" si="197"/>
        <v>103.3547758700869</v>
      </c>
      <c r="T131" s="176">
        <f t="shared" si="198"/>
        <v>15</v>
      </c>
      <c r="U131" s="221">
        <f t="shared" si="199"/>
        <v>0.83068520357497522</v>
      </c>
      <c r="V131" s="221">
        <f t="shared" si="200"/>
        <v>0.48456636875206888</v>
      </c>
      <c r="W131" s="221">
        <f t="shared" si="201"/>
        <v>0.24380697798846232</v>
      </c>
      <c r="X131" s="201">
        <f t="shared" si="202"/>
        <v>350</v>
      </c>
      <c r="Y131" s="451">
        <f t="shared" si="203"/>
        <v>350</v>
      </c>
      <c r="AA131" s="221">
        <f t="shared" si="204"/>
        <v>3.2584749380923919</v>
      </c>
      <c r="AB131" s="177">
        <f t="shared" si="205"/>
        <v>0.95636580992229525</v>
      </c>
      <c r="AC131" s="177">
        <f t="shared" si="206"/>
        <v>0.81802718111106087</v>
      </c>
      <c r="AD131" s="177"/>
      <c r="AE131" s="177">
        <f t="shared" si="207"/>
        <v>0.24067085953878403</v>
      </c>
      <c r="AF131" s="559">
        <f t="shared" si="208"/>
        <v>1418.798334324807</v>
      </c>
      <c r="AG131" s="542">
        <f t="shared" si="209"/>
        <v>5.1804402515723262E-2</v>
      </c>
      <c r="AI131" s="177">
        <f t="shared" si="210"/>
        <v>1.6509737386507051</v>
      </c>
      <c r="AJ131" s="177">
        <f t="shared" si="211"/>
        <v>1.6509737386507051</v>
      </c>
      <c r="AK131" s="177">
        <f t="shared" si="212"/>
        <v>1.8155361027042261</v>
      </c>
      <c r="AM131" s="559">
        <f t="shared" si="213"/>
        <v>210</v>
      </c>
      <c r="AN131" s="469">
        <f t="shared" si="214"/>
        <v>350</v>
      </c>
      <c r="AP131" s="469">
        <f t="shared" si="215"/>
        <v>210</v>
      </c>
      <c r="AQ131" s="469">
        <f t="shared" si="216"/>
        <v>350</v>
      </c>
      <c r="AS131" s="5">
        <f t="shared" si="165"/>
        <v>2.8571428571428572</v>
      </c>
      <c r="AT131" s="5">
        <f t="shared" si="217"/>
        <v>0.96306801421291122</v>
      </c>
      <c r="AU131" s="5">
        <f t="shared" si="218"/>
        <v>1.8940748429299461</v>
      </c>
      <c r="AV131" s="5"/>
      <c r="AW131" s="177">
        <f t="shared" si="219"/>
        <v>0.33707380497451894</v>
      </c>
      <c r="AX131" s="177">
        <f t="shared" si="143"/>
        <v>3.3390000000000009</v>
      </c>
      <c r="AY131" s="177">
        <f t="shared" si="144"/>
        <v>0.82085530398802853</v>
      </c>
      <c r="AZ131" s="177">
        <f t="shared" si="168"/>
        <v>4.0677083814624382</v>
      </c>
      <c r="BA131" s="469">
        <f t="shared" si="220"/>
        <v>18.128571784263034</v>
      </c>
      <c r="BB131" s="469">
        <f t="shared" si="221"/>
        <v>3.2025649621212122</v>
      </c>
      <c r="BC131" s="5">
        <f t="shared" si="222"/>
        <v>0.69781704739524342</v>
      </c>
      <c r="BD131" s="469">
        <f t="shared" si="223"/>
        <v>53.165225923064312</v>
      </c>
      <c r="BF131" s="177">
        <f t="shared" si="169"/>
        <v>0.55340367591813644</v>
      </c>
      <c r="BG131" s="177">
        <f t="shared" si="149"/>
        <v>1.1641351081882103</v>
      </c>
      <c r="BI131" s="542">
        <f t="shared" si="224"/>
        <v>3.3688119137167634E-2</v>
      </c>
      <c r="BJ131" s="542">
        <f t="shared" si="225"/>
        <v>0.10357796492859861</v>
      </c>
      <c r="BK131" s="542">
        <f t="shared" si="226"/>
        <v>1.7499999999999998E-2</v>
      </c>
      <c r="BL131" s="542">
        <f t="shared" si="227"/>
        <v>0.10121127187500001</v>
      </c>
      <c r="BM131">
        <f t="shared" si="228"/>
        <v>3.48E-3</v>
      </c>
      <c r="BN131" s="469">
        <f t="shared" si="229"/>
        <v>259.45735594076621</v>
      </c>
      <c r="BO131" s="542">
        <f t="shared" si="230"/>
        <v>0.189</v>
      </c>
      <c r="BR131" s="469">
        <f t="shared" si="231"/>
        <v>189</v>
      </c>
      <c r="BS131" s="542">
        <f t="shared" si="232"/>
        <v>0</v>
      </c>
      <c r="BT131" s="542">
        <f t="shared" si="233"/>
        <v>0</v>
      </c>
      <c r="BU131" s="542">
        <f t="shared" si="234"/>
        <v>0</v>
      </c>
      <c r="BV131" s="542">
        <f t="shared" si="235"/>
        <v>0</v>
      </c>
      <c r="BW131" s="469">
        <f t="shared" si="236"/>
        <v>0</v>
      </c>
      <c r="BX131" s="177">
        <f t="shared" si="237"/>
        <v>0.44845735594076619</v>
      </c>
      <c r="BY131" s="5">
        <f t="shared" si="238"/>
        <v>3.15</v>
      </c>
      <c r="BZ131" s="177">
        <f t="shared" si="239"/>
        <v>0.8753751089476165</v>
      </c>
      <c r="CA131" s="5">
        <f t="shared" si="240"/>
        <v>87.537510894761652</v>
      </c>
      <c r="CD131" s="576">
        <f t="shared" si="241"/>
        <v>-50</v>
      </c>
      <c r="CE131">
        <f t="shared" si="242"/>
        <v>-50</v>
      </c>
    </row>
    <row r="132" spans="5:83" x14ac:dyDescent="0.25">
      <c r="E132" s="174">
        <v>22</v>
      </c>
      <c r="F132" s="221">
        <f t="shared" si="243"/>
        <v>0.22</v>
      </c>
      <c r="G132" s="221"/>
      <c r="H132" s="221">
        <f t="shared" si="190"/>
        <v>3.3</v>
      </c>
      <c r="I132" s="555">
        <f t="shared" si="191"/>
        <v>12</v>
      </c>
      <c r="J132" s="451">
        <f t="shared" si="192"/>
        <v>23.85</v>
      </c>
      <c r="K132" s="451">
        <f t="shared" si="193"/>
        <v>35.85</v>
      </c>
      <c r="L132" s="451"/>
      <c r="M132" s="221">
        <f t="shared" si="194"/>
        <v>0.66527196652719667</v>
      </c>
      <c r="N132" s="176">
        <f t="shared" si="244"/>
        <v>15.547405857740586</v>
      </c>
      <c r="O132" s="176">
        <f t="shared" si="163"/>
        <v>3.3</v>
      </c>
      <c r="P132" s="221">
        <f t="shared" si="195"/>
        <v>1.0364937238493723</v>
      </c>
      <c r="Q132" s="221">
        <f t="shared" si="196"/>
        <v>15</v>
      </c>
      <c r="R132" s="221"/>
      <c r="S132" s="176">
        <f t="shared" si="197"/>
        <v>98.299853479637221</v>
      </c>
      <c r="T132" s="176">
        <f t="shared" si="198"/>
        <v>15</v>
      </c>
      <c r="U132" s="221">
        <f t="shared" si="199"/>
        <v>0.87024164184045016</v>
      </c>
      <c r="V132" s="221">
        <f t="shared" si="200"/>
        <v>0.50764095774026263</v>
      </c>
      <c r="W132" s="221">
        <f t="shared" si="201"/>
        <v>0.25541683408315097</v>
      </c>
      <c r="X132" s="201">
        <f t="shared" si="202"/>
        <v>350</v>
      </c>
      <c r="Y132" s="451">
        <f t="shared" si="203"/>
        <v>350</v>
      </c>
      <c r="AA132" s="221">
        <f t="shared" si="204"/>
        <v>3.2584749380923919</v>
      </c>
      <c r="AB132" s="177">
        <f t="shared" si="205"/>
        <v>0.95636580992229525</v>
      </c>
      <c r="AC132" s="177">
        <f t="shared" si="206"/>
        <v>0.81802718111106087</v>
      </c>
      <c r="AD132" s="177"/>
      <c r="AE132" s="177">
        <f t="shared" si="207"/>
        <v>0.24067085953878403</v>
      </c>
      <c r="AF132" s="559">
        <f t="shared" si="208"/>
        <v>1486.3601597688455</v>
      </c>
      <c r="AG132" s="542">
        <f t="shared" si="209"/>
        <v>5.1804402515723262E-2</v>
      </c>
      <c r="AI132" s="177">
        <f t="shared" si="210"/>
        <v>1.6898254951567138</v>
      </c>
      <c r="AJ132" s="177">
        <f t="shared" si="211"/>
        <v>1.6898254951567138</v>
      </c>
      <c r="AK132" s="177">
        <f t="shared" si="212"/>
        <v>1.8443151815975658</v>
      </c>
      <c r="AM132" s="559">
        <f t="shared" si="213"/>
        <v>220</v>
      </c>
      <c r="AN132" s="469">
        <f t="shared" si="214"/>
        <v>350</v>
      </c>
      <c r="AP132" s="469">
        <f t="shared" si="215"/>
        <v>220</v>
      </c>
      <c r="AQ132" s="469">
        <f t="shared" si="216"/>
        <v>350</v>
      </c>
      <c r="AS132" s="5">
        <f t="shared" si="165"/>
        <v>2.8571428571428572</v>
      </c>
      <c r="AT132" s="5">
        <f t="shared" si="217"/>
        <v>0.98573153884141651</v>
      </c>
      <c r="AU132" s="5">
        <f t="shared" si="218"/>
        <v>1.8714113183014407</v>
      </c>
      <c r="AV132" s="5"/>
      <c r="AW132" s="177">
        <f t="shared" si="219"/>
        <v>0.34500603859449575</v>
      </c>
      <c r="AX132" s="177">
        <f t="shared" si="143"/>
        <v>3.4979999999999998</v>
      </c>
      <c r="AY132" s="177">
        <f t="shared" si="144"/>
        <v>0.8301191213675353</v>
      </c>
      <c r="AZ132" s="177">
        <f t="shared" si="168"/>
        <v>4.2138530603142916</v>
      </c>
      <c r="BA132" s="469">
        <f t="shared" si="220"/>
        <v>18.128571784263034</v>
      </c>
      <c r="BB132" s="469">
        <f t="shared" si="221"/>
        <v>3.4834046296296308</v>
      </c>
      <c r="BC132" s="5">
        <f t="shared" si="222"/>
        <v>0.72229910530932795</v>
      </c>
      <c r="BD132" s="469">
        <f t="shared" si="223"/>
        <v>55.040853950831178</v>
      </c>
      <c r="BF132" s="177">
        <f t="shared" si="169"/>
        <v>0.57305272115701078</v>
      </c>
      <c r="BG132" s="177">
        <f t="shared" si="149"/>
        <v>1.1843801987976461</v>
      </c>
      <c r="BI132" s="542">
        <f t="shared" si="224"/>
        <v>3.6122836334800019E-2</v>
      </c>
      <c r="BJ132" s="542">
        <f t="shared" si="225"/>
        <v>0.10601542700239433</v>
      </c>
      <c r="BK132" s="542">
        <f t="shared" si="226"/>
        <v>1.7499999999999998E-2</v>
      </c>
      <c r="BL132" s="542">
        <f t="shared" si="227"/>
        <v>0.10121127187500001</v>
      </c>
      <c r="BM132">
        <f t="shared" si="228"/>
        <v>3.48E-3</v>
      </c>
      <c r="BN132" s="469">
        <f t="shared" si="229"/>
        <v>264.32953521219434</v>
      </c>
      <c r="BO132" s="542">
        <f t="shared" si="230"/>
        <v>0.19800000000000001</v>
      </c>
      <c r="BR132" s="469">
        <f t="shared" si="231"/>
        <v>198</v>
      </c>
      <c r="BS132" s="542">
        <f t="shared" si="232"/>
        <v>0</v>
      </c>
      <c r="BT132" s="542">
        <f t="shared" si="233"/>
        <v>0</v>
      </c>
      <c r="BU132" s="542">
        <f t="shared" si="234"/>
        <v>0</v>
      </c>
      <c r="BV132" s="542">
        <f t="shared" si="235"/>
        <v>0</v>
      </c>
      <c r="BW132" s="469">
        <f t="shared" si="236"/>
        <v>0</v>
      </c>
      <c r="BX132" s="177">
        <f t="shared" si="237"/>
        <v>0.46232953521219433</v>
      </c>
      <c r="BY132" s="5">
        <f t="shared" si="238"/>
        <v>3.3</v>
      </c>
      <c r="BZ132" s="177">
        <f t="shared" si="239"/>
        <v>0.87711615080891125</v>
      </c>
      <c r="CA132" s="5">
        <f t="shared" si="240"/>
        <v>87.711615080891121</v>
      </c>
      <c r="CD132" s="576">
        <f t="shared" si="241"/>
        <v>-50</v>
      </c>
      <c r="CE132">
        <f t="shared" si="242"/>
        <v>-50</v>
      </c>
    </row>
    <row r="133" spans="5:83" x14ac:dyDescent="0.25">
      <c r="E133" s="174">
        <v>23</v>
      </c>
      <c r="F133" s="221">
        <f t="shared" si="243"/>
        <v>0.23</v>
      </c>
      <c r="G133" s="221"/>
      <c r="H133" s="221">
        <f t="shared" si="190"/>
        <v>3.45</v>
      </c>
      <c r="I133" s="555">
        <f t="shared" si="191"/>
        <v>12</v>
      </c>
      <c r="J133" s="451">
        <f t="shared" si="192"/>
        <v>23.85</v>
      </c>
      <c r="K133" s="451">
        <f t="shared" si="193"/>
        <v>35.85</v>
      </c>
      <c r="L133" s="451"/>
      <c r="M133" s="221">
        <f t="shared" si="194"/>
        <v>0.66527196652719667</v>
      </c>
      <c r="N133" s="176">
        <f t="shared" si="244"/>
        <v>15.547405857740586</v>
      </c>
      <c r="O133" s="176">
        <f t="shared" si="163"/>
        <v>3.45</v>
      </c>
      <c r="P133" s="221">
        <f t="shared" si="195"/>
        <v>1.0364937238493723</v>
      </c>
      <c r="Q133" s="221">
        <f t="shared" si="196"/>
        <v>15</v>
      </c>
      <c r="R133" s="221"/>
      <c r="S133" s="176">
        <f t="shared" si="197"/>
        <v>93.684817805465016</v>
      </c>
      <c r="T133" s="176">
        <f t="shared" si="198"/>
        <v>15</v>
      </c>
      <c r="U133" s="221">
        <f t="shared" si="199"/>
        <v>0.90979808010592533</v>
      </c>
      <c r="V133" s="221">
        <f t="shared" si="200"/>
        <v>0.53071554672845644</v>
      </c>
      <c r="W133" s="221">
        <f t="shared" si="201"/>
        <v>0.2670266901778397</v>
      </c>
      <c r="X133" s="201">
        <f t="shared" si="202"/>
        <v>350</v>
      </c>
      <c r="Y133" s="451">
        <f t="shared" si="203"/>
        <v>350</v>
      </c>
      <c r="AA133" s="221">
        <f t="shared" si="204"/>
        <v>3.2584749380923919</v>
      </c>
      <c r="AB133" s="177">
        <f t="shared" si="205"/>
        <v>0.95636580992229525</v>
      </c>
      <c r="AC133" s="177">
        <f t="shared" si="206"/>
        <v>0.81802718111106087</v>
      </c>
      <c r="AD133" s="177"/>
      <c r="AE133" s="177">
        <f t="shared" si="207"/>
        <v>0.24067085953878403</v>
      </c>
      <c r="AF133" s="559">
        <f t="shared" si="208"/>
        <v>1553.921985212884</v>
      </c>
      <c r="AG133" s="542">
        <f t="shared" si="209"/>
        <v>5.1804402515723262E-2</v>
      </c>
      <c r="AI133" s="177">
        <f t="shared" si="210"/>
        <v>1.7278038437418122</v>
      </c>
      <c r="AJ133" s="177">
        <f t="shared" si="211"/>
        <v>1.7278038437418122</v>
      </c>
      <c r="AK133" s="177">
        <f t="shared" si="212"/>
        <v>1.8724472916606016</v>
      </c>
      <c r="AM133" s="559">
        <f t="shared" si="213"/>
        <v>230</v>
      </c>
      <c r="AN133" s="469">
        <f t="shared" si="214"/>
        <v>350</v>
      </c>
      <c r="AP133" s="469">
        <f t="shared" si="215"/>
        <v>230</v>
      </c>
      <c r="AQ133" s="469">
        <f t="shared" si="216"/>
        <v>350</v>
      </c>
      <c r="AS133" s="5">
        <f t="shared" si="165"/>
        <v>2.8571428571428572</v>
      </c>
      <c r="AT133" s="5">
        <f t="shared" si="217"/>
        <v>1.0078855755160572</v>
      </c>
      <c r="AU133" s="5">
        <f t="shared" si="218"/>
        <v>1.8492572816268</v>
      </c>
      <c r="AV133" s="5"/>
      <c r="AW133" s="177">
        <f t="shared" si="219"/>
        <v>0.35275995143062</v>
      </c>
      <c r="AX133" s="177">
        <f t="shared" ref="AX133:AX196" si="245">0.5*L*AJ133^2*AN133*1000</f>
        <v>3.6570000000000009</v>
      </c>
      <c r="AY133" s="177">
        <f t="shared" ref="AY133:AY196" si="246">AJ133*Nps/2*(1-AW133)</f>
        <v>0.83872788280635902</v>
      </c>
      <c r="AZ133" s="177">
        <f t="shared" si="168"/>
        <v>4.3601745869754387</v>
      </c>
      <c r="BA133" s="469">
        <f t="shared" si="220"/>
        <v>18.128571784263034</v>
      </c>
      <c r="BB133" s="469">
        <f t="shared" si="221"/>
        <v>3.7759112584175094</v>
      </c>
      <c r="BC133" s="5">
        <f t="shared" si="222"/>
        <v>0.74619153469151589</v>
      </c>
      <c r="BD133" s="469">
        <f t="shared" si="223"/>
        <v>56.872259838705808</v>
      </c>
      <c r="BF133" s="177">
        <f t="shared" si="169"/>
        <v>0.5924796600617428</v>
      </c>
      <c r="BG133" s="177">
        <f t="shared" ref="BG133:BG196" si="247">AJ133*Nps*SQRT((1-AW133)/3)</f>
        <v>1.2038094781842594</v>
      </c>
      <c r="BI133" s="542">
        <f t="shared" si="224"/>
        <v>3.8613536234556614E-2</v>
      </c>
      <c r="BJ133" s="542">
        <f t="shared" si="225"/>
        <v>0.10839809364675194</v>
      </c>
      <c r="BK133" s="542">
        <f t="shared" si="226"/>
        <v>1.7499999999999998E-2</v>
      </c>
      <c r="BL133" s="542">
        <f t="shared" si="227"/>
        <v>0.10121127187500001</v>
      </c>
      <c r="BM133">
        <f t="shared" si="228"/>
        <v>3.48E-3</v>
      </c>
      <c r="BN133" s="469">
        <f t="shared" si="229"/>
        <v>269.20290175630851</v>
      </c>
      <c r="BO133" s="542">
        <f t="shared" si="230"/>
        <v>0.20700000000000002</v>
      </c>
      <c r="BR133" s="469">
        <f t="shared" si="231"/>
        <v>207.00000000000003</v>
      </c>
      <c r="BS133" s="542">
        <f t="shared" si="232"/>
        <v>0</v>
      </c>
      <c r="BT133" s="542">
        <f t="shared" si="233"/>
        <v>0</v>
      </c>
      <c r="BU133" s="542">
        <f t="shared" si="234"/>
        <v>0</v>
      </c>
      <c r="BV133" s="542">
        <f t="shared" si="235"/>
        <v>0</v>
      </c>
      <c r="BW133" s="469">
        <f t="shared" si="236"/>
        <v>0</v>
      </c>
      <c r="BX133" s="177">
        <f t="shared" si="237"/>
        <v>0.47620290175630853</v>
      </c>
      <c r="BY133" s="5">
        <f t="shared" si="238"/>
        <v>3.45</v>
      </c>
      <c r="BZ133" s="177">
        <f t="shared" si="239"/>
        <v>0.87871159140978461</v>
      </c>
      <c r="CA133" s="5">
        <f t="shared" si="240"/>
        <v>87.871159140978463</v>
      </c>
      <c r="CD133" s="576">
        <f t="shared" si="241"/>
        <v>-50</v>
      </c>
      <c r="CE133">
        <f t="shared" si="242"/>
        <v>-50</v>
      </c>
    </row>
    <row r="134" spans="5:83" x14ac:dyDescent="0.25">
      <c r="E134" s="174">
        <v>24</v>
      </c>
      <c r="F134" s="221">
        <f t="shared" si="243"/>
        <v>0.24</v>
      </c>
      <c r="G134" s="221"/>
      <c r="H134" s="221">
        <f t="shared" si="190"/>
        <v>3.5999999999999996</v>
      </c>
      <c r="I134" s="555">
        <f t="shared" si="191"/>
        <v>12</v>
      </c>
      <c r="J134" s="451">
        <f t="shared" si="192"/>
        <v>23.85</v>
      </c>
      <c r="K134" s="451">
        <f t="shared" si="193"/>
        <v>35.85</v>
      </c>
      <c r="L134" s="451"/>
      <c r="M134" s="221">
        <f t="shared" si="194"/>
        <v>0.66527196652719667</v>
      </c>
      <c r="N134" s="176">
        <f t="shared" si="244"/>
        <v>15.547405857740586</v>
      </c>
      <c r="O134" s="176">
        <f t="shared" ref="O134:O197" si="248">T134*F134</f>
        <v>3.5999999999999996</v>
      </c>
      <c r="P134" s="221">
        <f t="shared" si="195"/>
        <v>1.0364937238493723</v>
      </c>
      <c r="Q134" s="221">
        <f t="shared" si="196"/>
        <v>15</v>
      </c>
      <c r="R134" s="221"/>
      <c r="S134" s="176">
        <f t="shared" si="197"/>
        <v>89.454685961202841</v>
      </c>
      <c r="T134" s="176">
        <f t="shared" si="198"/>
        <v>15</v>
      </c>
      <c r="U134" s="221">
        <f t="shared" si="199"/>
        <v>0.94935451837140017</v>
      </c>
      <c r="V134" s="221">
        <f t="shared" si="200"/>
        <v>0.55379013571665014</v>
      </c>
      <c r="W134" s="221">
        <f t="shared" si="201"/>
        <v>0.27863654627252832</v>
      </c>
      <c r="X134" s="201">
        <f t="shared" si="202"/>
        <v>350</v>
      </c>
      <c r="Y134" s="451">
        <f t="shared" si="203"/>
        <v>350</v>
      </c>
      <c r="AA134" s="221">
        <f t="shared" si="204"/>
        <v>3.2584749380923919</v>
      </c>
      <c r="AB134" s="177">
        <f t="shared" si="205"/>
        <v>0.95636580992229525</v>
      </c>
      <c r="AC134" s="177">
        <f t="shared" si="206"/>
        <v>0.81802718111106087</v>
      </c>
      <c r="AD134" s="177"/>
      <c r="AE134" s="177">
        <f t="shared" si="207"/>
        <v>0.24067085953878403</v>
      </c>
      <c r="AF134" s="559">
        <f t="shared" si="208"/>
        <v>1621.4838106569221</v>
      </c>
      <c r="AG134" s="542">
        <f t="shared" si="209"/>
        <v>5.1804402515723262E-2</v>
      </c>
      <c r="AI134" s="177">
        <f t="shared" si="210"/>
        <v>1.7649651670263431</v>
      </c>
      <c r="AJ134" s="177">
        <f t="shared" si="211"/>
        <v>1.7649651670263431</v>
      </c>
      <c r="AK134" s="177">
        <f t="shared" si="212"/>
        <v>1.8999741977972913</v>
      </c>
      <c r="AM134" s="559">
        <f t="shared" si="213"/>
        <v>240</v>
      </c>
      <c r="AN134" s="469">
        <f t="shared" si="214"/>
        <v>350</v>
      </c>
      <c r="AP134" s="469">
        <f t="shared" si="215"/>
        <v>240</v>
      </c>
      <c r="AQ134" s="469">
        <f t="shared" si="216"/>
        <v>350</v>
      </c>
      <c r="AS134" s="5">
        <f t="shared" ref="AS134:AS197" si="249">1/AN134*1000</f>
        <v>2.8571428571428572</v>
      </c>
      <c r="AT134" s="5">
        <f t="shared" si="217"/>
        <v>1.0295630140987</v>
      </c>
      <c r="AU134" s="5">
        <f t="shared" si="218"/>
        <v>1.8275798430441572</v>
      </c>
      <c r="AV134" s="5"/>
      <c r="AW134" s="177">
        <f t="shared" si="219"/>
        <v>0.360347054934545</v>
      </c>
      <c r="AX134" s="177">
        <f t="shared" si="245"/>
        <v>3.8160000000000003</v>
      </c>
      <c r="AY134" s="177">
        <f t="shared" si="246"/>
        <v>0.84672387526975734</v>
      </c>
      <c r="AZ134" s="177">
        <f t="shared" ref="AZ134:AZ197" si="250">AX134/AY134</f>
        <v>4.5067820944393029</v>
      </c>
      <c r="BA134" s="469">
        <f t="shared" si="220"/>
        <v>18.128571784263034</v>
      </c>
      <c r="BB134" s="469">
        <f t="shared" si="221"/>
        <v>4.0800848484848489</v>
      </c>
      <c r="BC134" s="5">
        <f t="shared" si="222"/>
        <v>0.76950730233438192</v>
      </c>
      <c r="BD134" s="469">
        <f t="shared" si="223"/>
        <v>58.660416096131279</v>
      </c>
      <c r="BF134" s="177">
        <f t="shared" ref="BF134:BF197" si="251">AJ134*SQRT(AW134/3)</f>
        <v>0.61169650596483283</v>
      </c>
      <c r="BG134" s="177">
        <f t="shared" si="247"/>
        <v>1.222472145261674</v>
      </c>
      <c r="BI134" s="542">
        <f t="shared" si="224"/>
        <v>4.1158987695054321E-2</v>
      </c>
      <c r="BJ134" s="542">
        <f t="shared" si="225"/>
        <v>0.11072950216631521</v>
      </c>
      <c r="BK134" s="542">
        <f t="shared" si="226"/>
        <v>1.7499999999999998E-2</v>
      </c>
      <c r="BL134" s="542">
        <f t="shared" si="227"/>
        <v>0.10121127187500001</v>
      </c>
      <c r="BM134">
        <f t="shared" si="228"/>
        <v>3.48E-3</v>
      </c>
      <c r="BN134" s="469">
        <f t="shared" si="229"/>
        <v>274.07976173636951</v>
      </c>
      <c r="BO134" s="542">
        <f t="shared" si="230"/>
        <v>0.216</v>
      </c>
      <c r="BR134" s="469">
        <f t="shared" si="231"/>
        <v>216</v>
      </c>
      <c r="BS134" s="542">
        <f t="shared" si="232"/>
        <v>0</v>
      </c>
      <c r="BT134" s="542">
        <f t="shared" si="233"/>
        <v>0</v>
      </c>
      <c r="BU134" s="542">
        <f t="shared" si="234"/>
        <v>0</v>
      </c>
      <c r="BV134" s="542">
        <f t="shared" si="235"/>
        <v>0</v>
      </c>
      <c r="BW134" s="469">
        <f t="shared" si="236"/>
        <v>0</v>
      </c>
      <c r="BX134" s="177">
        <f t="shared" si="237"/>
        <v>0.49007976173636947</v>
      </c>
      <c r="BY134" s="5">
        <f t="shared" si="238"/>
        <v>3.5999999999999996</v>
      </c>
      <c r="BZ134" s="177">
        <f t="shared" si="239"/>
        <v>0.88017843409285612</v>
      </c>
      <c r="CA134" s="5">
        <f t="shared" si="240"/>
        <v>88.017843409285618</v>
      </c>
      <c r="CD134" s="576">
        <f t="shared" si="241"/>
        <v>-50</v>
      </c>
      <c r="CE134">
        <f t="shared" si="242"/>
        <v>-50</v>
      </c>
    </row>
    <row r="135" spans="5:83" x14ac:dyDescent="0.25">
      <c r="E135" s="174">
        <v>25</v>
      </c>
      <c r="F135" s="221">
        <f t="shared" si="243"/>
        <v>0.25</v>
      </c>
      <c r="G135" s="221"/>
      <c r="H135" s="221">
        <f t="shared" si="190"/>
        <v>3.75</v>
      </c>
      <c r="I135" s="555">
        <f t="shared" si="191"/>
        <v>12</v>
      </c>
      <c r="J135" s="451">
        <f t="shared" si="192"/>
        <v>23.85</v>
      </c>
      <c r="K135" s="451">
        <f t="shared" si="193"/>
        <v>35.85</v>
      </c>
      <c r="L135" s="451"/>
      <c r="M135" s="221">
        <f t="shared" si="194"/>
        <v>0.66527196652719667</v>
      </c>
      <c r="N135" s="176">
        <f t="shared" si="244"/>
        <v>15.547405857740586</v>
      </c>
      <c r="O135" s="176">
        <f t="shared" si="248"/>
        <v>3.75</v>
      </c>
      <c r="P135" s="221">
        <f t="shared" si="195"/>
        <v>1.0364937238493723</v>
      </c>
      <c r="Q135" s="221">
        <f t="shared" si="196"/>
        <v>15</v>
      </c>
      <c r="R135" s="221"/>
      <c r="S135" s="176">
        <f t="shared" si="197"/>
        <v>85.563272351418021</v>
      </c>
      <c r="T135" s="176">
        <f t="shared" si="198"/>
        <v>15</v>
      </c>
      <c r="U135" s="221">
        <f t="shared" si="199"/>
        <v>0.98891095663687534</v>
      </c>
      <c r="V135" s="221">
        <f t="shared" si="200"/>
        <v>0.57686472470484396</v>
      </c>
      <c r="W135" s="221">
        <f t="shared" si="201"/>
        <v>0.29024640236721705</v>
      </c>
      <c r="X135" s="201">
        <f t="shared" si="202"/>
        <v>350</v>
      </c>
      <c r="Y135" s="451">
        <f t="shared" si="203"/>
        <v>350</v>
      </c>
      <c r="AA135" s="221">
        <f t="shared" si="204"/>
        <v>3.2584749380923919</v>
      </c>
      <c r="AB135" s="177">
        <f t="shared" si="205"/>
        <v>0.95636580992229525</v>
      </c>
      <c r="AC135" s="177">
        <f t="shared" si="206"/>
        <v>0.81802718111106087</v>
      </c>
      <c r="AD135" s="177"/>
      <c r="AE135" s="177">
        <f t="shared" si="207"/>
        <v>0.24067085953878403</v>
      </c>
      <c r="AF135" s="559">
        <f t="shared" si="208"/>
        <v>1689.0456361009606</v>
      </c>
      <c r="AG135" s="542">
        <f t="shared" si="209"/>
        <v>5.1804402515723262E-2</v>
      </c>
      <c r="AI135" s="177">
        <f t="shared" si="210"/>
        <v>1.8013600304169275</v>
      </c>
      <c r="AJ135" s="177">
        <f t="shared" si="211"/>
        <v>1.8013600304169275</v>
      </c>
      <c r="AK135" s="177">
        <f t="shared" si="212"/>
        <v>1.9269333558643909</v>
      </c>
      <c r="AM135" s="559">
        <f t="shared" si="213"/>
        <v>250</v>
      </c>
      <c r="AN135" s="469">
        <f t="shared" si="214"/>
        <v>350</v>
      </c>
      <c r="AP135" s="469">
        <f t="shared" si="215"/>
        <v>250</v>
      </c>
      <c r="AQ135" s="469">
        <f t="shared" si="216"/>
        <v>350</v>
      </c>
      <c r="AS135" s="5">
        <f t="shared" si="249"/>
        <v>2.8571428571428572</v>
      </c>
      <c r="AT135" s="5">
        <f t="shared" si="217"/>
        <v>1.050793351076541</v>
      </c>
      <c r="AU135" s="5">
        <f t="shared" si="218"/>
        <v>1.8063495060663162</v>
      </c>
      <c r="AV135" s="5"/>
      <c r="AW135" s="177">
        <f t="shared" si="219"/>
        <v>0.36777767287678936</v>
      </c>
      <c r="AX135" s="177">
        <f t="shared" si="245"/>
        <v>3.9750000000000001</v>
      </c>
      <c r="AY135" s="177">
        <f t="shared" si="246"/>
        <v>0.85414502281269544</v>
      </c>
      <c r="AZ135" s="177">
        <f t="shared" si="250"/>
        <v>4.6537764593070436</v>
      </c>
      <c r="BA135" s="469">
        <f t="shared" si="220"/>
        <v>18.128571784263034</v>
      </c>
      <c r="BB135" s="469">
        <f t="shared" si="221"/>
        <v>4.3959253998316505</v>
      </c>
      <c r="BC135" s="5">
        <f t="shared" si="222"/>
        <v>0.79225855529224398</v>
      </c>
      <c r="BD135" s="469">
        <f t="shared" si="223"/>
        <v>60.406233752181457</v>
      </c>
      <c r="BF135" s="177">
        <f t="shared" si="251"/>
        <v>0.6307141508246068</v>
      </c>
      <c r="BG135" s="177">
        <f t="shared" si="247"/>
        <v>1.24041231220685</v>
      </c>
      <c r="BI135" s="542">
        <f t="shared" si="224"/>
        <v>4.3758037405544535E-2</v>
      </c>
      <c r="BJ135" s="542">
        <f t="shared" si="225"/>
        <v>0.11301282490828199</v>
      </c>
      <c r="BK135" s="542">
        <f t="shared" si="226"/>
        <v>1.7499999999999998E-2</v>
      </c>
      <c r="BL135" s="542">
        <f t="shared" si="227"/>
        <v>0.10121127187500001</v>
      </c>
      <c r="BM135">
        <f t="shared" si="228"/>
        <v>3.48E-3</v>
      </c>
      <c r="BN135" s="469">
        <f t="shared" si="229"/>
        <v>278.9621341888265</v>
      </c>
      <c r="BO135" s="542">
        <f t="shared" si="230"/>
        <v>0.22500000000000001</v>
      </c>
      <c r="BR135" s="469">
        <f t="shared" si="231"/>
        <v>225</v>
      </c>
      <c r="BS135" s="542">
        <f t="shared" si="232"/>
        <v>0</v>
      </c>
      <c r="BT135" s="542">
        <f t="shared" si="233"/>
        <v>0</v>
      </c>
      <c r="BU135" s="542">
        <f t="shared" si="234"/>
        <v>0</v>
      </c>
      <c r="BV135" s="542">
        <f t="shared" si="235"/>
        <v>0</v>
      </c>
      <c r="BW135" s="469">
        <f t="shared" si="236"/>
        <v>0</v>
      </c>
      <c r="BX135" s="177">
        <f t="shared" si="237"/>
        <v>0.50396213418882652</v>
      </c>
      <c r="BY135" s="5">
        <f t="shared" si="238"/>
        <v>3.75</v>
      </c>
      <c r="BZ135" s="177">
        <f t="shared" si="239"/>
        <v>0.88153111892122527</v>
      </c>
      <c r="CA135" s="5">
        <f t="shared" si="240"/>
        <v>88.153111892122524</v>
      </c>
      <c r="CD135" s="576">
        <f t="shared" si="241"/>
        <v>-50</v>
      </c>
      <c r="CE135">
        <f t="shared" si="242"/>
        <v>-50</v>
      </c>
    </row>
    <row r="136" spans="5:83" x14ac:dyDescent="0.25">
      <c r="E136" s="174">
        <v>26</v>
      </c>
      <c r="F136" s="221">
        <f t="shared" si="243"/>
        <v>0.26</v>
      </c>
      <c r="G136" s="221"/>
      <c r="H136" s="221">
        <f t="shared" si="190"/>
        <v>3.9000000000000004</v>
      </c>
      <c r="I136" s="555">
        <f t="shared" si="191"/>
        <v>12</v>
      </c>
      <c r="J136" s="451">
        <f t="shared" si="192"/>
        <v>23.85</v>
      </c>
      <c r="K136" s="451">
        <f t="shared" si="193"/>
        <v>35.85</v>
      </c>
      <c r="L136" s="451"/>
      <c r="M136" s="221">
        <f t="shared" si="194"/>
        <v>0.66527196652719667</v>
      </c>
      <c r="N136" s="176">
        <f t="shared" si="244"/>
        <v>15.547405857740586</v>
      </c>
      <c r="O136" s="176">
        <f t="shared" si="248"/>
        <v>3.9000000000000004</v>
      </c>
      <c r="P136" s="221">
        <f t="shared" si="195"/>
        <v>1.0364937238493723</v>
      </c>
      <c r="Q136" s="221">
        <f t="shared" si="196"/>
        <v>15</v>
      </c>
      <c r="R136" s="221"/>
      <c r="S136" s="176">
        <f t="shared" si="197"/>
        <v>81.971496885138762</v>
      </c>
      <c r="T136" s="176">
        <f t="shared" si="198"/>
        <v>15</v>
      </c>
      <c r="U136" s="221">
        <f t="shared" si="199"/>
        <v>1.0284673949023504</v>
      </c>
      <c r="V136" s="221">
        <f t="shared" si="200"/>
        <v>0.59993931369303777</v>
      </c>
      <c r="W136" s="221">
        <f t="shared" si="201"/>
        <v>0.30185625846190578</v>
      </c>
      <c r="X136" s="201">
        <f t="shared" si="202"/>
        <v>350</v>
      </c>
      <c r="Y136" s="451">
        <f t="shared" si="203"/>
        <v>350</v>
      </c>
      <c r="AA136" s="221">
        <f t="shared" si="204"/>
        <v>3.2584749380923919</v>
      </c>
      <c r="AB136" s="177">
        <f t="shared" si="205"/>
        <v>0.95636580992229525</v>
      </c>
      <c r="AC136" s="177">
        <f t="shared" si="206"/>
        <v>0.81802718111106087</v>
      </c>
      <c r="AD136" s="177"/>
      <c r="AE136" s="177">
        <f t="shared" si="207"/>
        <v>0.24067085953878403</v>
      </c>
      <c r="AF136" s="559">
        <f t="shared" si="208"/>
        <v>1756.6074615449991</v>
      </c>
      <c r="AG136" s="542">
        <f t="shared" si="209"/>
        <v>5.1804402515723262E-2</v>
      </c>
      <c r="AI136" s="177">
        <f t="shared" si="210"/>
        <v>1.8370339892204013</v>
      </c>
      <c r="AJ136" s="177">
        <f t="shared" si="211"/>
        <v>1.8370339892204013</v>
      </c>
      <c r="AK136" s="177">
        <f t="shared" si="212"/>
        <v>1.9533585105336304</v>
      </c>
      <c r="AM136" s="559">
        <f t="shared" si="213"/>
        <v>260</v>
      </c>
      <c r="AN136" s="469">
        <f t="shared" si="214"/>
        <v>350</v>
      </c>
      <c r="AP136" s="469">
        <f t="shared" si="215"/>
        <v>260</v>
      </c>
      <c r="AQ136" s="469">
        <f t="shared" si="216"/>
        <v>350</v>
      </c>
      <c r="AS136" s="5">
        <f t="shared" si="249"/>
        <v>2.8571428571428572</v>
      </c>
      <c r="AT136" s="5">
        <f t="shared" si="217"/>
        <v>1.0716031603785674</v>
      </c>
      <c r="AU136" s="5">
        <f t="shared" si="218"/>
        <v>1.7855396967642898</v>
      </c>
      <c r="AV136" s="5"/>
      <c r="AW136" s="177">
        <f t="shared" si="219"/>
        <v>0.3750611061324986</v>
      </c>
      <c r="AX136" s="177">
        <f t="shared" si="245"/>
        <v>4.1340000000000003</v>
      </c>
      <c r="AY136" s="177">
        <f t="shared" si="246"/>
        <v>0.86102549191530064</v>
      </c>
      <c r="AZ136" s="177">
        <f t="shared" si="250"/>
        <v>4.8012515759599177</v>
      </c>
      <c r="BA136" s="469">
        <f t="shared" si="220"/>
        <v>18.128571784263034</v>
      </c>
      <c r="BB136" s="469">
        <f t="shared" si="221"/>
        <v>4.7234329124579135</v>
      </c>
      <c r="BC136" s="5">
        <f t="shared" si="222"/>
        <v>0.8144567037872199</v>
      </c>
      <c r="BD136" s="469">
        <f t="shared" si="223"/>
        <v>62.110568573515174</v>
      </c>
      <c r="BF136" s="177">
        <f t="shared" si="251"/>
        <v>0.64954251043147204</v>
      </c>
      <c r="BG136" s="177">
        <f t="shared" si="247"/>
        <v>1.2576697079255836</v>
      </c>
      <c r="BI136" s="542">
        <f t="shared" si="224"/>
        <v>4.6409602014338087E-2</v>
      </c>
      <c r="BJ136" s="542">
        <f t="shared" si="225"/>
        <v>0.11525091989871493</v>
      </c>
      <c r="BK136" s="542">
        <f t="shared" si="226"/>
        <v>1.7499999999999998E-2</v>
      </c>
      <c r="BL136" s="542">
        <f t="shared" si="227"/>
        <v>0.10121127187500001</v>
      </c>
      <c r="BM136">
        <f t="shared" si="228"/>
        <v>3.48E-3</v>
      </c>
      <c r="BN136" s="469">
        <f t="shared" si="229"/>
        <v>283.85179378805299</v>
      </c>
      <c r="BO136" s="542">
        <f t="shared" si="230"/>
        <v>0.23400000000000001</v>
      </c>
      <c r="BR136" s="469">
        <f t="shared" si="231"/>
        <v>234</v>
      </c>
      <c r="BS136" s="542">
        <f t="shared" si="232"/>
        <v>0</v>
      </c>
      <c r="BT136" s="542">
        <f t="shared" si="233"/>
        <v>0</v>
      </c>
      <c r="BU136" s="542">
        <f t="shared" si="234"/>
        <v>0</v>
      </c>
      <c r="BV136" s="542">
        <f t="shared" si="235"/>
        <v>0</v>
      </c>
      <c r="BW136" s="469">
        <f t="shared" si="236"/>
        <v>0</v>
      </c>
      <c r="BX136" s="177">
        <f t="shared" si="237"/>
        <v>0.51785179378805302</v>
      </c>
      <c r="BY136" s="5">
        <f t="shared" si="238"/>
        <v>3.9000000000000004</v>
      </c>
      <c r="BZ136" s="177">
        <f t="shared" si="239"/>
        <v>0.88278199044245775</v>
      </c>
      <c r="CA136" s="5">
        <f t="shared" si="240"/>
        <v>88.278199044245781</v>
      </c>
      <c r="CD136" s="576">
        <f t="shared" si="241"/>
        <v>-50</v>
      </c>
      <c r="CE136">
        <f t="shared" si="242"/>
        <v>-50</v>
      </c>
    </row>
    <row r="137" spans="5:83" x14ac:dyDescent="0.25">
      <c r="E137" s="174">
        <v>27</v>
      </c>
      <c r="F137" s="221">
        <f t="shared" si="243"/>
        <v>0.27</v>
      </c>
      <c r="G137" s="221"/>
      <c r="H137" s="221">
        <f t="shared" si="190"/>
        <v>4.0500000000000007</v>
      </c>
      <c r="I137" s="555">
        <f t="shared" si="191"/>
        <v>12</v>
      </c>
      <c r="J137" s="451">
        <f t="shared" si="192"/>
        <v>23.85</v>
      </c>
      <c r="K137" s="451">
        <f t="shared" si="193"/>
        <v>35.85</v>
      </c>
      <c r="L137" s="451"/>
      <c r="M137" s="221">
        <f t="shared" si="194"/>
        <v>0.66527196652719667</v>
      </c>
      <c r="N137" s="176">
        <f t="shared" si="244"/>
        <v>15.547405857740586</v>
      </c>
      <c r="O137" s="176">
        <f t="shared" si="248"/>
        <v>4.0500000000000007</v>
      </c>
      <c r="P137" s="221">
        <f t="shared" si="195"/>
        <v>1.0364937238493723</v>
      </c>
      <c r="Q137" s="221">
        <f t="shared" si="196"/>
        <v>15</v>
      </c>
      <c r="R137" s="221"/>
      <c r="S137" s="176">
        <f t="shared" si="197"/>
        <v>78.646069141929658</v>
      </c>
      <c r="T137" s="176">
        <f t="shared" si="198"/>
        <v>15</v>
      </c>
      <c r="U137" s="221">
        <f t="shared" si="199"/>
        <v>1.0680238331678256</v>
      </c>
      <c r="V137" s="221">
        <f t="shared" si="200"/>
        <v>0.62301390268123158</v>
      </c>
      <c r="W137" s="221">
        <f t="shared" si="201"/>
        <v>0.31346611455659451</v>
      </c>
      <c r="X137" s="201">
        <f t="shared" si="202"/>
        <v>350</v>
      </c>
      <c r="Y137" s="451">
        <f t="shared" si="203"/>
        <v>350</v>
      </c>
      <c r="AA137" s="221">
        <f t="shared" si="204"/>
        <v>3.2584749380923919</v>
      </c>
      <c r="AB137" s="177">
        <f t="shared" si="205"/>
        <v>0.95636580992229525</v>
      </c>
      <c r="AC137" s="177">
        <f t="shared" si="206"/>
        <v>0.81802718111106087</v>
      </c>
      <c r="AD137" s="177"/>
      <c r="AE137" s="177">
        <f t="shared" si="207"/>
        <v>0.24067085953878403</v>
      </c>
      <c r="AF137" s="559">
        <f t="shared" si="208"/>
        <v>1824.1692869890376</v>
      </c>
      <c r="AG137" s="542">
        <f t="shared" si="209"/>
        <v>5.1804402515723262E-2</v>
      </c>
      <c r="AI137" s="177">
        <f t="shared" si="210"/>
        <v>1.8720282572435623</v>
      </c>
      <c r="AJ137" s="177">
        <f t="shared" si="211"/>
        <v>1.8720282572435623</v>
      </c>
      <c r="AK137" s="177">
        <f t="shared" si="212"/>
        <v>1.9792801905507869</v>
      </c>
      <c r="AM137" s="559">
        <f t="shared" si="213"/>
        <v>270</v>
      </c>
      <c r="AN137" s="469">
        <f t="shared" si="214"/>
        <v>350</v>
      </c>
      <c r="AP137" s="469">
        <f t="shared" si="215"/>
        <v>270</v>
      </c>
      <c r="AQ137" s="469">
        <f t="shared" si="216"/>
        <v>350</v>
      </c>
      <c r="AS137" s="5">
        <f t="shared" si="249"/>
        <v>2.8571428571428572</v>
      </c>
      <c r="AT137" s="5">
        <f t="shared" si="217"/>
        <v>1.0920164833920778</v>
      </c>
      <c r="AU137" s="5">
        <f t="shared" si="218"/>
        <v>1.7651263737507794</v>
      </c>
      <c r="AV137" s="5"/>
      <c r="AW137" s="177">
        <f t="shared" si="219"/>
        <v>0.38220576918722721</v>
      </c>
      <c r="AX137" s="177">
        <f t="shared" si="245"/>
        <v>4.2930000000000019</v>
      </c>
      <c r="AY137" s="177">
        <f t="shared" si="246"/>
        <v>0.86739619293267167</v>
      </c>
      <c r="AZ137" s="177">
        <f t="shared" si="250"/>
        <v>4.9492954142274286</v>
      </c>
      <c r="BA137" s="469">
        <f t="shared" si="220"/>
        <v>18.128571784263034</v>
      </c>
      <c r="BB137" s="469">
        <f t="shared" si="221"/>
        <v>5.0626073863636378</v>
      </c>
      <c r="BC137" s="5">
        <f t="shared" si="222"/>
        <v>0.83611249282931688</v>
      </c>
      <c r="BD137" s="469">
        <f t="shared" si="223"/>
        <v>63.774226435882987</v>
      </c>
      <c r="BF137" s="177">
        <f t="shared" si="251"/>
        <v>0.66819064596310374</v>
      </c>
      <c r="BG137" s="177">
        <f t="shared" si="247"/>
        <v>1.2742802609298514</v>
      </c>
      <c r="BI137" s="542">
        <f t="shared" si="224"/>
        <v>4.9112661328784883E-2</v>
      </c>
      <c r="BJ137" s="542">
        <f t="shared" si="225"/>
        <v>0.11744637278881799</v>
      </c>
      <c r="BK137" s="542">
        <f t="shared" si="226"/>
        <v>1.7499999999999998E-2</v>
      </c>
      <c r="BL137" s="542">
        <f t="shared" si="227"/>
        <v>0.10121127187500001</v>
      </c>
      <c r="BM137">
        <f t="shared" si="228"/>
        <v>3.48E-3</v>
      </c>
      <c r="BN137" s="469">
        <f t="shared" si="229"/>
        <v>288.75030599260282</v>
      </c>
      <c r="BO137" s="542">
        <f t="shared" si="230"/>
        <v>0.24300000000000002</v>
      </c>
      <c r="BR137" s="469">
        <f t="shared" si="231"/>
        <v>243.00000000000003</v>
      </c>
      <c r="BS137" s="542">
        <f t="shared" si="232"/>
        <v>0</v>
      </c>
      <c r="BT137" s="542">
        <f t="shared" si="233"/>
        <v>0</v>
      </c>
      <c r="BU137" s="542">
        <f t="shared" si="234"/>
        <v>0</v>
      </c>
      <c r="BV137" s="542">
        <f t="shared" si="235"/>
        <v>0</v>
      </c>
      <c r="BW137" s="469">
        <f t="shared" si="236"/>
        <v>0</v>
      </c>
      <c r="BX137" s="177">
        <f t="shared" si="237"/>
        <v>0.53175030599260287</v>
      </c>
      <c r="BY137" s="5">
        <f t="shared" si="238"/>
        <v>4.0500000000000007</v>
      </c>
      <c r="BZ137" s="177">
        <f t="shared" si="239"/>
        <v>0.88394166628916659</v>
      </c>
      <c r="CA137" s="5">
        <f t="shared" si="240"/>
        <v>88.394166628916665</v>
      </c>
      <c r="CD137" s="576">
        <f t="shared" si="241"/>
        <v>-50</v>
      </c>
      <c r="CE137">
        <f t="shared" si="242"/>
        <v>-50</v>
      </c>
    </row>
    <row r="138" spans="5:83" x14ac:dyDescent="0.25">
      <c r="E138" s="174">
        <v>28</v>
      </c>
      <c r="F138" s="221">
        <f t="shared" si="243"/>
        <v>0.28000000000000003</v>
      </c>
      <c r="G138" s="221"/>
      <c r="H138" s="221">
        <f t="shared" si="190"/>
        <v>4.2</v>
      </c>
      <c r="I138" s="555">
        <f t="shared" si="191"/>
        <v>12</v>
      </c>
      <c r="J138" s="451">
        <f t="shared" si="192"/>
        <v>23.85</v>
      </c>
      <c r="K138" s="451">
        <f t="shared" si="193"/>
        <v>35.85</v>
      </c>
      <c r="L138" s="451"/>
      <c r="M138" s="221">
        <f t="shared" si="194"/>
        <v>0.66527196652719667</v>
      </c>
      <c r="N138" s="176">
        <f t="shared" si="244"/>
        <v>15.547405857740586</v>
      </c>
      <c r="O138" s="176">
        <f t="shared" si="248"/>
        <v>4.2</v>
      </c>
      <c r="P138" s="221">
        <f t="shared" si="195"/>
        <v>1.0364937238493723</v>
      </c>
      <c r="Q138" s="221">
        <f t="shared" si="196"/>
        <v>15</v>
      </c>
      <c r="R138" s="221"/>
      <c r="S138" s="176">
        <f t="shared" si="197"/>
        <v>75.55845450237932</v>
      </c>
      <c r="T138" s="176">
        <f t="shared" si="198"/>
        <v>15</v>
      </c>
      <c r="U138" s="221">
        <f t="shared" si="199"/>
        <v>1.1075802714333003</v>
      </c>
      <c r="V138" s="221">
        <f t="shared" si="200"/>
        <v>0.64608849166942517</v>
      </c>
      <c r="W138" s="221">
        <f t="shared" si="201"/>
        <v>0.32507597065128307</v>
      </c>
      <c r="X138" s="201">
        <f t="shared" si="202"/>
        <v>350</v>
      </c>
      <c r="Y138" s="451">
        <f t="shared" si="203"/>
        <v>350</v>
      </c>
      <c r="AA138" s="221">
        <f t="shared" si="204"/>
        <v>3.2584749380923919</v>
      </c>
      <c r="AB138" s="177">
        <f t="shared" si="205"/>
        <v>0.95636580992229525</v>
      </c>
      <c r="AC138" s="177">
        <f t="shared" si="206"/>
        <v>0.81802718111106087</v>
      </c>
      <c r="AD138" s="177"/>
      <c r="AE138" s="177">
        <f t="shared" si="207"/>
        <v>0.24067085953878403</v>
      </c>
      <c r="AF138" s="559">
        <f t="shared" si="208"/>
        <v>1891.7311124330761</v>
      </c>
      <c r="AG138" s="542">
        <f t="shared" si="209"/>
        <v>5.1804402515723262E-2</v>
      </c>
      <c r="AI138" s="177">
        <f t="shared" si="210"/>
        <v>1.9063802648699748</v>
      </c>
      <c r="AJ138" s="177">
        <f t="shared" si="211"/>
        <v>1.9063802648699748</v>
      </c>
      <c r="AK138" s="177">
        <f t="shared" si="212"/>
        <v>2.0047261221259074</v>
      </c>
      <c r="AM138" s="559">
        <f t="shared" si="213"/>
        <v>280</v>
      </c>
      <c r="AN138" s="469">
        <f t="shared" si="214"/>
        <v>350</v>
      </c>
      <c r="AP138" s="469">
        <f t="shared" si="215"/>
        <v>280</v>
      </c>
      <c r="AQ138" s="469">
        <f t="shared" si="216"/>
        <v>350</v>
      </c>
      <c r="AS138" s="5">
        <f t="shared" si="249"/>
        <v>2.8571428571428572</v>
      </c>
      <c r="AT138" s="5">
        <f t="shared" si="217"/>
        <v>1.1120551545074853</v>
      </c>
      <c r="AU138" s="5">
        <f t="shared" si="218"/>
        <v>1.7450877026353719</v>
      </c>
      <c r="AV138" s="5"/>
      <c r="AW138" s="177">
        <f t="shared" si="219"/>
        <v>0.38921930407761984</v>
      </c>
      <c r="AX138" s="177">
        <f t="shared" si="245"/>
        <v>4.4520000000000008</v>
      </c>
      <c r="AY138" s="177">
        <f t="shared" si="246"/>
        <v>0.87328519865248089</v>
      </c>
      <c r="AZ138" s="177">
        <f t="shared" si="250"/>
        <v>5.0979909047693024</v>
      </c>
      <c r="BA138" s="469">
        <f t="shared" si="220"/>
        <v>18.128571784263034</v>
      </c>
      <c r="BB138" s="469">
        <f t="shared" si="221"/>
        <v>5.4134488215488226</v>
      </c>
      <c r="BC138" s="5">
        <f t="shared" si="222"/>
        <v>0.85723606445246359</v>
      </c>
      <c r="BD138" s="469">
        <f t="shared" si="223"/>
        <v>65.397967991829489</v>
      </c>
      <c r="BF138" s="177">
        <f t="shared" si="251"/>
        <v>0.68666686647250852</v>
      </c>
      <c r="BG138" s="177">
        <f t="shared" si="247"/>
        <v>1.2902765859745517</v>
      </c>
      <c r="BI138" s="542">
        <f t="shared" si="224"/>
        <v>5.1866252406229121E-2</v>
      </c>
      <c r="BJ138" s="542">
        <f t="shared" si="225"/>
        <v>0.11960153186728005</v>
      </c>
      <c r="BK138" s="542">
        <f t="shared" si="226"/>
        <v>1.7499999999999998E-2</v>
      </c>
      <c r="BL138" s="542">
        <f t="shared" si="227"/>
        <v>0.10121127187500001</v>
      </c>
      <c r="BM138">
        <f t="shared" si="228"/>
        <v>3.48E-3</v>
      </c>
      <c r="BN138" s="469">
        <f t="shared" si="229"/>
        <v>293.65905614850914</v>
      </c>
      <c r="BO138" s="542">
        <f t="shared" si="230"/>
        <v>0.25200000000000006</v>
      </c>
      <c r="BR138" s="469">
        <f t="shared" si="231"/>
        <v>252.00000000000006</v>
      </c>
      <c r="BS138" s="542">
        <f t="shared" si="232"/>
        <v>0</v>
      </c>
      <c r="BT138" s="542">
        <f t="shared" si="233"/>
        <v>0</v>
      </c>
      <c r="BU138" s="542">
        <f t="shared" si="234"/>
        <v>0</v>
      </c>
      <c r="BV138" s="542">
        <f t="shared" si="235"/>
        <v>0</v>
      </c>
      <c r="BW138" s="469">
        <f t="shared" si="236"/>
        <v>0</v>
      </c>
      <c r="BX138" s="177">
        <f t="shared" si="237"/>
        <v>0.54565905614850918</v>
      </c>
      <c r="BY138" s="5">
        <f t="shared" si="238"/>
        <v>4.2</v>
      </c>
      <c r="BZ138" s="177">
        <f t="shared" si="239"/>
        <v>0.88501933036222868</v>
      </c>
      <c r="CA138" s="5">
        <f t="shared" si="240"/>
        <v>88.501933036222866</v>
      </c>
      <c r="CD138" s="576">
        <f t="shared" si="241"/>
        <v>-50</v>
      </c>
      <c r="CE138">
        <f t="shared" si="242"/>
        <v>-50</v>
      </c>
    </row>
    <row r="139" spans="5:83" x14ac:dyDescent="0.25">
      <c r="E139" s="174">
        <v>29</v>
      </c>
      <c r="F139" s="221">
        <f t="shared" si="243"/>
        <v>0.28999999999999998</v>
      </c>
      <c r="G139" s="221"/>
      <c r="H139" s="221">
        <f t="shared" si="190"/>
        <v>4.3499999999999996</v>
      </c>
      <c r="I139" s="555">
        <f t="shared" si="191"/>
        <v>12</v>
      </c>
      <c r="J139" s="451">
        <f t="shared" si="192"/>
        <v>23.85</v>
      </c>
      <c r="K139" s="451">
        <f t="shared" si="193"/>
        <v>35.85</v>
      </c>
      <c r="L139" s="451"/>
      <c r="M139" s="221">
        <f t="shared" si="194"/>
        <v>0.66527196652719667</v>
      </c>
      <c r="N139" s="176">
        <f t="shared" si="244"/>
        <v>15.547405857740586</v>
      </c>
      <c r="O139" s="176">
        <f t="shared" si="248"/>
        <v>4.3499999999999996</v>
      </c>
      <c r="P139" s="221">
        <f t="shared" si="195"/>
        <v>1.0364937238493723</v>
      </c>
      <c r="Q139" s="221">
        <f t="shared" si="196"/>
        <v>15</v>
      </c>
      <c r="R139" s="221"/>
      <c r="S139" s="176">
        <f t="shared" si="197"/>
        <v>72.684054182624479</v>
      </c>
      <c r="T139" s="176">
        <f t="shared" si="198"/>
        <v>15</v>
      </c>
      <c r="U139" s="221">
        <f t="shared" si="199"/>
        <v>1.1471367096987752</v>
      </c>
      <c r="V139" s="221">
        <f t="shared" si="200"/>
        <v>0.66916308065761887</v>
      </c>
      <c r="W139" s="221">
        <f t="shared" si="201"/>
        <v>0.33668582674597181</v>
      </c>
      <c r="X139" s="201">
        <f t="shared" si="202"/>
        <v>350</v>
      </c>
      <c r="Y139" s="451">
        <f t="shared" si="203"/>
        <v>350</v>
      </c>
      <c r="AA139" s="221">
        <f t="shared" si="204"/>
        <v>3.2584749380923919</v>
      </c>
      <c r="AB139" s="177">
        <f t="shared" si="205"/>
        <v>0.95636580992229525</v>
      </c>
      <c r="AC139" s="177">
        <f t="shared" si="206"/>
        <v>0.81802718111106087</v>
      </c>
      <c r="AD139" s="177"/>
      <c r="AE139" s="177">
        <f t="shared" si="207"/>
        <v>0.24067085953878403</v>
      </c>
      <c r="AF139" s="559">
        <f t="shared" si="208"/>
        <v>1959.2929378771141</v>
      </c>
      <c r="AG139" s="542">
        <f t="shared" si="209"/>
        <v>5.1804402515723262E-2</v>
      </c>
      <c r="AI139" s="177">
        <f t="shared" si="210"/>
        <v>1.9401241281559956</v>
      </c>
      <c r="AJ139" s="177">
        <f t="shared" si="211"/>
        <v>1.9401241281559956</v>
      </c>
      <c r="AK139" s="177">
        <f t="shared" si="212"/>
        <v>2.0297215764118484</v>
      </c>
      <c r="AM139" s="559">
        <f t="shared" si="213"/>
        <v>290</v>
      </c>
      <c r="AN139" s="469">
        <f t="shared" si="214"/>
        <v>350</v>
      </c>
      <c r="AP139" s="469">
        <f t="shared" si="215"/>
        <v>290</v>
      </c>
      <c r="AQ139" s="469">
        <f t="shared" si="216"/>
        <v>350</v>
      </c>
      <c r="AS139" s="5">
        <f t="shared" si="249"/>
        <v>2.8571428571428572</v>
      </c>
      <c r="AT139" s="5">
        <f t="shared" si="217"/>
        <v>1.1317390747576641</v>
      </c>
      <c r="AU139" s="5">
        <f t="shared" si="218"/>
        <v>1.7254037823851931</v>
      </c>
      <c r="AV139" s="5"/>
      <c r="AW139" s="177">
        <f t="shared" si="219"/>
        <v>0.39610867616518242</v>
      </c>
      <c r="AX139" s="177">
        <f t="shared" si="245"/>
        <v>4.6110000000000007</v>
      </c>
      <c r="AY139" s="177">
        <f t="shared" si="246"/>
        <v>0.87871809611699669</v>
      </c>
      <c r="AZ139" s="177">
        <f t="shared" si="250"/>
        <v>5.2474166861656055</v>
      </c>
      <c r="BA139" s="469">
        <f t="shared" si="220"/>
        <v>18.128571784263034</v>
      </c>
      <c r="BB139" s="469">
        <f t="shared" si="221"/>
        <v>5.7759572180134695</v>
      </c>
      <c r="BC139" s="5">
        <f t="shared" si="222"/>
        <v>0.8778370120907123</v>
      </c>
      <c r="BD139" s="469">
        <f t="shared" si="223"/>
        <v>66.98251274890869</v>
      </c>
      <c r="BF139" s="177">
        <f t="shared" si="251"/>
        <v>0.70497881587271416</v>
      </c>
      <c r="BG139" s="177">
        <f t="shared" si="247"/>
        <v>1.3056883931949017</v>
      </c>
      <c r="BI139" s="542">
        <f t="shared" si="224"/>
        <v>5.4669464391222361E-2</v>
      </c>
      <c r="BJ139" s="542">
        <f t="shared" si="225"/>
        <v>0.12171853749018677</v>
      </c>
      <c r="BK139" s="542">
        <f t="shared" si="226"/>
        <v>1.7499999999999998E-2</v>
      </c>
      <c r="BL139" s="542">
        <f t="shared" si="227"/>
        <v>0.10121127187500001</v>
      </c>
      <c r="BM139">
        <f t="shared" si="228"/>
        <v>3.48E-3</v>
      </c>
      <c r="BN139" s="469">
        <f t="shared" si="229"/>
        <v>298.57927375640907</v>
      </c>
      <c r="BO139" s="542">
        <f t="shared" si="230"/>
        <v>0.26100000000000001</v>
      </c>
      <c r="BR139" s="469">
        <f t="shared" si="231"/>
        <v>261</v>
      </c>
      <c r="BS139" s="542">
        <f t="shared" si="232"/>
        <v>0</v>
      </c>
      <c r="BT139" s="542">
        <f t="shared" si="233"/>
        <v>0</v>
      </c>
      <c r="BU139" s="542">
        <f t="shared" si="234"/>
        <v>0</v>
      </c>
      <c r="BV139" s="542">
        <f t="shared" si="235"/>
        <v>0</v>
      </c>
      <c r="BW139" s="469">
        <f t="shared" si="236"/>
        <v>0</v>
      </c>
      <c r="BX139" s="177">
        <f t="shared" si="237"/>
        <v>0.55957927375640915</v>
      </c>
      <c r="BY139" s="5">
        <f t="shared" si="238"/>
        <v>4.3499999999999996</v>
      </c>
      <c r="BZ139" s="177">
        <f t="shared" si="239"/>
        <v>0.88602296804787828</v>
      </c>
      <c r="CA139" s="5">
        <f t="shared" si="240"/>
        <v>88.602296804787827</v>
      </c>
      <c r="CD139" s="576">
        <f t="shared" si="241"/>
        <v>-50</v>
      </c>
      <c r="CE139">
        <f t="shared" si="242"/>
        <v>-50</v>
      </c>
    </row>
    <row r="140" spans="5:83" x14ac:dyDescent="0.25">
      <c r="E140" s="174">
        <v>30</v>
      </c>
      <c r="F140" s="221">
        <f t="shared" si="243"/>
        <v>0.3</v>
      </c>
      <c r="G140" s="221"/>
      <c r="H140" s="221">
        <f t="shared" si="190"/>
        <v>4.5</v>
      </c>
      <c r="I140" s="555">
        <f t="shared" si="191"/>
        <v>12</v>
      </c>
      <c r="J140" s="451">
        <f t="shared" si="192"/>
        <v>23.85</v>
      </c>
      <c r="K140" s="451">
        <f t="shared" si="193"/>
        <v>35.85</v>
      </c>
      <c r="L140" s="451"/>
      <c r="M140" s="221">
        <f t="shared" si="194"/>
        <v>0.66527196652719667</v>
      </c>
      <c r="N140" s="176">
        <f t="shared" si="244"/>
        <v>15.547405857740586</v>
      </c>
      <c r="O140" s="176">
        <f t="shared" si="248"/>
        <v>4.5</v>
      </c>
      <c r="P140" s="221">
        <f t="shared" si="195"/>
        <v>1.0364937238493723</v>
      </c>
      <c r="Q140" s="221">
        <f t="shared" si="196"/>
        <v>15</v>
      </c>
      <c r="R140" s="221"/>
      <c r="S140" s="176">
        <f t="shared" si="197"/>
        <v>70.001549261968833</v>
      </c>
      <c r="T140" s="176">
        <f t="shared" si="198"/>
        <v>15</v>
      </c>
      <c r="U140" s="221">
        <f t="shared" si="199"/>
        <v>1.1866931479642504</v>
      </c>
      <c r="V140" s="221">
        <f t="shared" si="200"/>
        <v>0.69223766964581268</v>
      </c>
      <c r="W140" s="221">
        <f t="shared" si="201"/>
        <v>0.34829568284066048</v>
      </c>
      <c r="X140" s="201">
        <f t="shared" si="202"/>
        <v>350</v>
      </c>
      <c r="Y140" s="451">
        <f t="shared" si="203"/>
        <v>350</v>
      </c>
      <c r="AA140" s="221">
        <f t="shared" si="204"/>
        <v>3.2584749380923919</v>
      </c>
      <c r="AB140" s="177">
        <f t="shared" si="205"/>
        <v>0.95636580992229525</v>
      </c>
      <c r="AC140" s="177">
        <f t="shared" si="206"/>
        <v>0.81802718111106087</v>
      </c>
      <c r="AD140" s="177"/>
      <c r="AE140" s="177">
        <f t="shared" si="207"/>
        <v>0.24067085953878403</v>
      </c>
      <c r="AF140" s="559">
        <f t="shared" si="208"/>
        <v>2026.8547633211526</v>
      </c>
      <c r="AG140" s="542">
        <f t="shared" si="209"/>
        <v>5.1804402515723262E-2</v>
      </c>
      <c r="AI140" s="177">
        <f t="shared" si="210"/>
        <v>1.9732910456950867</v>
      </c>
      <c r="AJ140" s="177">
        <f t="shared" si="211"/>
        <v>1.9732910456950867</v>
      </c>
      <c r="AK140" s="177">
        <f t="shared" si="212"/>
        <v>2.0542896634778418</v>
      </c>
      <c r="AM140" s="559">
        <f t="shared" si="213"/>
        <v>300</v>
      </c>
      <c r="AN140" s="469">
        <f t="shared" si="214"/>
        <v>350</v>
      </c>
      <c r="AP140" s="469">
        <f t="shared" si="215"/>
        <v>300</v>
      </c>
      <c r="AQ140" s="469">
        <f t="shared" si="216"/>
        <v>350</v>
      </c>
      <c r="AS140" s="5">
        <f t="shared" si="249"/>
        <v>2.8571428571428572</v>
      </c>
      <c r="AT140" s="5">
        <f t="shared" si="217"/>
        <v>1.1510864433221339</v>
      </c>
      <c r="AU140" s="5">
        <f t="shared" si="218"/>
        <v>1.7060564138207233</v>
      </c>
      <c r="AV140" s="5"/>
      <c r="AW140" s="177">
        <f t="shared" si="219"/>
        <v>0.40288025516274689</v>
      </c>
      <c r="AX140" s="177">
        <f t="shared" si="245"/>
        <v>4.7700000000000005</v>
      </c>
      <c r="AY140" s="177">
        <f t="shared" si="246"/>
        <v>0.88371828427131505</v>
      </c>
      <c r="AZ140" s="177">
        <f t="shared" si="250"/>
        <v>5.3976477401202407</v>
      </c>
      <c r="BA140" s="469">
        <f t="shared" si="220"/>
        <v>18.128571784263034</v>
      </c>
      <c r="BB140" s="469">
        <f t="shared" si="221"/>
        <v>6.1501325757575778</v>
      </c>
      <c r="BC140" s="5">
        <f t="shared" si="222"/>
        <v>0.89792442832669661</v>
      </c>
      <c r="BD140" s="469">
        <f t="shared" si="223"/>
        <v>68.528542650818025</v>
      </c>
      <c r="BF140" s="177">
        <f t="shared" si="251"/>
        <v>0.7231335472160022</v>
      </c>
      <c r="BG140" s="177">
        <f t="shared" si="247"/>
        <v>1.3205428343183765</v>
      </c>
      <c r="BI140" s="542">
        <f t="shared" si="224"/>
        <v>5.7521433982011788E-2</v>
      </c>
      <c r="BJ140" s="542">
        <f t="shared" si="225"/>
        <v>0.1237993469792955</v>
      </c>
      <c r="BK140" s="542">
        <f t="shared" si="226"/>
        <v>1.7499999999999998E-2</v>
      </c>
      <c r="BL140" s="542">
        <f t="shared" si="227"/>
        <v>0.10121127187500001</v>
      </c>
      <c r="BM140">
        <f t="shared" si="228"/>
        <v>3.48E-3</v>
      </c>
      <c r="BN140" s="469">
        <f t="shared" si="229"/>
        <v>303.5120528363073</v>
      </c>
      <c r="BO140" s="542">
        <f t="shared" si="230"/>
        <v>0.27</v>
      </c>
      <c r="BR140" s="469">
        <f t="shared" si="231"/>
        <v>270</v>
      </c>
      <c r="BS140" s="542">
        <f t="shared" si="232"/>
        <v>0</v>
      </c>
      <c r="BT140" s="542">
        <f t="shared" si="233"/>
        <v>0</v>
      </c>
      <c r="BU140" s="542">
        <f t="shared" si="234"/>
        <v>0</v>
      </c>
      <c r="BV140" s="542">
        <f t="shared" si="235"/>
        <v>0</v>
      </c>
      <c r="BW140" s="469">
        <f t="shared" si="236"/>
        <v>0</v>
      </c>
      <c r="BX140" s="177">
        <f t="shared" si="237"/>
        <v>0.57351205283630735</v>
      </c>
      <c r="BY140" s="5">
        <f t="shared" si="238"/>
        <v>4.5</v>
      </c>
      <c r="BZ140" s="177">
        <f t="shared" si="239"/>
        <v>0.88695955644459556</v>
      </c>
      <c r="CA140" s="5">
        <f t="shared" si="240"/>
        <v>88.695955644459559</v>
      </c>
      <c r="CD140" s="576">
        <f t="shared" si="241"/>
        <v>-50</v>
      </c>
      <c r="CE140">
        <f t="shared" si="242"/>
        <v>-50</v>
      </c>
    </row>
    <row r="141" spans="5:83" x14ac:dyDescent="0.25">
      <c r="E141" s="174">
        <v>31</v>
      </c>
      <c r="F141" s="221">
        <f t="shared" si="243"/>
        <v>0.31</v>
      </c>
      <c r="G141" s="221"/>
      <c r="H141" s="221">
        <f t="shared" si="190"/>
        <v>4.6500000000000004</v>
      </c>
      <c r="I141" s="555">
        <f t="shared" si="191"/>
        <v>12</v>
      </c>
      <c r="J141" s="451">
        <f t="shared" si="192"/>
        <v>23.85</v>
      </c>
      <c r="K141" s="451">
        <f t="shared" si="193"/>
        <v>35.85</v>
      </c>
      <c r="L141" s="451"/>
      <c r="M141" s="221">
        <f t="shared" si="194"/>
        <v>0.66527196652719667</v>
      </c>
      <c r="N141" s="176">
        <f t="shared" si="244"/>
        <v>15.547405857740586</v>
      </c>
      <c r="O141" s="176">
        <f t="shared" si="248"/>
        <v>4.6500000000000004</v>
      </c>
      <c r="P141" s="221">
        <f t="shared" si="195"/>
        <v>1.0364937238493723</v>
      </c>
      <c r="Q141" s="221">
        <f t="shared" si="196"/>
        <v>15</v>
      </c>
      <c r="R141" s="221"/>
      <c r="S141" s="176">
        <f t="shared" si="197"/>
        <v>67.492371672897676</v>
      </c>
      <c r="T141" s="176">
        <f t="shared" si="198"/>
        <v>15</v>
      </c>
      <c r="U141" s="221">
        <f t="shared" si="199"/>
        <v>1.2262495862297256</v>
      </c>
      <c r="V141" s="221">
        <f t="shared" si="200"/>
        <v>0.71531225863400649</v>
      </c>
      <c r="W141" s="221">
        <f t="shared" si="201"/>
        <v>0.35990553893534916</v>
      </c>
      <c r="X141" s="201">
        <f t="shared" si="202"/>
        <v>350</v>
      </c>
      <c r="Y141" s="451">
        <f t="shared" si="203"/>
        <v>350</v>
      </c>
      <c r="AA141" s="221">
        <f t="shared" si="204"/>
        <v>3.2584749380923919</v>
      </c>
      <c r="AB141" s="177">
        <f t="shared" si="205"/>
        <v>0.95636580992229525</v>
      </c>
      <c r="AC141" s="177">
        <f t="shared" si="206"/>
        <v>0.81802718111106087</v>
      </c>
      <c r="AD141" s="177"/>
      <c r="AE141" s="177">
        <f t="shared" si="207"/>
        <v>0.24067085953878403</v>
      </c>
      <c r="AF141" s="559">
        <f t="shared" si="208"/>
        <v>2094.4165887651911</v>
      </c>
      <c r="AG141" s="542">
        <f t="shared" si="209"/>
        <v>5.1804402515723262E-2</v>
      </c>
      <c r="AI141" s="177">
        <f t="shared" si="210"/>
        <v>2.0059096363963547</v>
      </c>
      <c r="AJ141" s="177">
        <f t="shared" si="211"/>
        <v>2.0059096363963547</v>
      </c>
      <c r="AK141" s="177">
        <f t="shared" si="212"/>
        <v>2.0784515825158181</v>
      </c>
      <c r="AM141" s="559">
        <f t="shared" si="213"/>
        <v>310</v>
      </c>
      <c r="AN141" s="469">
        <f t="shared" si="214"/>
        <v>350</v>
      </c>
      <c r="AP141" s="469">
        <f t="shared" si="215"/>
        <v>310</v>
      </c>
      <c r="AQ141" s="469">
        <f t="shared" si="216"/>
        <v>350</v>
      </c>
      <c r="AS141" s="5">
        <f t="shared" si="249"/>
        <v>2.8571428571428572</v>
      </c>
      <c r="AT141" s="5">
        <f t="shared" si="217"/>
        <v>1.17011395456454</v>
      </c>
      <c r="AU141" s="5">
        <f t="shared" si="218"/>
        <v>1.6870289025783172</v>
      </c>
      <c r="AV141" s="5"/>
      <c r="AW141" s="177">
        <f t="shared" si="219"/>
        <v>0.40953988409758901</v>
      </c>
      <c r="AX141" s="177">
        <f t="shared" si="245"/>
        <v>4.9290000000000012</v>
      </c>
      <c r="AY141" s="177">
        <f t="shared" si="246"/>
        <v>0.88830722729726597</v>
      </c>
      <c r="AZ141" s="177">
        <f t="shared" si="250"/>
        <v>5.5487559354850831</v>
      </c>
      <c r="BA141" s="469">
        <f t="shared" si="220"/>
        <v>18.128571784263034</v>
      </c>
      <c r="BB141" s="469">
        <f t="shared" si="221"/>
        <v>6.5359748947811465</v>
      </c>
      <c r="BC141" s="5">
        <f t="shared" si="222"/>
        <v>0.91750694701627789</v>
      </c>
      <c r="BD141" s="469">
        <f t="shared" si="223"/>
        <v>70.036705236747167</v>
      </c>
      <c r="BF141" s="177">
        <f t="shared" si="251"/>
        <v>0.74113758648436423</v>
      </c>
      <c r="BG141" s="177">
        <f t="shared" si="247"/>
        <v>1.3348647973918979</v>
      </c>
      <c r="BI141" s="542">
        <f t="shared" si="224"/>
        <v>6.0421341430985528E-2</v>
      </c>
      <c r="BJ141" s="542">
        <f t="shared" si="225"/>
        <v>0.12584575581341631</v>
      </c>
      <c r="BK141" s="542">
        <f t="shared" si="226"/>
        <v>1.7499999999999998E-2</v>
      </c>
      <c r="BL141" s="542">
        <f t="shared" si="227"/>
        <v>0.10121127187500001</v>
      </c>
      <c r="BM141">
        <f t="shared" si="228"/>
        <v>3.48E-3</v>
      </c>
      <c r="BN141" s="469">
        <f t="shared" si="229"/>
        <v>308.45836911940177</v>
      </c>
      <c r="BO141" s="542">
        <f t="shared" si="230"/>
        <v>0.27900000000000003</v>
      </c>
      <c r="BR141" s="469">
        <f t="shared" si="231"/>
        <v>279</v>
      </c>
      <c r="BS141" s="542">
        <f t="shared" si="232"/>
        <v>0</v>
      </c>
      <c r="BT141" s="542">
        <f t="shared" si="233"/>
        <v>0</v>
      </c>
      <c r="BU141" s="542">
        <f t="shared" si="234"/>
        <v>0</v>
      </c>
      <c r="BV141" s="542">
        <f t="shared" si="235"/>
        <v>0</v>
      </c>
      <c r="BW141" s="469">
        <f t="shared" si="236"/>
        <v>0</v>
      </c>
      <c r="BX141" s="177">
        <f t="shared" si="237"/>
        <v>0.58745836911940175</v>
      </c>
      <c r="BY141" s="5">
        <f t="shared" si="238"/>
        <v>4.6500000000000004</v>
      </c>
      <c r="BZ141" s="177">
        <f t="shared" si="239"/>
        <v>0.88783521935312804</v>
      </c>
      <c r="CA141" s="5">
        <f t="shared" si="240"/>
        <v>88.783521935312805</v>
      </c>
      <c r="CD141" s="576">
        <f t="shared" si="241"/>
        <v>-50</v>
      </c>
      <c r="CE141">
        <f t="shared" si="242"/>
        <v>-50</v>
      </c>
    </row>
    <row r="142" spans="5:83" x14ac:dyDescent="0.25">
      <c r="E142" s="174">
        <v>32</v>
      </c>
      <c r="F142" s="221">
        <f t="shared" si="243"/>
        <v>0.32</v>
      </c>
      <c r="G142" s="221"/>
      <c r="H142" s="221">
        <f t="shared" ref="H142:H173" si="252">F142*Vout</f>
        <v>4.8</v>
      </c>
      <c r="I142" s="555">
        <f t="shared" ref="I142:I173" si="253">VIN_min</f>
        <v>12</v>
      </c>
      <c r="J142" s="451">
        <f t="shared" ref="J142:J173" si="254">(T142+Vfwd1)*Nps</f>
        <v>23.85</v>
      </c>
      <c r="K142" s="451">
        <f t="shared" ref="K142:K173" si="255">(Vout+Vfwd1)*Nps+I142</f>
        <v>35.85</v>
      </c>
      <c r="L142" s="451"/>
      <c r="M142" s="221">
        <f t="shared" ref="M142:M173" si="256">(Vout+Vfwd1)*Nps/((Vout+Vfwd1)*Nps+I142)</f>
        <v>0.66527196652719667</v>
      </c>
      <c r="N142" s="176">
        <f t="shared" ref="N142:N173" si="257">M142*I142*Isw_max*0.5*Efficiency</f>
        <v>15.547405857740586</v>
      </c>
      <c r="O142" s="176">
        <f t="shared" si="248"/>
        <v>4.8</v>
      </c>
      <c r="P142" s="221">
        <f t="shared" ref="P142:P173" si="258">N142/Vout</f>
        <v>1.0364937238493723</v>
      </c>
      <c r="Q142" s="221">
        <f t="shared" ref="Q142:Q173" si="259">MIN(Vout,N142/F142)</f>
        <v>15</v>
      </c>
      <c r="R142" s="221"/>
      <c r="S142" s="176">
        <f t="shared" ref="S142:S173" si="260">(SQRT(Isw_max^2*Nps^2*I142^2+4*Isw_max*F142/Efficiency*(Nps^2*Vfwd1*I142-Nps*I142^2)+4*(F142/Efficiency)^2*Nps^2*Vfwd1^2+8*(F142/Efficiency)^2*Nps*Vfwd1*I142+4*(F142/Efficiency)^2*I142^2)-2*F142/Efficiency*I142-2*F142/Efficiency*Nps*Vfwd1+Isw_max*Nps*I142)/(4*F142/Efficiency*Nps)</f>
        <v>65.140274380463964</v>
      </c>
      <c r="T142" s="176">
        <f t="shared" ref="T142:T173" si="261">MIN(Vout, S142)</f>
        <v>15</v>
      </c>
      <c r="U142" s="221">
        <f t="shared" ref="U142:U173" si="262">MIN(2*Vout*F142/(Efficiency*I142*M142), Isw_max)</f>
        <v>1.2658060244952003</v>
      </c>
      <c r="V142" s="221">
        <f t="shared" ref="V142:V173" si="263">L*U142/I142*1000000</f>
        <v>0.73838684762220019</v>
      </c>
      <c r="W142" s="221">
        <f t="shared" ref="W142:W173" si="264">L*U142/J142*1000000</f>
        <v>0.37151539503003783</v>
      </c>
      <c r="X142" s="201">
        <f t="shared" ref="X142:X173" si="265">IF(1/((350000*L)*(1/I142+1/J142))&gt;Isw_min, 350, 0.001/((Isw_min*L)*(1/I142+1/J142)))</f>
        <v>350</v>
      </c>
      <c r="Y142" s="451">
        <f t="shared" si="203"/>
        <v>350</v>
      </c>
      <c r="AA142" s="221">
        <f t="shared" ref="AA142:AA173" si="266">1/((X142*1000*L)*(1/I142+1/J142))</f>
        <v>3.2584749380923919</v>
      </c>
      <c r="AB142" s="177">
        <f t="shared" ref="AB142:AB173" si="267">L*AA142/J142*1000000</f>
        <v>0.95636580992229525</v>
      </c>
      <c r="AC142" s="177">
        <f t="shared" ref="AC142:AC173" si="268">0.5*AB142*AA142*Nps*X142/1000</f>
        <v>0.81802718111106087</v>
      </c>
      <c r="AD142" s="177"/>
      <c r="AE142" s="177">
        <f t="shared" ref="AE142:AE173" si="269">L*Isw_min/J142*1000000</f>
        <v>0.24067085953878403</v>
      </c>
      <c r="AF142" s="559">
        <f t="shared" ref="AF142:AF173" si="270">MAX(12000,F142/(0.5*AE142/1000000*Isw_min*Nps))/1000</f>
        <v>2161.9784142092299</v>
      </c>
      <c r="AG142" s="542">
        <f t="shared" ref="AG142:AG173" si="271">0.5*AE142/1000000*Isw_min*Nps*X142*1000</f>
        <v>5.1804402515723262E-2</v>
      </c>
      <c r="AI142" s="177">
        <f t="shared" ref="AI142:AI173" si="272">SQRT(F142/(0.5*L/J142*Fsw_DCM*Nps))</f>
        <v>2.0380062285859442</v>
      </c>
      <c r="AJ142" s="177">
        <f t="shared" ref="AJ142:AJ173" si="273">MAX(IF(F142&gt;AC142,U142,AI142),Isw_min)</f>
        <v>2.0380062285859442</v>
      </c>
      <c r="AK142" s="177">
        <f t="shared" ref="AK142:AK173" si="274">IF(F142&gt;AG142, (AJ142-Isw_min)/1.08*0.8+1.2, AF142*0.2/350+1)</f>
        <v>2.1022268359895881</v>
      </c>
      <c r="AM142" s="559">
        <f t="shared" ref="AM142:AM173" si="275">F142*1000</f>
        <v>320</v>
      </c>
      <c r="AN142" s="469">
        <f t="shared" ref="AN142:AN173" si="276">IF(F142&gt;AG142, Y142, AF142)</f>
        <v>350</v>
      </c>
      <c r="AP142" s="469">
        <f t="shared" ref="AP142:AP173" si="277">IF(H142&gt;N142, "",AM142)</f>
        <v>320</v>
      </c>
      <c r="AQ142" s="469">
        <f t="shared" ref="AQ142:AQ173" si="278">IF(H142&gt;N142, "",AN142)</f>
        <v>350</v>
      </c>
      <c r="AS142" s="5">
        <f t="shared" si="249"/>
        <v>2.8571428571428572</v>
      </c>
      <c r="AT142" s="5">
        <f t="shared" ref="AT142:AT173" si="279">L*AJ142/I142*1000000</f>
        <v>1.1888369666751342</v>
      </c>
      <c r="AU142" s="5">
        <f t="shared" si="218"/>
        <v>1.668305890467723</v>
      </c>
      <c r="AV142" s="5"/>
      <c r="AW142" s="177">
        <f t="shared" si="219"/>
        <v>0.41609293833629696</v>
      </c>
      <c r="AX142" s="177">
        <f t="shared" si="245"/>
        <v>5.0880000000000019</v>
      </c>
      <c r="AY142" s="177">
        <f t="shared" si="246"/>
        <v>0.89250467143945778</v>
      </c>
      <c r="AZ142" s="177">
        <f t="shared" si="250"/>
        <v>5.7008104974889662</v>
      </c>
      <c r="BA142" s="469">
        <f t="shared" ref="BA142:BA173" si="280">L*Isw_max^2/(2*Vout_ripple*Vout)*1000000000*((1+M142)/2)^2</f>
        <v>18.128571784263034</v>
      </c>
      <c r="BB142" s="469">
        <f t="shared" ref="BB142:BB173" si="281">L*F142^2/(2*Cout*Vout*Nps^2)*1000000000*((1+M142)/(1-M142))^2+F142*RCoutEsr</f>
        <v>6.9334841750841774</v>
      </c>
      <c r="BC142" s="5">
        <f t="shared" si="222"/>
        <v>0.93659278061345852</v>
      </c>
      <c r="BD142" s="469">
        <f t="shared" ref="BD142:BD173" si="282">((BY142/I142/Efficiency)*AU142/Cin+(BY142/I142/Efficiency)*RCinEsr)*1000</f>
        <v>71.507616440746233</v>
      </c>
      <c r="BF142" s="177">
        <f t="shared" si="251"/>
        <v>0.75899698766220003</v>
      </c>
      <c r="BG142" s="177">
        <f t="shared" si="247"/>
        <v>1.3486771590842883</v>
      </c>
      <c r="BI142" s="542">
        <f t="shared" si="224"/>
        <v>6.3368407000832322E-2</v>
      </c>
      <c r="BJ142" s="542">
        <f t="shared" si="225"/>
        <v>0.12785941576591067</v>
      </c>
      <c r="BK142" s="542">
        <f t="shared" si="226"/>
        <v>1.7499999999999998E-2</v>
      </c>
      <c r="BL142" s="542">
        <f t="shared" si="227"/>
        <v>0.10121127187500001</v>
      </c>
      <c r="BM142">
        <f t="shared" si="228"/>
        <v>3.48E-3</v>
      </c>
      <c r="BN142" s="469">
        <f t="shared" si="229"/>
        <v>313.41909464174296</v>
      </c>
      <c r="BO142" s="542">
        <f t="shared" si="230"/>
        <v>0.28800000000000003</v>
      </c>
      <c r="BR142" s="469">
        <f t="shared" si="231"/>
        <v>288.00000000000006</v>
      </c>
      <c r="BS142" s="542">
        <f t="shared" si="232"/>
        <v>0</v>
      </c>
      <c r="BT142" s="542">
        <f t="shared" si="233"/>
        <v>0</v>
      </c>
      <c r="BU142" s="542">
        <f t="shared" si="234"/>
        <v>0</v>
      </c>
      <c r="BV142" s="542">
        <f t="shared" si="235"/>
        <v>0</v>
      </c>
      <c r="BW142" s="469">
        <f t="shared" si="236"/>
        <v>0</v>
      </c>
      <c r="BX142" s="177">
        <f t="shared" si="237"/>
        <v>0.60141909464174304</v>
      </c>
      <c r="BY142" s="5">
        <f t="shared" si="238"/>
        <v>4.8</v>
      </c>
      <c r="BZ142" s="177">
        <f t="shared" si="239"/>
        <v>0.88865535443484533</v>
      </c>
      <c r="CA142" s="5">
        <f t="shared" si="240"/>
        <v>88.865535443484532</v>
      </c>
      <c r="CD142" s="576">
        <f t="shared" ref="CD142:CD173" si="283">IF(ABS(F142-Ioutmax_Vinmin)&lt;Iout/200, AN142, -50)</f>
        <v>-50</v>
      </c>
      <c r="CE142">
        <f t="shared" ref="CE142:CE173" si="284">IF(ABS(F142-Ioutmax_Vinmin)&lt;Iout/200, N142*BZ142, -50)</f>
        <v>-50</v>
      </c>
    </row>
    <row r="143" spans="5:83" x14ac:dyDescent="0.25">
      <c r="E143" s="174">
        <v>33</v>
      </c>
      <c r="F143" s="221">
        <f t="shared" ref="F143:F174" si="285">IF(PLOT_TYPE=1, E143/100*Iout_max, min_I*EXP(N143*rr/100))</f>
        <v>0.33</v>
      </c>
      <c r="G143" s="221"/>
      <c r="H143" s="221">
        <f t="shared" si="252"/>
        <v>4.95</v>
      </c>
      <c r="I143" s="555">
        <f t="shared" si="253"/>
        <v>12</v>
      </c>
      <c r="J143" s="451">
        <f t="shared" si="254"/>
        <v>23.85</v>
      </c>
      <c r="K143" s="451">
        <f t="shared" si="255"/>
        <v>35.85</v>
      </c>
      <c r="L143" s="451"/>
      <c r="M143" s="221">
        <f t="shared" si="256"/>
        <v>0.66527196652719667</v>
      </c>
      <c r="N143" s="176">
        <f t="shared" si="257"/>
        <v>15.547405857740586</v>
      </c>
      <c r="O143" s="176">
        <f t="shared" si="248"/>
        <v>4.95</v>
      </c>
      <c r="P143" s="221">
        <f t="shared" si="258"/>
        <v>1.0364937238493723</v>
      </c>
      <c r="Q143" s="221">
        <f t="shared" si="259"/>
        <v>15</v>
      </c>
      <c r="R143" s="221"/>
      <c r="S143" s="176">
        <f t="shared" si="260"/>
        <v>62.930979710876116</v>
      </c>
      <c r="T143" s="176">
        <f t="shared" si="261"/>
        <v>15</v>
      </c>
      <c r="U143" s="221">
        <f t="shared" si="262"/>
        <v>1.3053624627606755</v>
      </c>
      <c r="V143" s="221">
        <f t="shared" si="263"/>
        <v>0.76146143661039412</v>
      </c>
      <c r="W143" s="221">
        <f t="shared" si="264"/>
        <v>0.38312525112472656</v>
      </c>
      <c r="X143" s="201">
        <f t="shared" si="265"/>
        <v>350</v>
      </c>
      <c r="Y143" s="451">
        <f t="shared" si="203"/>
        <v>350</v>
      </c>
      <c r="AA143" s="221">
        <f t="shared" si="266"/>
        <v>3.2584749380923919</v>
      </c>
      <c r="AB143" s="177">
        <f t="shared" si="267"/>
        <v>0.95636580992229525</v>
      </c>
      <c r="AC143" s="177">
        <f t="shared" si="268"/>
        <v>0.81802718111106087</v>
      </c>
      <c r="AD143" s="177"/>
      <c r="AE143" s="177">
        <f t="shared" si="269"/>
        <v>0.24067085953878403</v>
      </c>
      <c r="AF143" s="559">
        <f t="shared" si="270"/>
        <v>2229.5402396532677</v>
      </c>
      <c r="AG143" s="542">
        <f t="shared" si="271"/>
        <v>5.1804402515723262E-2</v>
      </c>
      <c r="AI143" s="177">
        <f t="shared" si="272"/>
        <v>2.0696051087399381</v>
      </c>
      <c r="AJ143" s="177">
        <f t="shared" si="273"/>
        <v>2.0696051087399381</v>
      </c>
      <c r="AK143" s="177">
        <f t="shared" si="274"/>
        <v>2.1256334138814355</v>
      </c>
      <c r="AM143" s="559">
        <f t="shared" si="275"/>
        <v>330</v>
      </c>
      <c r="AN143" s="469">
        <f t="shared" si="276"/>
        <v>350</v>
      </c>
      <c r="AP143" s="469">
        <f t="shared" si="277"/>
        <v>330</v>
      </c>
      <c r="AQ143" s="469">
        <f t="shared" si="278"/>
        <v>350</v>
      </c>
      <c r="AS143" s="5">
        <f t="shared" si="249"/>
        <v>2.8571428571428572</v>
      </c>
      <c r="AT143" s="5">
        <f t="shared" si="279"/>
        <v>1.2072696467649637</v>
      </c>
      <c r="AU143" s="5">
        <f t="shared" si="218"/>
        <v>1.6498732103778935</v>
      </c>
      <c r="AV143" s="5"/>
      <c r="AW143" s="177">
        <f t="shared" si="219"/>
        <v>0.42254437636773728</v>
      </c>
      <c r="AX143" s="177">
        <f t="shared" si="245"/>
        <v>5.2470000000000026</v>
      </c>
      <c r="AY143" s="177">
        <f t="shared" si="246"/>
        <v>0.89632883155495346</v>
      </c>
      <c r="AZ143" s="177">
        <f t="shared" si="250"/>
        <v>5.8538784152435372</v>
      </c>
      <c r="BA143" s="469">
        <f t="shared" si="280"/>
        <v>18.128571784263034</v>
      </c>
      <c r="BB143" s="469">
        <f t="shared" si="281"/>
        <v>7.3426604166666696</v>
      </c>
      <c r="BC143" s="5">
        <f t="shared" si="222"/>
        <v>0.95518975337667522</v>
      </c>
      <c r="BD143" s="469">
        <f t="shared" si="282"/>
        <v>72.941863082198026</v>
      </c>
      <c r="BF143" s="177">
        <f t="shared" si="251"/>
        <v>0.77671738051732309</v>
      </c>
      <c r="BG143" s="177">
        <f t="shared" si="247"/>
        <v>1.3620010017973669</v>
      </c>
      <c r="BI143" s="542">
        <f t="shared" si="224"/>
        <v>6.6361887811746137E-2</v>
      </c>
      <c r="BJ143" s="542">
        <f t="shared" si="225"/>
        <v>0.12984185050957187</v>
      </c>
      <c r="BK143" s="542">
        <f t="shared" si="226"/>
        <v>1.7499999999999998E-2</v>
      </c>
      <c r="BL143" s="542">
        <f t="shared" si="227"/>
        <v>0.10121127187500001</v>
      </c>
      <c r="BM143">
        <f t="shared" si="228"/>
        <v>3.48E-3</v>
      </c>
      <c r="BN143" s="469">
        <f t="shared" si="229"/>
        <v>318.39501019631791</v>
      </c>
      <c r="BO143" s="542">
        <f t="shared" si="230"/>
        <v>0.29700000000000004</v>
      </c>
      <c r="BR143" s="469">
        <f t="shared" si="231"/>
        <v>297.00000000000006</v>
      </c>
      <c r="BS143" s="542">
        <f t="shared" si="232"/>
        <v>0</v>
      </c>
      <c r="BT143" s="542">
        <f t="shared" si="233"/>
        <v>0</v>
      </c>
      <c r="BU143" s="542">
        <f t="shared" si="234"/>
        <v>0</v>
      </c>
      <c r="BV143" s="542">
        <f t="shared" si="235"/>
        <v>0</v>
      </c>
      <c r="BW143" s="469">
        <f t="shared" si="236"/>
        <v>0</v>
      </c>
      <c r="BX143" s="177">
        <f t="shared" si="237"/>
        <v>0.61539501019631793</v>
      </c>
      <c r="BY143" s="5">
        <f t="shared" si="238"/>
        <v>4.95</v>
      </c>
      <c r="BZ143" s="177">
        <f t="shared" si="239"/>
        <v>0.88942473821375534</v>
      </c>
      <c r="CA143" s="5">
        <f t="shared" si="240"/>
        <v>88.942473821375529</v>
      </c>
      <c r="CD143" s="576">
        <f t="shared" si="283"/>
        <v>-50</v>
      </c>
      <c r="CE143">
        <f t="shared" si="284"/>
        <v>-50</v>
      </c>
    </row>
    <row r="144" spans="5:83" x14ac:dyDescent="0.25">
      <c r="E144" s="174">
        <v>34</v>
      </c>
      <c r="F144" s="221">
        <f t="shared" si="285"/>
        <v>0.34</v>
      </c>
      <c r="G144" s="221"/>
      <c r="H144" s="221">
        <f t="shared" si="252"/>
        <v>5.1000000000000005</v>
      </c>
      <c r="I144" s="555">
        <f t="shared" si="253"/>
        <v>12</v>
      </c>
      <c r="J144" s="451">
        <f t="shared" si="254"/>
        <v>23.85</v>
      </c>
      <c r="K144" s="451">
        <f t="shared" si="255"/>
        <v>35.85</v>
      </c>
      <c r="L144" s="451"/>
      <c r="M144" s="221">
        <f t="shared" si="256"/>
        <v>0.66527196652719667</v>
      </c>
      <c r="N144" s="176">
        <f t="shared" si="257"/>
        <v>15.547405857740586</v>
      </c>
      <c r="O144" s="176">
        <f t="shared" si="248"/>
        <v>5.1000000000000005</v>
      </c>
      <c r="P144" s="221">
        <f t="shared" si="258"/>
        <v>1.0364937238493723</v>
      </c>
      <c r="Q144" s="221">
        <f t="shared" si="259"/>
        <v>15</v>
      </c>
      <c r="R144" s="221"/>
      <c r="S144" s="176">
        <f t="shared" si="260"/>
        <v>60.851889739746134</v>
      </c>
      <c r="T144" s="176">
        <f t="shared" si="261"/>
        <v>15</v>
      </c>
      <c r="U144" s="221">
        <f t="shared" si="262"/>
        <v>1.3449189010261506</v>
      </c>
      <c r="V144" s="221">
        <f t="shared" si="263"/>
        <v>0.78453602559858793</v>
      </c>
      <c r="W144" s="221">
        <f t="shared" si="264"/>
        <v>0.39473510721941524</v>
      </c>
      <c r="X144" s="201">
        <f t="shared" si="265"/>
        <v>350</v>
      </c>
      <c r="Y144" s="451">
        <f t="shared" si="203"/>
        <v>350</v>
      </c>
      <c r="AA144" s="221">
        <f t="shared" si="266"/>
        <v>3.2584749380923919</v>
      </c>
      <c r="AB144" s="177">
        <f t="shared" si="267"/>
        <v>0.95636580992229525</v>
      </c>
      <c r="AC144" s="177">
        <f t="shared" si="268"/>
        <v>0.81802718111106087</v>
      </c>
      <c r="AD144" s="177"/>
      <c r="AE144" s="177">
        <f t="shared" si="269"/>
        <v>0.24067085953878403</v>
      </c>
      <c r="AF144" s="559">
        <f t="shared" si="270"/>
        <v>2297.1020650973064</v>
      </c>
      <c r="AG144" s="542">
        <f t="shared" si="271"/>
        <v>5.1804402515723262E-2</v>
      </c>
      <c r="AI144" s="177">
        <f t="shared" si="272"/>
        <v>2.1007287365316345</v>
      </c>
      <c r="AJ144" s="177">
        <f t="shared" si="273"/>
        <v>2.1007287365316345</v>
      </c>
      <c r="AK144" s="177">
        <f t="shared" si="274"/>
        <v>2.1486879529863958</v>
      </c>
      <c r="AM144" s="559">
        <f t="shared" si="275"/>
        <v>340</v>
      </c>
      <c r="AN144" s="469">
        <f t="shared" si="276"/>
        <v>350</v>
      </c>
      <c r="AP144" s="469">
        <f t="shared" si="277"/>
        <v>340</v>
      </c>
      <c r="AQ144" s="469">
        <f t="shared" si="278"/>
        <v>350</v>
      </c>
      <c r="AS144" s="5">
        <f t="shared" si="249"/>
        <v>2.8571428571428572</v>
      </c>
      <c r="AT144" s="5">
        <f t="shared" si="279"/>
        <v>1.2254250963101201</v>
      </c>
      <c r="AU144" s="5">
        <f t="shared" si="218"/>
        <v>1.6317177608327371</v>
      </c>
      <c r="AV144" s="5"/>
      <c r="AW144" s="177">
        <f t="shared" si="219"/>
        <v>0.42889878370854201</v>
      </c>
      <c r="AX144" s="177">
        <f t="shared" si="245"/>
        <v>5.4060000000000024</v>
      </c>
      <c r="AY144" s="177">
        <f t="shared" si="246"/>
        <v>0.89979655239872569</v>
      </c>
      <c r="AZ144" s="177">
        <f t="shared" si="250"/>
        <v>6.0080247980372885</v>
      </c>
      <c r="BA144" s="469">
        <f t="shared" si="280"/>
        <v>18.128571784263034</v>
      </c>
      <c r="BB144" s="469">
        <f t="shared" si="281"/>
        <v>7.7635036195286222</v>
      </c>
      <c r="BC144" s="5">
        <f t="shared" si="222"/>
        <v>0.97330533102303629</v>
      </c>
      <c r="BD144" s="469">
        <f t="shared" si="282"/>
        <v>74.340005089885608</v>
      </c>
      <c r="BF144" s="177">
        <f t="shared" si="251"/>
        <v>0.79430401224699076</v>
      </c>
      <c r="BG144" s="177">
        <f t="shared" si="247"/>
        <v>1.3748558014046768</v>
      </c>
      <c r="BI144" s="542">
        <f t="shared" si="224"/>
        <v>6.9401075025883441E-2</v>
      </c>
      <c r="BJ144" s="542">
        <f t="shared" si="225"/>
        <v>0.13179446910815346</v>
      </c>
      <c r="BK144" s="542">
        <f t="shared" si="226"/>
        <v>1.7499999999999998E-2</v>
      </c>
      <c r="BL144" s="542">
        <f t="shared" si="227"/>
        <v>0.10121127187500001</v>
      </c>
      <c r="BM144">
        <f t="shared" si="228"/>
        <v>3.48E-3</v>
      </c>
      <c r="BN144" s="469">
        <f t="shared" si="229"/>
        <v>323.38681600903692</v>
      </c>
      <c r="BO144" s="542">
        <f t="shared" si="230"/>
        <v>0.30600000000000005</v>
      </c>
      <c r="BR144" s="469">
        <f t="shared" si="231"/>
        <v>306.00000000000006</v>
      </c>
      <c r="BS144" s="542">
        <f t="shared" si="232"/>
        <v>0</v>
      </c>
      <c r="BT144" s="542">
        <f t="shared" si="233"/>
        <v>0</v>
      </c>
      <c r="BU144" s="542">
        <f t="shared" si="234"/>
        <v>0</v>
      </c>
      <c r="BV144" s="542">
        <f t="shared" si="235"/>
        <v>0</v>
      </c>
      <c r="BW144" s="469">
        <f t="shared" si="236"/>
        <v>0</v>
      </c>
      <c r="BX144" s="177">
        <f t="shared" si="237"/>
        <v>0.62938681600903701</v>
      </c>
      <c r="BY144" s="5">
        <f t="shared" si="238"/>
        <v>5.1000000000000005</v>
      </c>
      <c r="BZ144" s="177">
        <f t="shared" si="239"/>
        <v>0.89014761330996073</v>
      </c>
      <c r="CA144" s="5">
        <f t="shared" si="240"/>
        <v>89.014761330996066</v>
      </c>
      <c r="CD144" s="576">
        <f t="shared" si="283"/>
        <v>-50</v>
      </c>
      <c r="CE144">
        <f t="shared" si="284"/>
        <v>-50</v>
      </c>
    </row>
    <row r="145" spans="5:83" x14ac:dyDescent="0.25">
      <c r="E145" s="174">
        <v>35</v>
      </c>
      <c r="F145" s="221">
        <f t="shared" si="285"/>
        <v>0.35</v>
      </c>
      <c r="G145" s="221"/>
      <c r="H145" s="221">
        <f t="shared" si="252"/>
        <v>5.25</v>
      </c>
      <c r="I145" s="555">
        <f t="shared" si="253"/>
        <v>12</v>
      </c>
      <c r="J145" s="451">
        <f t="shared" si="254"/>
        <v>23.85</v>
      </c>
      <c r="K145" s="451">
        <f t="shared" si="255"/>
        <v>35.85</v>
      </c>
      <c r="L145" s="451"/>
      <c r="M145" s="221">
        <f t="shared" si="256"/>
        <v>0.66527196652719667</v>
      </c>
      <c r="N145" s="176">
        <f t="shared" si="257"/>
        <v>15.547405857740586</v>
      </c>
      <c r="O145" s="176">
        <f t="shared" si="248"/>
        <v>5.25</v>
      </c>
      <c r="P145" s="221">
        <f t="shared" si="258"/>
        <v>1.0364937238493723</v>
      </c>
      <c r="Q145" s="221">
        <f t="shared" si="259"/>
        <v>15</v>
      </c>
      <c r="R145" s="221"/>
      <c r="S145" s="176">
        <f t="shared" si="260"/>
        <v>58.891846328065412</v>
      </c>
      <c r="T145" s="176">
        <f t="shared" si="261"/>
        <v>15</v>
      </c>
      <c r="U145" s="221">
        <f t="shared" si="262"/>
        <v>1.3844753392916254</v>
      </c>
      <c r="V145" s="221">
        <f t="shared" si="263"/>
        <v>0.80761061458678152</v>
      </c>
      <c r="W145" s="221">
        <f t="shared" si="264"/>
        <v>0.40634496331410386</v>
      </c>
      <c r="X145" s="201">
        <f t="shared" si="265"/>
        <v>350</v>
      </c>
      <c r="Y145" s="451">
        <f t="shared" si="203"/>
        <v>350</v>
      </c>
      <c r="AA145" s="221">
        <f t="shared" si="266"/>
        <v>3.2584749380923919</v>
      </c>
      <c r="AB145" s="177">
        <f t="shared" si="267"/>
        <v>0.95636580992229525</v>
      </c>
      <c r="AC145" s="177">
        <f t="shared" si="268"/>
        <v>0.81802718111106087</v>
      </c>
      <c r="AD145" s="177"/>
      <c r="AE145" s="177">
        <f t="shared" si="269"/>
        <v>0.24067085953878403</v>
      </c>
      <c r="AF145" s="559">
        <f t="shared" si="270"/>
        <v>2364.6638905413447</v>
      </c>
      <c r="AG145" s="542">
        <f t="shared" si="271"/>
        <v>5.1804402515723262E-2</v>
      </c>
      <c r="AI145" s="177">
        <f t="shared" si="272"/>
        <v>2.1313979316066587</v>
      </c>
      <c r="AJ145" s="177">
        <f t="shared" si="273"/>
        <v>2.1313979316066587</v>
      </c>
      <c r="AK145" s="177">
        <f t="shared" si="274"/>
        <v>2.1714058752641918</v>
      </c>
      <c r="AM145" s="559">
        <f t="shared" si="275"/>
        <v>350</v>
      </c>
      <c r="AN145" s="469">
        <f t="shared" si="276"/>
        <v>350</v>
      </c>
      <c r="AP145" s="469">
        <f t="shared" si="277"/>
        <v>350</v>
      </c>
      <c r="AQ145" s="469">
        <f t="shared" si="278"/>
        <v>350</v>
      </c>
      <c r="AS145" s="5">
        <f t="shared" si="249"/>
        <v>2.8571428571428572</v>
      </c>
      <c r="AT145" s="5">
        <f t="shared" si="279"/>
        <v>1.2433154601038843</v>
      </c>
      <c r="AU145" s="5">
        <f t="shared" si="218"/>
        <v>1.6138273970389729</v>
      </c>
      <c r="AV145" s="5"/>
      <c r="AW145" s="177">
        <f t="shared" si="219"/>
        <v>0.4351604110363595</v>
      </c>
      <c r="AX145" s="177">
        <f t="shared" si="245"/>
        <v>5.5650000000000004</v>
      </c>
      <c r="AY145" s="177">
        <f t="shared" si="246"/>
        <v>0.90292344870499408</v>
      </c>
      <c r="AZ145" s="177">
        <f t="shared" si="250"/>
        <v>6.1633131889326025</v>
      </c>
      <c r="BA145" s="469">
        <f t="shared" si="280"/>
        <v>18.128571784263034</v>
      </c>
      <c r="BB145" s="469">
        <f t="shared" si="281"/>
        <v>8.1960137836700326</v>
      </c>
      <c r="BC145" s="5">
        <f t="shared" si="222"/>
        <v>0.99094664730463256</v>
      </c>
      <c r="BD145" s="469">
        <f t="shared" si="282"/>
        <v>75.702577495215863</v>
      </c>
      <c r="BF145" s="177">
        <f t="shared" si="251"/>
        <v>0.81176178393359866</v>
      </c>
      <c r="BG145" s="177">
        <f t="shared" si="247"/>
        <v>1.3872595903323124</v>
      </c>
      <c r="BI145" s="542">
        <f t="shared" si="224"/>
        <v>7.2485291324056428E-2</v>
      </c>
      <c r="BJ145" s="542">
        <f t="shared" si="225"/>
        <v>0.13371857773417276</v>
      </c>
      <c r="BK145" s="542">
        <f t="shared" si="226"/>
        <v>1.7499999999999998E-2</v>
      </c>
      <c r="BL145" s="542">
        <f t="shared" si="227"/>
        <v>0.10121127187500001</v>
      </c>
      <c r="BM145">
        <f t="shared" si="228"/>
        <v>3.48E-3</v>
      </c>
      <c r="BN145" s="469">
        <f t="shared" si="229"/>
        <v>328.39514093322913</v>
      </c>
      <c r="BO145" s="542">
        <f t="shared" si="230"/>
        <v>0.315</v>
      </c>
      <c r="BR145" s="469">
        <f t="shared" si="231"/>
        <v>315</v>
      </c>
      <c r="BS145" s="542">
        <f t="shared" si="232"/>
        <v>0</v>
      </c>
      <c r="BT145" s="542">
        <f t="shared" si="233"/>
        <v>0</v>
      </c>
      <c r="BU145" s="542">
        <f t="shared" si="234"/>
        <v>0</v>
      </c>
      <c r="BV145" s="542">
        <f t="shared" si="235"/>
        <v>0</v>
      </c>
      <c r="BW145" s="469">
        <f t="shared" si="236"/>
        <v>0</v>
      </c>
      <c r="BX145" s="177">
        <f t="shared" si="237"/>
        <v>0.64339514093322914</v>
      </c>
      <c r="BY145" s="5">
        <f t="shared" si="238"/>
        <v>5.25</v>
      </c>
      <c r="BZ145" s="177">
        <f t="shared" si="239"/>
        <v>0.89082776132479946</v>
      </c>
      <c r="CA145" s="5">
        <f t="shared" si="240"/>
        <v>89.08277613247995</v>
      </c>
      <c r="CD145" s="576">
        <f t="shared" si="283"/>
        <v>-50</v>
      </c>
      <c r="CE145">
        <f t="shared" si="284"/>
        <v>-50</v>
      </c>
    </row>
    <row r="146" spans="5:83" x14ac:dyDescent="0.25">
      <c r="E146" s="174">
        <v>36</v>
      </c>
      <c r="F146" s="221">
        <f t="shared" si="285"/>
        <v>0.36</v>
      </c>
      <c r="G146" s="221"/>
      <c r="H146" s="221">
        <f t="shared" si="252"/>
        <v>5.3999999999999995</v>
      </c>
      <c r="I146" s="555">
        <f t="shared" si="253"/>
        <v>12</v>
      </c>
      <c r="J146" s="451">
        <f t="shared" si="254"/>
        <v>23.85</v>
      </c>
      <c r="K146" s="451">
        <f t="shared" si="255"/>
        <v>35.85</v>
      </c>
      <c r="L146" s="451"/>
      <c r="M146" s="221">
        <f t="shared" si="256"/>
        <v>0.66527196652719667</v>
      </c>
      <c r="N146" s="176">
        <f t="shared" si="257"/>
        <v>15.547405857740586</v>
      </c>
      <c r="O146" s="176">
        <f t="shared" si="248"/>
        <v>5.3999999999999995</v>
      </c>
      <c r="P146" s="221">
        <f t="shared" si="258"/>
        <v>1.0364937238493723</v>
      </c>
      <c r="Q146" s="221">
        <f t="shared" si="259"/>
        <v>15</v>
      </c>
      <c r="R146" s="221"/>
      <c r="S146" s="176">
        <f t="shared" si="260"/>
        <v>57.040931152183624</v>
      </c>
      <c r="T146" s="176">
        <f t="shared" si="261"/>
        <v>15</v>
      </c>
      <c r="U146" s="221">
        <f t="shared" si="262"/>
        <v>1.4240317775571003</v>
      </c>
      <c r="V146" s="221">
        <f t="shared" si="263"/>
        <v>0.83068520357497511</v>
      </c>
      <c r="W146" s="221">
        <f t="shared" si="264"/>
        <v>0.41795481940879253</v>
      </c>
      <c r="X146" s="201">
        <f t="shared" si="265"/>
        <v>350</v>
      </c>
      <c r="Y146" s="451">
        <f t="shared" si="203"/>
        <v>350</v>
      </c>
      <c r="AA146" s="221">
        <f t="shared" si="266"/>
        <v>3.2584749380923919</v>
      </c>
      <c r="AB146" s="177">
        <f t="shared" si="267"/>
        <v>0.95636580992229525</v>
      </c>
      <c r="AC146" s="177">
        <f t="shared" si="268"/>
        <v>0.81802718111106087</v>
      </c>
      <c r="AD146" s="177"/>
      <c r="AE146" s="177">
        <f t="shared" si="269"/>
        <v>0.24067085953878403</v>
      </c>
      <c r="AF146" s="559">
        <f t="shared" si="270"/>
        <v>2432.2257159853834</v>
      </c>
      <c r="AG146" s="542">
        <f t="shared" si="271"/>
        <v>5.1804402515723262E-2</v>
      </c>
      <c r="AI146" s="177">
        <f t="shared" si="272"/>
        <v>2.161632036500313</v>
      </c>
      <c r="AJ146" s="177">
        <f t="shared" si="273"/>
        <v>2.161632036500313</v>
      </c>
      <c r="AK146" s="177">
        <f t="shared" si="274"/>
        <v>2.1938015085187503</v>
      </c>
      <c r="AM146" s="559">
        <f t="shared" si="275"/>
        <v>360</v>
      </c>
      <c r="AN146" s="469">
        <f t="shared" si="276"/>
        <v>350</v>
      </c>
      <c r="AP146" s="469">
        <f t="shared" si="277"/>
        <v>360</v>
      </c>
      <c r="AQ146" s="469">
        <f t="shared" si="278"/>
        <v>350</v>
      </c>
      <c r="AS146" s="5">
        <f t="shared" si="249"/>
        <v>2.8571428571428572</v>
      </c>
      <c r="AT146" s="5">
        <f t="shared" si="279"/>
        <v>1.2609520212918492</v>
      </c>
      <c r="AU146" s="5">
        <f t="shared" si="218"/>
        <v>1.596190835851008</v>
      </c>
      <c r="AV146" s="5"/>
      <c r="AW146" s="177">
        <f t="shared" si="219"/>
        <v>0.44133320745214721</v>
      </c>
      <c r="AX146" s="177">
        <f t="shared" si="245"/>
        <v>5.7240000000000011</v>
      </c>
      <c r="AY146" s="177">
        <f t="shared" si="246"/>
        <v>0.90572402737523472</v>
      </c>
      <c r="AZ146" s="177">
        <f t="shared" si="250"/>
        <v>6.3198058426119132</v>
      </c>
      <c r="BA146" s="469">
        <f t="shared" si="280"/>
        <v>18.128571784263034</v>
      </c>
      <c r="BB146" s="469">
        <f t="shared" si="281"/>
        <v>8.6401909090909115</v>
      </c>
      <c r="BC146" s="5">
        <f t="shared" si="222"/>
        <v>1.0081205279058996</v>
      </c>
      <c r="BD146" s="469">
        <f t="shared" si="282"/>
        <v>77.030092224521425</v>
      </c>
      <c r="BF146" s="177">
        <f t="shared" si="251"/>
        <v>0.82909528258644649</v>
      </c>
      <c r="BG146" s="177">
        <f t="shared" si="247"/>
        <v>1.399229099826899</v>
      </c>
      <c r="BI146" s="542">
        <f t="shared" si="224"/>
        <v>7.5613888636780952E-2</v>
      </c>
      <c r="BJ146" s="542">
        <f t="shared" si="225"/>
        <v>0.1356153898899384</v>
      </c>
      <c r="BK146" s="542">
        <f t="shared" si="226"/>
        <v>1.7499999999999998E-2</v>
      </c>
      <c r="BL146" s="542">
        <f t="shared" si="227"/>
        <v>0.10121127187500001</v>
      </c>
      <c r="BM146">
        <f t="shared" si="228"/>
        <v>3.48E-3</v>
      </c>
      <c r="BN146" s="469">
        <f t="shared" si="229"/>
        <v>333.42055040171931</v>
      </c>
      <c r="BO146" s="542">
        <f t="shared" si="230"/>
        <v>0.32400000000000001</v>
      </c>
      <c r="BR146" s="469">
        <f t="shared" si="231"/>
        <v>324</v>
      </c>
      <c r="BS146" s="542">
        <f t="shared" si="232"/>
        <v>0</v>
      </c>
      <c r="BT146" s="542">
        <f t="shared" si="233"/>
        <v>0</v>
      </c>
      <c r="BU146" s="542">
        <f t="shared" si="234"/>
        <v>0</v>
      </c>
      <c r="BV146" s="542">
        <f t="shared" si="235"/>
        <v>0</v>
      </c>
      <c r="BW146" s="469">
        <f t="shared" si="236"/>
        <v>0</v>
      </c>
      <c r="BX146" s="177">
        <f t="shared" si="237"/>
        <v>0.65742055040171932</v>
      </c>
      <c r="BY146" s="5">
        <f t="shared" si="238"/>
        <v>5.3999999999999995</v>
      </c>
      <c r="BZ146" s="177">
        <f t="shared" si="239"/>
        <v>0.89146856406426667</v>
      </c>
      <c r="CA146" s="5">
        <f t="shared" si="240"/>
        <v>89.146856406426664</v>
      </c>
      <c r="CD146" s="576">
        <f t="shared" si="283"/>
        <v>-50</v>
      </c>
      <c r="CE146">
        <f t="shared" si="284"/>
        <v>-50</v>
      </c>
    </row>
    <row r="147" spans="5:83" x14ac:dyDescent="0.25">
      <c r="E147" s="174">
        <v>37</v>
      </c>
      <c r="F147" s="221">
        <f t="shared" si="285"/>
        <v>0.37</v>
      </c>
      <c r="G147" s="221"/>
      <c r="H147" s="221">
        <f t="shared" si="252"/>
        <v>5.55</v>
      </c>
      <c r="I147" s="555">
        <f t="shared" si="253"/>
        <v>12</v>
      </c>
      <c r="J147" s="451">
        <f t="shared" si="254"/>
        <v>23.85</v>
      </c>
      <c r="K147" s="451">
        <f t="shared" si="255"/>
        <v>35.85</v>
      </c>
      <c r="L147" s="451"/>
      <c r="M147" s="221">
        <f t="shared" si="256"/>
        <v>0.66527196652719667</v>
      </c>
      <c r="N147" s="176">
        <f t="shared" si="257"/>
        <v>15.547405857740586</v>
      </c>
      <c r="O147" s="176">
        <f t="shared" si="248"/>
        <v>5.55</v>
      </c>
      <c r="P147" s="221">
        <f t="shared" si="258"/>
        <v>1.0364937238493723</v>
      </c>
      <c r="Q147" s="221">
        <f t="shared" si="259"/>
        <v>15</v>
      </c>
      <c r="R147" s="221"/>
      <c r="S147" s="176">
        <f t="shared" si="260"/>
        <v>55.290298161357676</v>
      </c>
      <c r="T147" s="176">
        <f t="shared" si="261"/>
        <v>15</v>
      </c>
      <c r="U147" s="221">
        <f t="shared" si="262"/>
        <v>1.4635882158225755</v>
      </c>
      <c r="V147" s="221">
        <f t="shared" si="263"/>
        <v>0.85375979256316903</v>
      </c>
      <c r="W147" s="221">
        <f t="shared" si="264"/>
        <v>0.42956467550348126</v>
      </c>
      <c r="X147" s="201">
        <f t="shared" si="265"/>
        <v>350</v>
      </c>
      <c r="Y147" s="451">
        <f t="shared" si="203"/>
        <v>350</v>
      </c>
      <c r="AA147" s="221">
        <f t="shared" si="266"/>
        <v>3.2584749380923919</v>
      </c>
      <c r="AB147" s="177">
        <f t="shared" si="267"/>
        <v>0.95636580992229525</v>
      </c>
      <c r="AC147" s="177">
        <f t="shared" si="268"/>
        <v>0.81802718111106087</v>
      </c>
      <c r="AD147" s="177"/>
      <c r="AE147" s="177">
        <f t="shared" si="269"/>
        <v>0.24067085953878403</v>
      </c>
      <c r="AF147" s="559">
        <f t="shared" si="270"/>
        <v>2499.7875414294217</v>
      </c>
      <c r="AG147" s="542">
        <f t="shared" si="271"/>
        <v>5.1804402515723262E-2</v>
      </c>
      <c r="AI147" s="177">
        <f t="shared" si="272"/>
        <v>2.1914490593193898</v>
      </c>
      <c r="AJ147" s="177">
        <f t="shared" si="273"/>
        <v>2.1914490593193898</v>
      </c>
      <c r="AK147" s="177">
        <f t="shared" si="274"/>
        <v>2.2158881920884368</v>
      </c>
      <c r="AM147" s="559">
        <f t="shared" si="275"/>
        <v>370</v>
      </c>
      <c r="AN147" s="469">
        <f t="shared" si="276"/>
        <v>350</v>
      </c>
      <c r="AP147" s="469">
        <f t="shared" si="277"/>
        <v>370</v>
      </c>
      <c r="AQ147" s="469">
        <f t="shared" si="278"/>
        <v>350</v>
      </c>
      <c r="AS147" s="5">
        <f t="shared" si="249"/>
        <v>2.8571428571428572</v>
      </c>
      <c r="AT147" s="5">
        <f t="shared" si="279"/>
        <v>1.2783452846029772</v>
      </c>
      <c r="AU147" s="5">
        <f t="shared" si="218"/>
        <v>1.57879757253988</v>
      </c>
      <c r="AV147" s="5"/>
      <c r="AW147" s="177">
        <f t="shared" si="219"/>
        <v>0.447420849611042</v>
      </c>
      <c r="AX147" s="177">
        <f t="shared" si="245"/>
        <v>5.8830000000000018</v>
      </c>
      <c r="AY147" s="177">
        <f t="shared" si="246"/>
        <v>0.90821179448954226</v>
      </c>
      <c r="AZ147" s="177">
        <f t="shared" si="250"/>
        <v>6.4775639731771202</v>
      </c>
      <c r="BA147" s="469">
        <f t="shared" si="280"/>
        <v>18.128571784263034</v>
      </c>
      <c r="BB147" s="469">
        <f t="shared" si="281"/>
        <v>9.0960349957912481</v>
      </c>
      <c r="BC147" s="5">
        <f t="shared" si="222"/>
        <v>1.0248335119995713</v>
      </c>
      <c r="BD147" s="469">
        <f t="shared" si="282"/>
        <v>78.323039715757318</v>
      </c>
      <c r="BF147" s="177">
        <f t="shared" si="251"/>
        <v>0.84630880941152564</v>
      </c>
      <c r="BG147" s="177">
        <f t="shared" si="247"/>
        <v>1.4107798845662929</v>
      </c>
      <c r="BI147" s="542">
        <f t="shared" si="224"/>
        <v>7.8786246097630949E-2</v>
      </c>
      <c r="BJ147" s="542">
        <f t="shared" si="225"/>
        <v>0.13748603535905021</v>
      </c>
      <c r="BK147" s="542">
        <f t="shared" si="226"/>
        <v>1.7499999999999998E-2</v>
      </c>
      <c r="BL147" s="542">
        <f t="shared" si="227"/>
        <v>0.10121127187500001</v>
      </c>
      <c r="BM147">
        <f t="shared" si="228"/>
        <v>3.48E-3</v>
      </c>
      <c r="BN147" s="469">
        <f t="shared" si="229"/>
        <v>338.46355333168117</v>
      </c>
      <c r="BO147" s="542">
        <f t="shared" si="230"/>
        <v>0.33300000000000002</v>
      </c>
      <c r="BR147" s="469">
        <f t="shared" si="231"/>
        <v>333</v>
      </c>
      <c r="BS147" s="542">
        <f t="shared" si="232"/>
        <v>0</v>
      </c>
      <c r="BT147" s="542">
        <f t="shared" si="233"/>
        <v>0</v>
      </c>
      <c r="BU147" s="542">
        <f t="shared" si="234"/>
        <v>0</v>
      </c>
      <c r="BV147" s="542">
        <f t="shared" si="235"/>
        <v>0</v>
      </c>
      <c r="BW147" s="469">
        <f t="shared" si="236"/>
        <v>0</v>
      </c>
      <c r="BX147" s="177">
        <f t="shared" si="237"/>
        <v>0.67146355333168117</v>
      </c>
      <c r="BY147" s="5">
        <f t="shared" si="238"/>
        <v>5.55</v>
      </c>
      <c r="BZ147" s="177">
        <f t="shared" si="239"/>
        <v>0.89207305522635383</v>
      </c>
      <c r="CA147" s="5">
        <f t="shared" si="240"/>
        <v>89.20730552263538</v>
      </c>
      <c r="CD147" s="576">
        <f t="shared" si="283"/>
        <v>-50</v>
      </c>
      <c r="CE147">
        <f t="shared" si="284"/>
        <v>-50</v>
      </c>
    </row>
    <row r="148" spans="5:83" x14ac:dyDescent="0.25">
      <c r="E148" s="174">
        <v>38</v>
      </c>
      <c r="F148" s="221">
        <f t="shared" si="285"/>
        <v>0.38</v>
      </c>
      <c r="G148" s="221"/>
      <c r="H148" s="221">
        <f t="shared" si="252"/>
        <v>5.7</v>
      </c>
      <c r="I148" s="555">
        <f t="shared" si="253"/>
        <v>12</v>
      </c>
      <c r="J148" s="451">
        <f t="shared" si="254"/>
        <v>23.85</v>
      </c>
      <c r="K148" s="451">
        <f t="shared" si="255"/>
        <v>35.85</v>
      </c>
      <c r="L148" s="451"/>
      <c r="M148" s="221">
        <f t="shared" si="256"/>
        <v>0.66527196652719667</v>
      </c>
      <c r="N148" s="176">
        <f t="shared" si="257"/>
        <v>15.547405857740586</v>
      </c>
      <c r="O148" s="176">
        <f t="shared" si="248"/>
        <v>5.7</v>
      </c>
      <c r="P148" s="221">
        <f t="shared" si="258"/>
        <v>1.0364937238493723</v>
      </c>
      <c r="Q148" s="221">
        <f t="shared" si="259"/>
        <v>15</v>
      </c>
      <c r="R148" s="221"/>
      <c r="S148" s="176">
        <f t="shared" si="260"/>
        <v>53.63203248937041</v>
      </c>
      <c r="T148" s="176">
        <f t="shared" si="261"/>
        <v>15</v>
      </c>
      <c r="U148" s="221">
        <f t="shared" si="262"/>
        <v>1.5031446540880504</v>
      </c>
      <c r="V148" s="221">
        <f t="shared" si="263"/>
        <v>0.87683438155136273</v>
      </c>
      <c r="W148" s="221">
        <f t="shared" si="264"/>
        <v>0.44117453159816988</v>
      </c>
      <c r="X148" s="201">
        <f t="shared" si="265"/>
        <v>350</v>
      </c>
      <c r="Y148" s="451">
        <f t="shared" si="203"/>
        <v>350</v>
      </c>
      <c r="AA148" s="221">
        <f t="shared" si="266"/>
        <v>3.2584749380923919</v>
      </c>
      <c r="AB148" s="177">
        <f t="shared" si="267"/>
        <v>0.95636580992229525</v>
      </c>
      <c r="AC148" s="177">
        <f t="shared" si="268"/>
        <v>0.81802718111106087</v>
      </c>
      <c r="AD148" s="177"/>
      <c r="AE148" s="177">
        <f t="shared" si="269"/>
        <v>0.24067085953878403</v>
      </c>
      <c r="AF148" s="559">
        <f t="shared" si="270"/>
        <v>2567.3493668734604</v>
      </c>
      <c r="AG148" s="542">
        <f t="shared" si="271"/>
        <v>5.1804402515723262E-2</v>
      </c>
      <c r="AI148" s="177">
        <f t="shared" si="272"/>
        <v>2.2208657991781462</v>
      </c>
      <c r="AJ148" s="177">
        <f t="shared" si="273"/>
        <v>2.2208657991781462</v>
      </c>
      <c r="AK148" s="177">
        <f t="shared" si="274"/>
        <v>2.2376783697615901</v>
      </c>
      <c r="AM148" s="559">
        <f t="shared" si="275"/>
        <v>380</v>
      </c>
      <c r="AN148" s="469">
        <f t="shared" si="276"/>
        <v>350</v>
      </c>
      <c r="AP148" s="469">
        <f t="shared" si="277"/>
        <v>380</v>
      </c>
      <c r="AQ148" s="469">
        <f t="shared" si="278"/>
        <v>350</v>
      </c>
      <c r="AS148" s="5">
        <f t="shared" si="249"/>
        <v>2.8571428571428572</v>
      </c>
      <c r="AT148" s="5">
        <f t="shared" si="279"/>
        <v>1.2955050495205853</v>
      </c>
      <c r="AU148" s="5">
        <f t="shared" si="218"/>
        <v>1.5616378076222719</v>
      </c>
      <c r="AV148" s="5"/>
      <c r="AW148" s="177">
        <f t="shared" si="219"/>
        <v>0.45342676733220483</v>
      </c>
      <c r="AX148" s="177">
        <f t="shared" si="245"/>
        <v>6.0420000000000034</v>
      </c>
      <c r="AY148" s="177">
        <f t="shared" si="246"/>
        <v>0.91039934938360945</v>
      </c>
      <c r="AZ148" s="177">
        <f t="shared" si="250"/>
        <v>6.6366479766168229</v>
      </c>
      <c r="BA148" s="469">
        <f t="shared" si="280"/>
        <v>18.128571784263034</v>
      </c>
      <c r="BB148" s="469">
        <f t="shared" si="281"/>
        <v>9.563546043771046</v>
      </c>
      <c r="BC148" s="5">
        <f t="shared" si="222"/>
        <v>1.0410918717481816</v>
      </c>
      <c r="BD148" s="469">
        <f t="shared" si="282"/>
        <v>79.58189038111361</v>
      </c>
      <c r="BF148" s="177">
        <f t="shared" si="251"/>
        <v>0.8634064048431257</v>
      </c>
      <c r="BG148" s="177">
        <f t="shared" si="247"/>
        <v>1.4219264322179592</v>
      </c>
      <c r="BI148" s="542">
        <f t="shared" si="224"/>
        <v>8.2001768191654459E-2</v>
      </c>
      <c r="BJ148" s="542">
        <f t="shared" si="225"/>
        <v>0.13933156807593897</v>
      </c>
      <c r="BK148" s="542">
        <f t="shared" si="226"/>
        <v>1.7499999999999998E-2</v>
      </c>
      <c r="BL148" s="542">
        <f t="shared" si="227"/>
        <v>0.10121127187500001</v>
      </c>
      <c r="BM148">
        <f t="shared" si="228"/>
        <v>3.48E-3</v>
      </c>
      <c r="BN148" s="469">
        <f t="shared" si="229"/>
        <v>343.52460814259337</v>
      </c>
      <c r="BO148" s="542">
        <f t="shared" si="230"/>
        <v>0.34200000000000003</v>
      </c>
      <c r="BR148" s="469">
        <f t="shared" si="231"/>
        <v>342</v>
      </c>
      <c r="BS148" s="542">
        <f t="shared" si="232"/>
        <v>0</v>
      </c>
      <c r="BT148" s="542">
        <f t="shared" si="233"/>
        <v>0</v>
      </c>
      <c r="BU148" s="542">
        <f t="shared" si="234"/>
        <v>0</v>
      </c>
      <c r="BV148" s="542">
        <f t="shared" si="235"/>
        <v>0</v>
      </c>
      <c r="BW148" s="469">
        <f t="shared" si="236"/>
        <v>0</v>
      </c>
      <c r="BX148" s="177">
        <f t="shared" si="237"/>
        <v>0.68552460814259342</v>
      </c>
      <c r="BY148" s="5">
        <f t="shared" si="238"/>
        <v>5.7</v>
      </c>
      <c r="BZ148" s="177">
        <f t="shared" si="239"/>
        <v>0.89264396424556303</v>
      </c>
      <c r="CA148" s="5">
        <f t="shared" si="240"/>
        <v>89.26439642455631</v>
      </c>
      <c r="CD148" s="576">
        <f t="shared" si="283"/>
        <v>-50</v>
      </c>
      <c r="CE148">
        <f t="shared" si="284"/>
        <v>-50</v>
      </c>
    </row>
    <row r="149" spans="5:83" x14ac:dyDescent="0.25">
      <c r="E149" s="174">
        <v>39</v>
      </c>
      <c r="F149" s="221">
        <f t="shared" si="285"/>
        <v>0.39</v>
      </c>
      <c r="G149" s="221"/>
      <c r="H149" s="221">
        <f t="shared" si="252"/>
        <v>5.8500000000000005</v>
      </c>
      <c r="I149" s="555">
        <f t="shared" si="253"/>
        <v>12</v>
      </c>
      <c r="J149" s="451">
        <f t="shared" si="254"/>
        <v>23.85</v>
      </c>
      <c r="K149" s="451">
        <f t="shared" si="255"/>
        <v>35.85</v>
      </c>
      <c r="L149" s="451"/>
      <c r="M149" s="221">
        <f t="shared" si="256"/>
        <v>0.66527196652719667</v>
      </c>
      <c r="N149" s="176">
        <f t="shared" si="257"/>
        <v>15.547405857740586</v>
      </c>
      <c r="O149" s="176">
        <f t="shared" si="248"/>
        <v>5.8500000000000005</v>
      </c>
      <c r="P149" s="221">
        <f t="shared" si="258"/>
        <v>1.0364937238493723</v>
      </c>
      <c r="Q149" s="221">
        <f t="shared" si="259"/>
        <v>15</v>
      </c>
      <c r="R149" s="221"/>
      <c r="S149" s="176">
        <f t="shared" si="260"/>
        <v>52.059031072053017</v>
      </c>
      <c r="T149" s="176">
        <f t="shared" si="261"/>
        <v>15</v>
      </c>
      <c r="U149" s="221">
        <f t="shared" si="262"/>
        <v>1.5427010923535256</v>
      </c>
      <c r="V149" s="221">
        <f t="shared" si="263"/>
        <v>0.89990897053955643</v>
      </c>
      <c r="W149" s="221">
        <f t="shared" si="264"/>
        <v>0.45278438769285861</v>
      </c>
      <c r="X149" s="201">
        <f t="shared" si="265"/>
        <v>350</v>
      </c>
      <c r="Y149" s="451">
        <f t="shared" si="203"/>
        <v>350</v>
      </c>
      <c r="AA149" s="221">
        <f t="shared" si="266"/>
        <v>3.2584749380923919</v>
      </c>
      <c r="AB149" s="177">
        <f t="shared" si="267"/>
        <v>0.95636580992229525</v>
      </c>
      <c r="AC149" s="177">
        <f t="shared" si="268"/>
        <v>0.81802718111106087</v>
      </c>
      <c r="AD149" s="177"/>
      <c r="AE149" s="177">
        <f t="shared" si="269"/>
        <v>0.24067085953878403</v>
      </c>
      <c r="AF149" s="559">
        <f t="shared" si="270"/>
        <v>2634.9111923174987</v>
      </c>
      <c r="AG149" s="542">
        <f t="shared" si="271"/>
        <v>5.1804402515723262E-2</v>
      </c>
      <c r="AI149" s="177">
        <f t="shared" si="272"/>
        <v>2.2498979568697184</v>
      </c>
      <c r="AJ149" s="177">
        <f t="shared" si="273"/>
        <v>2.2498979568697184</v>
      </c>
      <c r="AK149" s="177">
        <f t="shared" si="274"/>
        <v>2.2591836717553471</v>
      </c>
      <c r="AM149" s="559">
        <f t="shared" si="275"/>
        <v>390</v>
      </c>
      <c r="AN149" s="469">
        <f t="shared" si="276"/>
        <v>350</v>
      </c>
      <c r="AP149" s="469">
        <f t="shared" si="277"/>
        <v>390</v>
      </c>
      <c r="AQ149" s="469">
        <f t="shared" si="278"/>
        <v>350</v>
      </c>
      <c r="AS149" s="5">
        <f t="shared" si="249"/>
        <v>2.8571428571428572</v>
      </c>
      <c r="AT149" s="5">
        <f t="shared" si="279"/>
        <v>1.3124404748406691</v>
      </c>
      <c r="AU149" s="5">
        <f t="shared" si="218"/>
        <v>1.5447023823021881</v>
      </c>
      <c r="AV149" s="5"/>
      <c r="AW149" s="177">
        <f t="shared" si="219"/>
        <v>0.45935416619423414</v>
      </c>
      <c r="AX149" s="177">
        <f t="shared" si="245"/>
        <v>6.2010000000000032</v>
      </c>
      <c r="AY149" s="177">
        <f t="shared" si="246"/>
        <v>0.91229846765228839</v>
      </c>
      <c r="AZ149" s="177">
        <f t="shared" si="250"/>
        <v>6.7971176318619442</v>
      </c>
      <c r="BA149" s="469">
        <f t="shared" si="280"/>
        <v>18.128571784263034</v>
      </c>
      <c r="BB149" s="469">
        <f t="shared" si="281"/>
        <v>10.042724053030307</v>
      </c>
      <c r="BC149" s="5">
        <f t="shared" si="222"/>
        <v>1.0569016299962339</v>
      </c>
      <c r="BD149" s="469">
        <f t="shared" si="282"/>
        <v>80.807095933928068</v>
      </c>
      <c r="BF149" s="177">
        <f t="shared" si="251"/>
        <v>0.88039187078347003</v>
      </c>
      <c r="BG149" s="177">
        <f t="shared" si="247"/>
        <v>1.4326822601073339</v>
      </c>
      <c r="BI149" s="542">
        <f t="shared" si="224"/>
        <v>8.5259883075578011E-2</v>
      </c>
      <c r="BJ149" s="542">
        <f t="shared" si="225"/>
        <v>0.14115297306911398</v>
      </c>
      <c r="BK149" s="542">
        <f t="shared" si="226"/>
        <v>1.7499999999999998E-2</v>
      </c>
      <c r="BL149" s="542">
        <f t="shared" si="227"/>
        <v>0.10121127187500001</v>
      </c>
      <c r="BM149">
        <f t="shared" si="228"/>
        <v>3.48E-3</v>
      </c>
      <c r="BN149" s="469">
        <f t="shared" si="229"/>
        <v>348.60412801969193</v>
      </c>
      <c r="BO149" s="542">
        <f t="shared" si="230"/>
        <v>0.35100000000000003</v>
      </c>
      <c r="BR149" s="469">
        <f t="shared" si="231"/>
        <v>351.00000000000006</v>
      </c>
      <c r="BS149" s="542">
        <f t="shared" si="232"/>
        <v>0</v>
      </c>
      <c r="BT149" s="542">
        <f t="shared" si="233"/>
        <v>0</v>
      </c>
      <c r="BU149" s="542">
        <f t="shared" si="234"/>
        <v>0</v>
      </c>
      <c r="BV149" s="542">
        <f t="shared" si="235"/>
        <v>0</v>
      </c>
      <c r="BW149" s="469">
        <f t="shared" si="236"/>
        <v>0</v>
      </c>
      <c r="BX149" s="177">
        <f t="shared" si="237"/>
        <v>0.69960412801969196</v>
      </c>
      <c r="BY149" s="5">
        <f t="shared" si="238"/>
        <v>5.8500000000000005</v>
      </c>
      <c r="BZ149" s="177">
        <f t="shared" si="239"/>
        <v>0.89318375365211256</v>
      </c>
      <c r="CA149" s="5">
        <f t="shared" si="240"/>
        <v>89.318375365211253</v>
      </c>
      <c r="CD149" s="576">
        <f t="shared" si="283"/>
        <v>-50</v>
      </c>
      <c r="CE149">
        <f t="shared" si="284"/>
        <v>-50</v>
      </c>
    </row>
    <row r="150" spans="5:83" x14ac:dyDescent="0.25">
      <c r="E150" s="174">
        <v>40</v>
      </c>
      <c r="F150" s="221">
        <f t="shared" si="285"/>
        <v>0.4</v>
      </c>
      <c r="G150" s="221"/>
      <c r="H150" s="221">
        <f t="shared" si="252"/>
        <v>6</v>
      </c>
      <c r="I150" s="555">
        <f t="shared" si="253"/>
        <v>12</v>
      </c>
      <c r="J150" s="451">
        <f t="shared" si="254"/>
        <v>23.85</v>
      </c>
      <c r="K150" s="451">
        <f t="shared" si="255"/>
        <v>35.85</v>
      </c>
      <c r="L150" s="451"/>
      <c r="M150" s="221">
        <f t="shared" si="256"/>
        <v>0.66527196652719667</v>
      </c>
      <c r="N150" s="176">
        <f t="shared" si="257"/>
        <v>15.547405857740586</v>
      </c>
      <c r="O150" s="176">
        <f t="shared" si="248"/>
        <v>6</v>
      </c>
      <c r="P150" s="221">
        <f t="shared" si="258"/>
        <v>1.0364937238493723</v>
      </c>
      <c r="Q150" s="221">
        <f t="shared" si="259"/>
        <v>15</v>
      </c>
      <c r="R150" s="221"/>
      <c r="S150" s="176">
        <f t="shared" si="260"/>
        <v>50.564901172177748</v>
      </c>
      <c r="T150" s="176">
        <f t="shared" si="261"/>
        <v>15</v>
      </c>
      <c r="U150" s="221">
        <f t="shared" si="262"/>
        <v>1.5822575306190005</v>
      </c>
      <c r="V150" s="221">
        <f t="shared" si="263"/>
        <v>0.92298355952775035</v>
      </c>
      <c r="W150" s="221">
        <f t="shared" si="264"/>
        <v>0.46439424378754729</v>
      </c>
      <c r="X150" s="201">
        <f t="shared" si="265"/>
        <v>350</v>
      </c>
      <c r="Y150" s="451">
        <f t="shared" si="203"/>
        <v>350</v>
      </c>
      <c r="AA150" s="221">
        <f t="shared" si="266"/>
        <v>3.2584749380923919</v>
      </c>
      <c r="AB150" s="177">
        <f t="shared" si="267"/>
        <v>0.95636580992229525</v>
      </c>
      <c r="AC150" s="177">
        <f t="shared" si="268"/>
        <v>0.81802718111106087</v>
      </c>
      <c r="AD150" s="177"/>
      <c r="AE150" s="177">
        <f t="shared" si="269"/>
        <v>0.24067085953878403</v>
      </c>
      <c r="AF150" s="559">
        <f t="shared" si="270"/>
        <v>2702.4730177615374</v>
      </c>
      <c r="AG150" s="542">
        <f t="shared" si="271"/>
        <v>5.1804402515723262E-2</v>
      </c>
      <c r="AI150" s="177">
        <f t="shared" si="272"/>
        <v>2.278560232843073</v>
      </c>
      <c r="AJ150" s="177">
        <f t="shared" si="273"/>
        <v>2.278560232843073</v>
      </c>
      <c r="AK150" s="177">
        <f t="shared" si="274"/>
        <v>2.2804149872911652</v>
      </c>
      <c r="AM150" s="559">
        <f t="shared" si="275"/>
        <v>400</v>
      </c>
      <c r="AN150" s="469">
        <f t="shared" si="276"/>
        <v>350</v>
      </c>
      <c r="AP150" s="469">
        <f t="shared" si="277"/>
        <v>400</v>
      </c>
      <c r="AQ150" s="469">
        <f t="shared" si="278"/>
        <v>350</v>
      </c>
      <c r="AS150" s="5">
        <f t="shared" si="249"/>
        <v>2.8571428571428572</v>
      </c>
      <c r="AT150" s="5">
        <f t="shared" si="279"/>
        <v>1.3291601358251259</v>
      </c>
      <c r="AU150" s="5">
        <f t="shared" si="218"/>
        <v>1.5279827213177313</v>
      </c>
      <c r="AV150" s="5"/>
      <c r="AW150" s="177">
        <f t="shared" si="219"/>
        <v>0.46520604753879408</v>
      </c>
      <c r="AX150" s="177">
        <f t="shared" si="245"/>
        <v>6.3600000000000012</v>
      </c>
      <c r="AY150" s="177">
        <f t="shared" si="246"/>
        <v>0.91392017463230457</v>
      </c>
      <c r="AZ150" s="177">
        <f t="shared" si="250"/>
        <v>6.9590322837099041</v>
      </c>
      <c r="BA150" s="469">
        <f t="shared" si="280"/>
        <v>18.128571784263034</v>
      </c>
      <c r="BB150" s="469">
        <f t="shared" si="281"/>
        <v>10.533569023569029</v>
      </c>
      <c r="BC150" s="5">
        <f t="shared" si="222"/>
        <v>1.0722685763633202</v>
      </c>
      <c r="BD150" s="469">
        <f t="shared" si="282"/>
        <v>81.999090595670069</v>
      </c>
      <c r="BF150" s="177">
        <f t="shared" si="251"/>
        <v>0.89726879042526564</v>
      </c>
      <c r="BG150" s="177">
        <f t="shared" si="247"/>
        <v>1.4430600008004399</v>
      </c>
      <c r="BI150" s="542">
        <f t="shared" si="224"/>
        <v>8.8560041049834129E-2</v>
      </c>
      <c r="BJ150" s="542">
        <f t="shared" si="225"/>
        <v>0.14295117260799228</v>
      </c>
      <c r="BK150" s="542">
        <f t="shared" si="226"/>
        <v>1.7499999999999998E-2</v>
      </c>
      <c r="BL150" s="542">
        <f t="shared" si="227"/>
        <v>0.10121127187500001</v>
      </c>
      <c r="BM150">
        <f t="shared" si="228"/>
        <v>3.48E-3</v>
      </c>
      <c r="BN150" s="469">
        <f t="shared" si="229"/>
        <v>353.70248553282642</v>
      </c>
      <c r="BO150" s="542">
        <f t="shared" si="230"/>
        <v>0.36000000000000004</v>
      </c>
      <c r="BR150" s="469">
        <f t="shared" si="231"/>
        <v>360.00000000000006</v>
      </c>
      <c r="BS150" s="542">
        <f t="shared" si="232"/>
        <v>0</v>
      </c>
      <c r="BT150" s="542">
        <f t="shared" si="233"/>
        <v>0</v>
      </c>
      <c r="BU150" s="542">
        <f t="shared" si="234"/>
        <v>0</v>
      </c>
      <c r="BV150" s="542">
        <f t="shared" si="235"/>
        <v>0</v>
      </c>
      <c r="BW150" s="469">
        <f t="shared" si="236"/>
        <v>0</v>
      </c>
      <c r="BX150" s="177">
        <f t="shared" si="237"/>
        <v>0.71370248553282645</v>
      </c>
      <c r="BY150" s="5">
        <f t="shared" si="238"/>
        <v>6</v>
      </c>
      <c r="BZ150" s="177">
        <f t="shared" si="239"/>
        <v>0.89369465104079848</v>
      </c>
      <c r="CA150" s="5">
        <f t="shared" si="240"/>
        <v>89.36946510407985</v>
      </c>
      <c r="CD150" s="576">
        <f t="shared" si="283"/>
        <v>-50</v>
      </c>
      <c r="CE150">
        <f t="shared" si="284"/>
        <v>-50</v>
      </c>
    </row>
    <row r="151" spans="5:83" x14ac:dyDescent="0.25">
      <c r="E151" s="174">
        <v>41</v>
      </c>
      <c r="F151" s="221">
        <f t="shared" si="285"/>
        <v>0.41</v>
      </c>
      <c r="G151" s="221"/>
      <c r="H151" s="221">
        <f t="shared" si="252"/>
        <v>6.1499999999999995</v>
      </c>
      <c r="I151" s="555">
        <f t="shared" si="253"/>
        <v>12</v>
      </c>
      <c r="J151" s="451">
        <f t="shared" si="254"/>
        <v>23.85</v>
      </c>
      <c r="K151" s="451">
        <f t="shared" si="255"/>
        <v>35.85</v>
      </c>
      <c r="L151" s="451"/>
      <c r="M151" s="221">
        <f t="shared" si="256"/>
        <v>0.66527196652719667</v>
      </c>
      <c r="N151" s="176">
        <f t="shared" si="257"/>
        <v>15.547405857740586</v>
      </c>
      <c r="O151" s="176">
        <f t="shared" si="248"/>
        <v>6.1499999999999995</v>
      </c>
      <c r="P151" s="221">
        <f t="shared" si="258"/>
        <v>1.0364937238493723</v>
      </c>
      <c r="Q151" s="221">
        <f t="shared" si="259"/>
        <v>15</v>
      </c>
      <c r="R151" s="221"/>
      <c r="S151" s="176">
        <f t="shared" si="260"/>
        <v>49.143873754364826</v>
      </c>
      <c r="T151" s="176">
        <f t="shared" si="261"/>
        <v>15</v>
      </c>
      <c r="U151" s="221">
        <f t="shared" si="262"/>
        <v>1.6218139688844753</v>
      </c>
      <c r="V151" s="221">
        <f t="shared" si="263"/>
        <v>0.94605814851594394</v>
      </c>
      <c r="W151" s="221">
        <f t="shared" si="264"/>
        <v>0.47600409988223591</v>
      </c>
      <c r="X151" s="201">
        <f t="shared" si="265"/>
        <v>350</v>
      </c>
      <c r="Y151" s="451">
        <f t="shared" si="203"/>
        <v>350</v>
      </c>
      <c r="AA151" s="221">
        <f t="shared" si="266"/>
        <v>3.2584749380923919</v>
      </c>
      <c r="AB151" s="177">
        <f t="shared" si="267"/>
        <v>0.95636580992229525</v>
      </c>
      <c r="AC151" s="177">
        <f t="shared" si="268"/>
        <v>0.81802718111106087</v>
      </c>
      <c r="AD151" s="177"/>
      <c r="AE151" s="177">
        <f t="shared" si="269"/>
        <v>0.24067085953878403</v>
      </c>
      <c r="AF151" s="559">
        <f t="shared" si="270"/>
        <v>2770.0348432055753</v>
      </c>
      <c r="AG151" s="542">
        <f t="shared" si="271"/>
        <v>5.1804402515723262E-2</v>
      </c>
      <c r="AI151" s="177">
        <f t="shared" si="272"/>
        <v>2.3068664142210804</v>
      </c>
      <c r="AJ151" s="177">
        <f t="shared" si="273"/>
        <v>2.3068664142210804</v>
      </c>
      <c r="AK151" s="177">
        <f t="shared" si="274"/>
        <v>2.3013825290526522</v>
      </c>
      <c r="AM151" s="559">
        <f t="shared" si="275"/>
        <v>410</v>
      </c>
      <c r="AN151" s="469">
        <f t="shared" si="276"/>
        <v>350</v>
      </c>
      <c r="AP151" s="469">
        <f t="shared" si="277"/>
        <v>410</v>
      </c>
      <c r="AQ151" s="469">
        <f t="shared" si="278"/>
        <v>350</v>
      </c>
      <c r="AS151" s="5">
        <f t="shared" si="249"/>
        <v>2.8571428571428572</v>
      </c>
      <c r="AT151" s="5">
        <f t="shared" si="279"/>
        <v>1.345672074962297</v>
      </c>
      <c r="AU151" s="5">
        <f t="shared" si="218"/>
        <v>1.5114707821805602</v>
      </c>
      <c r="AV151" s="5"/>
      <c r="AW151" s="177">
        <f t="shared" si="219"/>
        <v>0.47098522623680394</v>
      </c>
      <c r="AX151" s="177">
        <f t="shared" si="245"/>
        <v>6.5190000000000001</v>
      </c>
      <c r="AY151" s="177">
        <f t="shared" si="246"/>
        <v>0.91527481066581018</v>
      </c>
      <c r="AZ151" s="177">
        <f t="shared" si="250"/>
        <v>7.1224510103777465</v>
      </c>
      <c r="BA151" s="469">
        <f t="shared" si="280"/>
        <v>18.128571784263034</v>
      </c>
      <c r="BB151" s="469">
        <f t="shared" si="281"/>
        <v>11.036080955387208</v>
      </c>
      <c r="BC151" s="5">
        <f t="shared" si="222"/>
        <v>1.0871982819193502</v>
      </c>
      <c r="BD151" s="469">
        <f t="shared" si="282"/>
        <v>83.158292196582849</v>
      </c>
      <c r="BF151" s="177">
        <f t="shared" si="251"/>
        <v>0.91404054597360984</v>
      </c>
      <c r="BG151" s="177">
        <f t="shared" si="247"/>
        <v>1.4530714781136942</v>
      </c>
      <c r="BI151" s="542">
        <f t="shared" si="224"/>
        <v>9.1901713165210827E-2</v>
      </c>
      <c r="BJ151" s="542">
        <f t="shared" si="225"/>
        <v>0.14472703166219505</v>
      </c>
      <c r="BK151" s="542">
        <f t="shared" si="226"/>
        <v>1.7499999999999998E-2</v>
      </c>
      <c r="BL151" s="542">
        <f t="shared" si="227"/>
        <v>0.10121127187500001</v>
      </c>
      <c r="BM151">
        <f t="shared" si="228"/>
        <v>3.48E-3</v>
      </c>
      <c r="BN151" s="469">
        <f t="shared" si="229"/>
        <v>358.82001670240589</v>
      </c>
      <c r="BO151" s="542">
        <f t="shared" si="230"/>
        <v>0.36899999999999999</v>
      </c>
      <c r="BR151" s="469">
        <f t="shared" si="231"/>
        <v>369</v>
      </c>
      <c r="BS151" s="542">
        <f t="shared" si="232"/>
        <v>0</v>
      </c>
      <c r="BT151" s="542">
        <f t="shared" si="233"/>
        <v>0</v>
      </c>
      <c r="BU151" s="542">
        <f t="shared" si="234"/>
        <v>0</v>
      </c>
      <c r="BV151" s="542">
        <f t="shared" si="235"/>
        <v>0</v>
      </c>
      <c r="BW151" s="469">
        <f t="shared" si="236"/>
        <v>0</v>
      </c>
      <c r="BX151" s="177">
        <f t="shared" si="237"/>
        <v>0.72782001670240581</v>
      </c>
      <c r="BY151" s="5">
        <f t="shared" si="238"/>
        <v>6.1499999999999995</v>
      </c>
      <c r="BZ151" s="177">
        <f t="shared" si="239"/>
        <v>0.89417867653777861</v>
      </c>
      <c r="CA151" s="5">
        <f t="shared" si="240"/>
        <v>89.417867653777861</v>
      </c>
      <c r="CD151" s="576">
        <f t="shared" si="283"/>
        <v>-50</v>
      </c>
      <c r="CE151">
        <f t="shared" si="284"/>
        <v>-50</v>
      </c>
    </row>
    <row r="152" spans="5:83" x14ac:dyDescent="0.25">
      <c r="E152" s="174">
        <v>42</v>
      </c>
      <c r="F152" s="221">
        <f t="shared" si="285"/>
        <v>0.42</v>
      </c>
      <c r="G152" s="221"/>
      <c r="H152" s="221">
        <f t="shared" si="252"/>
        <v>6.3</v>
      </c>
      <c r="I152" s="555">
        <f t="shared" si="253"/>
        <v>12</v>
      </c>
      <c r="J152" s="451">
        <f t="shared" si="254"/>
        <v>23.85</v>
      </c>
      <c r="K152" s="451">
        <f t="shared" si="255"/>
        <v>35.85</v>
      </c>
      <c r="L152" s="451"/>
      <c r="M152" s="221">
        <f t="shared" si="256"/>
        <v>0.66527196652719667</v>
      </c>
      <c r="N152" s="176">
        <f t="shared" si="257"/>
        <v>15.547405857740586</v>
      </c>
      <c r="O152" s="176">
        <f t="shared" si="248"/>
        <v>6.3</v>
      </c>
      <c r="P152" s="221">
        <f t="shared" si="258"/>
        <v>1.0364937238493723</v>
      </c>
      <c r="Q152" s="221">
        <f t="shared" si="259"/>
        <v>15</v>
      </c>
      <c r="R152" s="221"/>
      <c r="S152" s="176">
        <f t="shared" si="260"/>
        <v>47.790729235001216</v>
      </c>
      <c r="T152" s="176">
        <f t="shared" si="261"/>
        <v>15</v>
      </c>
      <c r="U152" s="221">
        <f t="shared" si="262"/>
        <v>1.6613704071499504</v>
      </c>
      <c r="V152" s="221">
        <f t="shared" si="263"/>
        <v>0.96913273750413775</v>
      </c>
      <c r="W152" s="221">
        <f t="shared" si="264"/>
        <v>0.48761395597692464</v>
      </c>
      <c r="X152" s="201">
        <f t="shared" si="265"/>
        <v>350</v>
      </c>
      <c r="Y152" s="451">
        <f t="shared" si="203"/>
        <v>350</v>
      </c>
      <c r="AA152" s="221">
        <f t="shared" si="266"/>
        <v>3.2584749380923919</v>
      </c>
      <c r="AB152" s="177">
        <f t="shared" si="267"/>
        <v>0.95636580992229525</v>
      </c>
      <c r="AC152" s="177">
        <f t="shared" si="268"/>
        <v>0.81802718111106087</v>
      </c>
      <c r="AD152" s="177"/>
      <c r="AE152" s="177">
        <f t="shared" si="269"/>
        <v>0.24067085953878403</v>
      </c>
      <c r="AF152" s="559">
        <f t="shared" si="270"/>
        <v>2837.596668649614</v>
      </c>
      <c r="AG152" s="542">
        <f t="shared" si="271"/>
        <v>5.1804402515723262E-2</v>
      </c>
      <c r="AI152" s="177">
        <f t="shared" si="272"/>
        <v>2.3348294523216406</v>
      </c>
      <c r="AJ152" s="177">
        <f t="shared" si="273"/>
        <v>2.3348294523216406</v>
      </c>
      <c r="AK152" s="177">
        <f t="shared" si="274"/>
        <v>2.3220958906086229</v>
      </c>
      <c r="AM152" s="559">
        <f t="shared" si="275"/>
        <v>420</v>
      </c>
      <c r="AN152" s="469">
        <f t="shared" si="276"/>
        <v>350</v>
      </c>
      <c r="AP152" s="469">
        <f t="shared" si="277"/>
        <v>420</v>
      </c>
      <c r="AQ152" s="469">
        <f t="shared" si="278"/>
        <v>350</v>
      </c>
      <c r="AS152" s="5">
        <f t="shared" si="249"/>
        <v>2.8571428571428572</v>
      </c>
      <c r="AT152" s="5">
        <f t="shared" si="279"/>
        <v>1.3619838471876238</v>
      </c>
      <c r="AU152" s="5">
        <f t="shared" si="218"/>
        <v>1.4951590099552334</v>
      </c>
      <c r="AV152" s="5"/>
      <c r="AW152" s="177">
        <f t="shared" si="219"/>
        <v>0.47669434651566833</v>
      </c>
      <c r="AX152" s="177">
        <f t="shared" si="245"/>
        <v>6.6779999999999999</v>
      </c>
      <c r="AY152" s="177">
        <f t="shared" si="246"/>
        <v>0.91637208924123026</v>
      </c>
      <c r="AZ152" s="177">
        <f t="shared" si="250"/>
        <v>7.2874327780208619</v>
      </c>
      <c r="BA152" s="469">
        <f t="shared" si="280"/>
        <v>18.128571784263034</v>
      </c>
      <c r="BB152" s="469">
        <f t="shared" si="281"/>
        <v>11.550259848484849</v>
      </c>
      <c r="BC152" s="5">
        <f t="shared" si="222"/>
        <v>1.1016961125985931</v>
      </c>
      <c r="BD152" s="469">
        <f t="shared" si="282"/>
        <v>84.285103181736602</v>
      </c>
      <c r="BF152" s="177">
        <f t="shared" si="251"/>
        <v>0.93071033453557872</v>
      </c>
      <c r="BG152" s="177">
        <f t="shared" si="247"/>
        <v>1.4627277748254934</v>
      </c>
      <c r="BI152" s="542">
        <f t="shared" si="224"/>
        <v>9.5284389949246165E-2</v>
      </c>
      <c r="BJ152" s="542">
        <f t="shared" si="225"/>
        <v>0.14648136276502893</v>
      </c>
      <c r="BK152" s="542">
        <f t="shared" si="226"/>
        <v>1.7499999999999998E-2</v>
      </c>
      <c r="BL152" s="542">
        <f t="shared" si="227"/>
        <v>0.10121127187500001</v>
      </c>
      <c r="BM152">
        <f t="shared" si="228"/>
        <v>3.48E-3</v>
      </c>
      <c r="BN152" s="469">
        <f t="shared" si="229"/>
        <v>363.95702458927508</v>
      </c>
      <c r="BO152" s="542">
        <f t="shared" si="230"/>
        <v>0.378</v>
      </c>
      <c r="BR152" s="469">
        <f t="shared" si="231"/>
        <v>378</v>
      </c>
      <c r="BS152" s="542">
        <f t="shared" si="232"/>
        <v>0</v>
      </c>
      <c r="BT152" s="542">
        <f t="shared" si="233"/>
        <v>0</v>
      </c>
      <c r="BU152" s="542">
        <f t="shared" si="234"/>
        <v>0</v>
      </c>
      <c r="BV152" s="542">
        <f t="shared" si="235"/>
        <v>0</v>
      </c>
      <c r="BW152" s="469">
        <f t="shared" si="236"/>
        <v>0</v>
      </c>
      <c r="BX152" s="177">
        <f t="shared" si="237"/>
        <v>0.74195702458927504</v>
      </c>
      <c r="BY152" s="5">
        <f t="shared" si="238"/>
        <v>6.3</v>
      </c>
      <c r="BZ152" s="177">
        <f t="shared" si="239"/>
        <v>0.89463766648979948</v>
      </c>
      <c r="CA152" s="5">
        <f t="shared" si="240"/>
        <v>89.463766648979941</v>
      </c>
      <c r="CD152" s="576">
        <f t="shared" si="283"/>
        <v>-50</v>
      </c>
      <c r="CE152">
        <f t="shared" si="284"/>
        <v>-50</v>
      </c>
    </row>
    <row r="153" spans="5:83" x14ac:dyDescent="0.25">
      <c r="E153" s="174">
        <v>43</v>
      </c>
      <c r="F153" s="221">
        <f t="shared" si="285"/>
        <v>0.43</v>
      </c>
      <c r="G153" s="221"/>
      <c r="H153" s="221">
        <f t="shared" si="252"/>
        <v>6.45</v>
      </c>
      <c r="I153" s="555">
        <f t="shared" si="253"/>
        <v>12</v>
      </c>
      <c r="J153" s="451">
        <f t="shared" si="254"/>
        <v>23.85</v>
      </c>
      <c r="K153" s="451">
        <f t="shared" si="255"/>
        <v>35.85</v>
      </c>
      <c r="L153" s="451"/>
      <c r="M153" s="221">
        <f t="shared" si="256"/>
        <v>0.66527196652719667</v>
      </c>
      <c r="N153" s="176">
        <f t="shared" si="257"/>
        <v>15.547405857740586</v>
      </c>
      <c r="O153" s="176">
        <f t="shared" si="248"/>
        <v>6.45</v>
      </c>
      <c r="P153" s="221">
        <f t="shared" si="258"/>
        <v>1.0364937238493723</v>
      </c>
      <c r="Q153" s="221">
        <f t="shared" si="259"/>
        <v>15</v>
      </c>
      <c r="R153" s="221"/>
      <c r="S153" s="176">
        <f t="shared" si="260"/>
        <v>46.500733592634226</v>
      </c>
      <c r="T153" s="176">
        <f t="shared" si="261"/>
        <v>15</v>
      </c>
      <c r="U153" s="221">
        <f t="shared" si="262"/>
        <v>1.7009268454154256</v>
      </c>
      <c r="V153" s="221">
        <f t="shared" si="263"/>
        <v>0.99220732649233168</v>
      </c>
      <c r="W153" s="221">
        <f t="shared" si="264"/>
        <v>0.49922381207161337</v>
      </c>
      <c r="X153" s="201">
        <f t="shared" si="265"/>
        <v>350</v>
      </c>
      <c r="Y153" s="451">
        <f t="shared" si="203"/>
        <v>350</v>
      </c>
      <c r="AA153" s="221">
        <f t="shared" si="266"/>
        <v>3.2584749380923919</v>
      </c>
      <c r="AB153" s="177">
        <f t="shared" si="267"/>
        <v>0.95636580992229525</v>
      </c>
      <c r="AC153" s="177">
        <f t="shared" si="268"/>
        <v>0.81802718111106087</v>
      </c>
      <c r="AD153" s="177"/>
      <c r="AE153" s="177">
        <f t="shared" si="269"/>
        <v>0.24067085953878403</v>
      </c>
      <c r="AF153" s="559">
        <f t="shared" si="270"/>
        <v>2905.1584940936523</v>
      </c>
      <c r="AG153" s="542">
        <f t="shared" si="271"/>
        <v>5.1804402515723262E-2</v>
      </c>
      <c r="AI153" s="177">
        <f t="shared" si="272"/>
        <v>2.3624615319187567</v>
      </c>
      <c r="AJ153" s="177">
        <f t="shared" si="273"/>
        <v>2.3624615319187567</v>
      </c>
      <c r="AK153" s="177">
        <f t="shared" si="274"/>
        <v>2.3425640977175979</v>
      </c>
      <c r="AM153" s="559">
        <f t="shared" si="275"/>
        <v>430</v>
      </c>
      <c r="AN153" s="469">
        <f t="shared" si="276"/>
        <v>350</v>
      </c>
      <c r="AP153" s="469">
        <f t="shared" si="277"/>
        <v>430</v>
      </c>
      <c r="AQ153" s="469">
        <f t="shared" si="278"/>
        <v>350</v>
      </c>
      <c r="AS153" s="5">
        <f t="shared" si="249"/>
        <v>2.8571428571428572</v>
      </c>
      <c r="AT153" s="5">
        <f t="shared" si="279"/>
        <v>1.3781025602859416</v>
      </c>
      <c r="AU153" s="5">
        <f t="shared" si="218"/>
        <v>1.4790402968569156</v>
      </c>
      <c r="AV153" s="5"/>
      <c r="AW153" s="177">
        <f t="shared" si="219"/>
        <v>0.48233589610007954</v>
      </c>
      <c r="AX153" s="177">
        <f t="shared" si="245"/>
        <v>6.8370000000000006</v>
      </c>
      <c r="AY153" s="177">
        <f t="shared" si="246"/>
        <v>0.91722114893906737</v>
      </c>
      <c r="AZ153" s="177">
        <f t="shared" si="250"/>
        <v>7.4540365842067979</v>
      </c>
      <c r="BA153" s="469">
        <f t="shared" si="280"/>
        <v>18.128571784263034</v>
      </c>
      <c r="BB153" s="469">
        <f t="shared" si="281"/>
        <v>12.076105702861955</v>
      </c>
      <c r="BC153" s="5">
        <f t="shared" si="222"/>
        <v>1.1157672414885502</v>
      </c>
      <c r="BD153" s="469">
        <f t="shared" si="282"/>
        <v>85.37991153269391</v>
      </c>
      <c r="BF153" s="177">
        <f t="shared" si="251"/>
        <v>0.94728118240598158</v>
      </c>
      <c r="BG153" s="177">
        <f t="shared" si="247"/>
        <v>1.4720392931681108</v>
      </c>
      <c r="BI153" s="542">
        <f t="shared" si="224"/>
        <v>9.8707580239452197E-2</v>
      </c>
      <c r="BJ153" s="542">
        <f t="shared" si="225"/>
        <v>0.14821493035875302</v>
      </c>
      <c r="BK153" s="542">
        <f t="shared" si="226"/>
        <v>1.7499999999999998E-2</v>
      </c>
      <c r="BL153" s="542">
        <f t="shared" si="227"/>
        <v>0.10121127187500001</v>
      </c>
      <c r="BM153">
        <f t="shared" si="228"/>
        <v>3.48E-3</v>
      </c>
      <c r="BN153" s="469">
        <f t="shared" si="229"/>
        <v>369.11378247320522</v>
      </c>
      <c r="BO153" s="542">
        <f t="shared" si="230"/>
        <v>0.38700000000000001</v>
      </c>
      <c r="BR153" s="469">
        <f t="shared" si="231"/>
        <v>387</v>
      </c>
      <c r="BS153" s="542">
        <f t="shared" si="232"/>
        <v>0</v>
      </c>
      <c r="BT153" s="542">
        <f t="shared" si="233"/>
        <v>0</v>
      </c>
      <c r="BU153" s="542">
        <f t="shared" si="234"/>
        <v>0</v>
      </c>
      <c r="BV153" s="542">
        <f t="shared" si="235"/>
        <v>0</v>
      </c>
      <c r="BW153" s="469">
        <f t="shared" si="236"/>
        <v>0</v>
      </c>
      <c r="BX153" s="177">
        <f t="shared" si="237"/>
        <v>0.75611378247320515</v>
      </c>
      <c r="BY153" s="5">
        <f t="shared" si="238"/>
        <v>6.45</v>
      </c>
      <c r="BZ153" s="177">
        <f t="shared" si="239"/>
        <v>0.89507329396987401</v>
      </c>
      <c r="CA153" s="5">
        <f t="shared" si="240"/>
        <v>89.507329396987402</v>
      </c>
      <c r="CD153" s="576">
        <f t="shared" si="283"/>
        <v>-50</v>
      </c>
      <c r="CE153">
        <f t="shared" si="284"/>
        <v>-50</v>
      </c>
    </row>
    <row r="154" spans="5:83" x14ac:dyDescent="0.25">
      <c r="E154" s="174">
        <v>44</v>
      </c>
      <c r="F154" s="221">
        <f t="shared" si="285"/>
        <v>0.44</v>
      </c>
      <c r="G154" s="221"/>
      <c r="H154" s="221">
        <f t="shared" si="252"/>
        <v>6.6</v>
      </c>
      <c r="I154" s="555">
        <f t="shared" si="253"/>
        <v>12</v>
      </c>
      <c r="J154" s="451">
        <f t="shared" si="254"/>
        <v>23.85</v>
      </c>
      <c r="K154" s="451">
        <f t="shared" si="255"/>
        <v>35.85</v>
      </c>
      <c r="L154" s="451"/>
      <c r="M154" s="221">
        <f t="shared" si="256"/>
        <v>0.66527196652719667</v>
      </c>
      <c r="N154" s="176">
        <f t="shared" si="257"/>
        <v>15.547405857740586</v>
      </c>
      <c r="O154" s="176">
        <f t="shared" si="248"/>
        <v>6.6</v>
      </c>
      <c r="P154" s="221">
        <f t="shared" si="258"/>
        <v>1.0364937238493723</v>
      </c>
      <c r="Q154" s="221">
        <f t="shared" si="259"/>
        <v>15</v>
      </c>
      <c r="R154" s="221"/>
      <c r="S154" s="176">
        <f t="shared" si="260"/>
        <v>45.269583190582573</v>
      </c>
      <c r="T154" s="176">
        <f t="shared" si="261"/>
        <v>15</v>
      </c>
      <c r="U154" s="221">
        <f t="shared" si="262"/>
        <v>1.7404832836809003</v>
      </c>
      <c r="V154" s="221">
        <f t="shared" si="263"/>
        <v>1.0152819154805253</v>
      </c>
      <c r="W154" s="221">
        <f t="shared" si="264"/>
        <v>0.51083366816630194</v>
      </c>
      <c r="X154" s="201">
        <f t="shared" si="265"/>
        <v>350</v>
      </c>
      <c r="Y154" s="451">
        <f t="shared" si="203"/>
        <v>350</v>
      </c>
      <c r="AA154" s="221">
        <f t="shared" si="266"/>
        <v>3.2584749380923919</v>
      </c>
      <c r="AB154" s="177">
        <f t="shared" si="267"/>
        <v>0.95636580992229525</v>
      </c>
      <c r="AC154" s="177">
        <f t="shared" si="268"/>
        <v>0.81802718111106087</v>
      </c>
      <c r="AD154" s="177"/>
      <c r="AE154" s="177">
        <f t="shared" si="269"/>
        <v>0.24067085953878403</v>
      </c>
      <c r="AF154" s="559">
        <f t="shared" si="270"/>
        <v>2972.720319537691</v>
      </c>
      <c r="AG154" s="542">
        <f t="shared" si="271"/>
        <v>5.1804402515723262E-2</v>
      </c>
      <c r="AI154" s="177">
        <f t="shared" si="272"/>
        <v>2.3897741332944555</v>
      </c>
      <c r="AJ154" s="177">
        <f t="shared" si="273"/>
        <v>2.3897741332944555</v>
      </c>
      <c r="AK154" s="177">
        <f t="shared" si="274"/>
        <v>2.3627956542921895</v>
      </c>
      <c r="AM154" s="559">
        <f t="shared" si="275"/>
        <v>440</v>
      </c>
      <c r="AN154" s="469">
        <f t="shared" si="276"/>
        <v>350</v>
      </c>
      <c r="AP154" s="469">
        <f t="shared" si="277"/>
        <v>440</v>
      </c>
      <c r="AQ154" s="469">
        <f t="shared" si="278"/>
        <v>350</v>
      </c>
      <c r="AS154" s="5">
        <f t="shared" si="249"/>
        <v>2.8571428571428572</v>
      </c>
      <c r="AT154" s="5">
        <f t="shared" si="279"/>
        <v>1.3940349110884325</v>
      </c>
      <c r="AU154" s="5">
        <f t="shared" si="218"/>
        <v>1.4631079460544247</v>
      </c>
      <c r="AV154" s="5"/>
      <c r="AW154" s="177">
        <f t="shared" si="219"/>
        <v>0.48791221888095138</v>
      </c>
      <c r="AX154" s="177">
        <f t="shared" si="245"/>
        <v>6.9960000000000013</v>
      </c>
      <c r="AY154" s="177">
        <f t="shared" si="246"/>
        <v>0.91783059997084149</v>
      </c>
      <c r="AZ154" s="177">
        <f t="shared" si="250"/>
        <v>7.622321592047876</v>
      </c>
      <c r="BA154" s="469">
        <f t="shared" si="280"/>
        <v>18.128571784263034</v>
      </c>
      <c r="BB154" s="469">
        <f t="shared" si="281"/>
        <v>12.613618518518523</v>
      </c>
      <c r="BC154" s="5">
        <f t="shared" si="222"/>
        <v>1.1294166601121876</v>
      </c>
      <c r="BD154" s="469">
        <f t="shared" si="282"/>
        <v>86.443091613677225</v>
      </c>
      <c r="BF154" s="177">
        <f t="shared" si="251"/>
        <v>0.96375595794463365</v>
      </c>
      <c r="BG154" s="177">
        <f t="shared" si="247"/>
        <v>1.4810158090163816</v>
      </c>
      <c r="BI154" s="542">
        <f t="shared" si="224"/>
        <v>0.10217081011211564</v>
      </c>
      <c r="BJ154" s="542">
        <f t="shared" si="225"/>
        <v>0.14992845468756091</v>
      </c>
      <c r="BK154" s="542">
        <f t="shared" si="226"/>
        <v>1.7499999999999998E-2</v>
      </c>
      <c r="BL154" s="542">
        <f t="shared" si="227"/>
        <v>0.10121127187500001</v>
      </c>
      <c r="BM154">
        <f t="shared" si="228"/>
        <v>3.48E-3</v>
      </c>
      <c r="BN154" s="469">
        <f t="shared" si="229"/>
        <v>374.29053667467656</v>
      </c>
      <c r="BO154" s="542">
        <f t="shared" si="230"/>
        <v>0.39600000000000002</v>
      </c>
      <c r="BR154" s="469">
        <f t="shared" si="231"/>
        <v>396</v>
      </c>
      <c r="BS154" s="542">
        <f t="shared" si="232"/>
        <v>0</v>
      </c>
      <c r="BT154" s="542">
        <f t="shared" si="233"/>
        <v>0</v>
      </c>
      <c r="BU154" s="542">
        <f t="shared" si="234"/>
        <v>0</v>
      </c>
      <c r="BV154" s="542">
        <f t="shared" si="235"/>
        <v>0</v>
      </c>
      <c r="BW154" s="469">
        <f t="shared" si="236"/>
        <v>0</v>
      </c>
      <c r="BX154" s="177">
        <f t="shared" si="237"/>
        <v>0.77029053667467662</v>
      </c>
      <c r="BY154" s="5">
        <f t="shared" si="238"/>
        <v>6.6</v>
      </c>
      <c r="BZ154" s="177">
        <f t="shared" si="239"/>
        <v>0.89548708658882592</v>
      </c>
      <c r="CA154" s="5">
        <f t="shared" si="240"/>
        <v>89.548708658882589</v>
      </c>
      <c r="CD154" s="576">
        <f t="shared" si="283"/>
        <v>-50</v>
      </c>
      <c r="CE154">
        <f t="shared" si="284"/>
        <v>-50</v>
      </c>
    </row>
    <row r="155" spans="5:83" x14ac:dyDescent="0.25">
      <c r="E155" s="174">
        <v>45</v>
      </c>
      <c r="F155" s="221">
        <f t="shared" si="285"/>
        <v>0.45</v>
      </c>
      <c r="G155" s="221"/>
      <c r="H155" s="221">
        <f t="shared" si="252"/>
        <v>6.75</v>
      </c>
      <c r="I155" s="555">
        <f t="shared" si="253"/>
        <v>12</v>
      </c>
      <c r="J155" s="451">
        <f t="shared" si="254"/>
        <v>23.85</v>
      </c>
      <c r="K155" s="451">
        <f t="shared" si="255"/>
        <v>35.85</v>
      </c>
      <c r="L155" s="451"/>
      <c r="M155" s="221">
        <f t="shared" si="256"/>
        <v>0.66527196652719667</v>
      </c>
      <c r="N155" s="176">
        <f t="shared" si="257"/>
        <v>15.547405857740586</v>
      </c>
      <c r="O155" s="176">
        <f t="shared" si="248"/>
        <v>6.75</v>
      </c>
      <c r="P155" s="221">
        <f t="shared" si="258"/>
        <v>1.0364937238493723</v>
      </c>
      <c r="Q155" s="221">
        <f t="shared" si="259"/>
        <v>15</v>
      </c>
      <c r="R155" s="221"/>
      <c r="S155" s="176">
        <f t="shared" si="260"/>
        <v>44.093356956530783</v>
      </c>
      <c r="T155" s="176">
        <f t="shared" si="261"/>
        <v>15</v>
      </c>
      <c r="U155" s="221">
        <f t="shared" si="262"/>
        <v>1.7800397219463755</v>
      </c>
      <c r="V155" s="221">
        <f t="shared" si="263"/>
        <v>1.0383565044687191</v>
      </c>
      <c r="W155" s="221">
        <f t="shared" si="264"/>
        <v>0.52244352426099072</v>
      </c>
      <c r="X155" s="201">
        <f t="shared" si="265"/>
        <v>350</v>
      </c>
      <c r="Y155" s="451">
        <f t="shared" si="203"/>
        <v>350</v>
      </c>
      <c r="AA155" s="221">
        <f t="shared" si="266"/>
        <v>3.2584749380923919</v>
      </c>
      <c r="AB155" s="177">
        <f t="shared" si="267"/>
        <v>0.95636580992229525</v>
      </c>
      <c r="AC155" s="177">
        <f t="shared" si="268"/>
        <v>0.81802718111106087</v>
      </c>
      <c r="AD155" s="177"/>
      <c r="AE155" s="177">
        <f t="shared" si="269"/>
        <v>0.24067085953878403</v>
      </c>
      <c r="AF155" s="559">
        <f t="shared" si="270"/>
        <v>3040.2821449817293</v>
      </c>
      <c r="AG155" s="542">
        <f t="shared" si="271"/>
        <v>5.1804402515723262E-2</v>
      </c>
      <c r="AI155" s="177">
        <f t="shared" si="272"/>
        <v>2.4167780879780034</v>
      </c>
      <c r="AJ155" s="177">
        <f t="shared" si="273"/>
        <v>2.4167780879780034</v>
      </c>
      <c r="AK155" s="177">
        <f t="shared" si="274"/>
        <v>2.3827985836874102</v>
      </c>
      <c r="AM155" s="559">
        <f t="shared" si="275"/>
        <v>450</v>
      </c>
      <c r="AN155" s="469">
        <f t="shared" si="276"/>
        <v>350</v>
      </c>
      <c r="AP155" s="469">
        <f t="shared" si="277"/>
        <v>450</v>
      </c>
      <c r="AQ155" s="469">
        <f t="shared" si="278"/>
        <v>350</v>
      </c>
      <c r="AS155" s="5">
        <f t="shared" si="249"/>
        <v>2.8571428571428572</v>
      </c>
      <c r="AT155" s="5">
        <f t="shared" si="279"/>
        <v>1.4097872179871687</v>
      </c>
      <c r="AU155" s="5">
        <f t="shared" si="218"/>
        <v>1.4473556391556885</v>
      </c>
      <c r="AV155" s="5"/>
      <c r="AW155" s="177">
        <f t="shared" si="219"/>
        <v>0.49342552629550901</v>
      </c>
      <c r="AX155" s="177">
        <f t="shared" si="245"/>
        <v>7.1550000000000029</v>
      </c>
      <c r="AY155" s="177">
        <f t="shared" si="246"/>
        <v>0.91820856598350242</v>
      </c>
      <c r="AZ155" s="177">
        <f t="shared" si="250"/>
        <v>7.7923472564604213</v>
      </c>
      <c r="BA155" s="469">
        <f t="shared" si="280"/>
        <v>18.128571784263034</v>
      </c>
      <c r="BB155" s="469">
        <f t="shared" si="281"/>
        <v>13.162798295454548</v>
      </c>
      <c r="BC155" s="5">
        <f t="shared" si="222"/>
        <v>1.1426491888071226</v>
      </c>
      <c r="BD155" s="469">
        <f t="shared" si="282"/>
        <v>87.475004950007886</v>
      </c>
      <c r="BF155" s="177">
        <f t="shared" si="251"/>
        <v>0.98013738321281096</v>
      </c>
      <c r="BG155" s="177">
        <f t="shared" si="247"/>
        <v>1.489666520555065</v>
      </c>
      <c r="BI155" s="542">
        <f t="shared" si="224"/>
        <v>0.10567362189683824</v>
      </c>
      <c r="BJ155" s="542">
        <f t="shared" si="225"/>
        <v>0.15162261529451998</v>
      </c>
      <c r="BK155" s="542">
        <f t="shared" si="226"/>
        <v>1.7499999999999998E-2</v>
      </c>
      <c r="BL155" s="542">
        <f t="shared" si="227"/>
        <v>0.10121127187500001</v>
      </c>
      <c r="BM155">
        <f t="shared" si="228"/>
        <v>3.48E-3</v>
      </c>
      <c r="BN155" s="469">
        <f t="shared" si="229"/>
        <v>379.4875090663582</v>
      </c>
      <c r="BO155" s="542">
        <f t="shared" si="230"/>
        <v>0.40500000000000003</v>
      </c>
      <c r="BR155" s="469">
        <f t="shared" si="231"/>
        <v>405</v>
      </c>
      <c r="BS155" s="542">
        <f t="shared" si="232"/>
        <v>0</v>
      </c>
      <c r="BT155" s="542">
        <f t="shared" si="233"/>
        <v>0</v>
      </c>
      <c r="BU155" s="542">
        <f t="shared" si="234"/>
        <v>0</v>
      </c>
      <c r="BV155" s="542">
        <f t="shared" si="235"/>
        <v>0</v>
      </c>
      <c r="BW155" s="469">
        <f t="shared" si="236"/>
        <v>0</v>
      </c>
      <c r="BX155" s="177">
        <f t="shared" si="237"/>
        <v>0.78448750906635822</v>
      </c>
      <c r="BY155" s="5">
        <f t="shared" si="238"/>
        <v>6.75</v>
      </c>
      <c r="BZ155" s="177">
        <f t="shared" si="239"/>
        <v>0.89588044201780503</v>
      </c>
      <c r="CA155" s="5">
        <f t="shared" si="240"/>
        <v>89.588044201780505</v>
      </c>
      <c r="CD155" s="576">
        <f t="shared" si="283"/>
        <v>-50</v>
      </c>
      <c r="CE155">
        <f t="shared" si="284"/>
        <v>-50</v>
      </c>
    </row>
    <row r="156" spans="5:83" s="76" customFormat="1" x14ac:dyDescent="0.25">
      <c r="E156" s="193">
        <v>46</v>
      </c>
      <c r="F156" s="333">
        <f t="shared" si="285"/>
        <v>0.46</v>
      </c>
      <c r="G156" s="333"/>
      <c r="H156" s="333">
        <f t="shared" si="252"/>
        <v>6.9</v>
      </c>
      <c r="I156" s="555">
        <f t="shared" si="253"/>
        <v>12</v>
      </c>
      <c r="J156" s="451">
        <f t="shared" si="254"/>
        <v>23.85</v>
      </c>
      <c r="K156" s="549">
        <f t="shared" si="255"/>
        <v>35.85</v>
      </c>
      <c r="L156" s="549"/>
      <c r="M156" s="333">
        <f t="shared" si="256"/>
        <v>0.66527196652719667</v>
      </c>
      <c r="N156" s="550">
        <f t="shared" si="257"/>
        <v>15.547405857740586</v>
      </c>
      <c r="O156" s="176">
        <f t="shared" si="248"/>
        <v>6.9</v>
      </c>
      <c r="P156" s="333">
        <f t="shared" si="258"/>
        <v>1.0364937238493723</v>
      </c>
      <c r="Q156" s="333">
        <f t="shared" si="259"/>
        <v>15</v>
      </c>
      <c r="R156" s="333"/>
      <c r="S156" s="176">
        <f t="shared" si="260"/>
        <v>42.968474799566124</v>
      </c>
      <c r="T156" s="176">
        <f t="shared" si="261"/>
        <v>15</v>
      </c>
      <c r="U156" s="221">
        <f t="shared" si="262"/>
        <v>1.8195961602118507</v>
      </c>
      <c r="V156" s="333">
        <f t="shared" si="263"/>
        <v>1.0614310934569129</v>
      </c>
      <c r="W156" s="333">
        <f t="shared" si="264"/>
        <v>0.5340533803556794</v>
      </c>
      <c r="X156" s="551">
        <f t="shared" si="265"/>
        <v>350</v>
      </c>
      <c r="Y156" s="549">
        <f t="shared" si="203"/>
        <v>350</v>
      </c>
      <c r="AA156" s="333">
        <f t="shared" si="266"/>
        <v>3.2584749380923919</v>
      </c>
      <c r="AB156" s="552">
        <f t="shared" si="267"/>
        <v>0.95636580992229525</v>
      </c>
      <c r="AC156" s="552">
        <f t="shared" si="268"/>
        <v>0.81802718111106087</v>
      </c>
      <c r="AD156" s="552"/>
      <c r="AE156" s="552">
        <f t="shared" si="269"/>
        <v>0.24067085953878403</v>
      </c>
      <c r="AF156" s="559">
        <f t="shared" si="270"/>
        <v>3107.843970425768</v>
      </c>
      <c r="AG156" s="595">
        <f t="shared" si="271"/>
        <v>5.1804402515723262E-2</v>
      </c>
      <c r="AI156" s="552">
        <f t="shared" si="272"/>
        <v>2.4434836289400348</v>
      </c>
      <c r="AJ156" s="552">
        <f t="shared" si="273"/>
        <v>2.4434836289400348</v>
      </c>
      <c r="AK156" s="552">
        <f t="shared" si="274"/>
        <v>2.4025804658815071</v>
      </c>
      <c r="AM156" s="578">
        <f t="shared" si="275"/>
        <v>460</v>
      </c>
      <c r="AN156" s="579">
        <f t="shared" si="276"/>
        <v>350</v>
      </c>
      <c r="AP156" s="76">
        <f t="shared" si="277"/>
        <v>460</v>
      </c>
      <c r="AQ156" s="76">
        <f t="shared" si="278"/>
        <v>350</v>
      </c>
      <c r="AS156" s="548">
        <f t="shared" si="249"/>
        <v>2.8571428571428572</v>
      </c>
      <c r="AT156" s="5">
        <f t="shared" si="279"/>
        <v>1.4253654502150201</v>
      </c>
      <c r="AU156" s="5">
        <f t="shared" si="218"/>
        <v>1.4317774069278371</v>
      </c>
      <c r="AV156" s="5"/>
      <c r="AW156" s="177">
        <f t="shared" si="219"/>
        <v>0.49887790757525702</v>
      </c>
      <c r="AX156" s="177">
        <f t="shared" si="245"/>
        <v>7.3140000000000018</v>
      </c>
      <c r="AY156" s="177">
        <f t="shared" si="246"/>
        <v>0.91836272170502598</v>
      </c>
      <c r="AZ156" s="177">
        <f t="shared" si="250"/>
        <v>7.9641734438228058</v>
      </c>
      <c r="BA156" s="469">
        <f t="shared" si="280"/>
        <v>18.128571784263034</v>
      </c>
      <c r="BB156" s="469">
        <f t="shared" si="281"/>
        <v>13.723645033670039</v>
      </c>
      <c r="BC156" s="5">
        <f t="shared" si="222"/>
        <v>1.1554694862926405</v>
      </c>
      <c r="BD156" s="469">
        <f t="shared" si="282"/>
        <v>88.476000945632265</v>
      </c>
      <c r="BF156" s="177">
        <f t="shared" si="251"/>
        <v>0.99642804451331779</v>
      </c>
      <c r="BG156" s="177">
        <f t="shared" si="247"/>
        <v>1.4980000920944712</v>
      </c>
      <c r="BI156" s="542">
        <f t="shared" si="224"/>
        <v>0.10921557326818979</v>
      </c>
      <c r="BJ156" s="542">
        <f t="shared" si="225"/>
        <v>0.15329805417062545</v>
      </c>
      <c r="BK156" s="542">
        <f t="shared" si="226"/>
        <v>1.7499999999999998E-2</v>
      </c>
      <c r="BL156" s="542">
        <f t="shared" si="227"/>
        <v>0.10121127187500001</v>
      </c>
      <c r="BM156">
        <f t="shared" si="228"/>
        <v>3.48E-3</v>
      </c>
      <c r="BN156" s="469">
        <f t="shared" si="229"/>
        <v>384.70489931381525</v>
      </c>
      <c r="BO156" s="542">
        <f t="shared" si="230"/>
        <v>0.41400000000000003</v>
      </c>
      <c r="BR156" s="469">
        <f t="shared" si="231"/>
        <v>414.00000000000006</v>
      </c>
      <c r="BS156" s="542">
        <f t="shared" si="232"/>
        <v>0</v>
      </c>
      <c r="BT156" s="542">
        <f t="shared" si="233"/>
        <v>0</v>
      </c>
      <c r="BU156" s="542">
        <f t="shared" si="234"/>
        <v>0</v>
      </c>
      <c r="BV156" s="542">
        <f t="shared" si="235"/>
        <v>0</v>
      </c>
      <c r="BW156" s="469">
        <f t="shared" si="236"/>
        <v>0</v>
      </c>
      <c r="BX156" s="177">
        <f t="shared" si="237"/>
        <v>0.79870489931381528</v>
      </c>
      <c r="BY156" s="5">
        <f t="shared" si="238"/>
        <v>6.9</v>
      </c>
      <c r="BZ156" s="177">
        <f t="shared" si="239"/>
        <v>0.89625464155860768</v>
      </c>
      <c r="CA156" s="5">
        <f t="shared" si="240"/>
        <v>89.625464155860769</v>
      </c>
      <c r="CD156" s="576">
        <f t="shared" si="283"/>
        <v>-50</v>
      </c>
      <c r="CE156">
        <f t="shared" si="284"/>
        <v>-50</v>
      </c>
    </row>
    <row r="157" spans="5:83" x14ac:dyDescent="0.25">
      <c r="E157" s="174">
        <v>47</v>
      </c>
      <c r="F157" s="221">
        <f t="shared" si="285"/>
        <v>0.47</v>
      </c>
      <c r="G157" s="221"/>
      <c r="H157" s="221">
        <f t="shared" si="252"/>
        <v>7.05</v>
      </c>
      <c r="I157" s="555">
        <f t="shared" si="253"/>
        <v>12</v>
      </c>
      <c r="J157" s="451">
        <f t="shared" si="254"/>
        <v>23.85</v>
      </c>
      <c r="K157" s="451">
        <f t="shared" si="255"/>
        <v>35.85</v>
      </c>
      <c r="L157" s="451"/>
      <c r="M157" s="221">
        <f t="shared" si="256"/>
        <v>0.66527196652719667</v>
      </c>
      <c r="N157" s="176">
        <f t="shared" si="257"/>
        <v>15.547405857740586</v>
      </c>
      <c r="O157" s="176">
        <f t="shared" si="248"/>
        <v>7.05</v>
      </c>
      <c r="P157" s="221">
        <f t="shared" si="258"/>
        <v>1.0364937238493723</v>
      </c>
      <c r="Q157" s="221">
        <f t="shared" si="259"/>
        <v>15</v>
      </c>
      <c r="R157" s="221"/>
      <c r="S157" s="176">
        <f t="shared" si="260"/>
        <v>41.891661335676929</v>
      </c>
      <c r="T157" s="176">
        <f t="shared" si="261"/>
        <v>15</v>
      </c>
      <c r="U157" s="221">
        <f t="shared" si="262"/>
        <v>1.8591525984773256</v>
      </c>
      <c r="V157" s="221">
        <f t="shared" si="263"/>
        <v>1.0845056824451067</v>
      </c>
      <c r="W157" s="221">
        <f t="shared" si="264"/>
        <v>0.54566323645036807</v>
      </c>
      <c r="X157" s="201">
        <f t="shared" si="265"/>
        <v>350</v>
      </c>
      <c r="Y157" s="451">
        <f t="shared" si="203"/>
        <v>350</v>
      </c>
      <c r="AA157" s="221">
        <f t="shared" si="266"/>
        <v>3.2584749380923919</v>
      </c>
      <c r="AB157" s="177">
        <f t="shared" si="267"/>
        <v>0.95636580992229525</v>
      </c>
      <c r="AC157" s="177">
        <f t="shared" si="268"/>
        <v>0.81802718111106087</v>
      </c>
      <c r="AD157" s="177"/>
      <c r="AE157" s="177">
        <f t="shared" si="269"/>
        <v>0.24067085953878403</v>
      </c>
      <c r="AF157" s="559">
        <f t="shared" si="270"/>
        <v>3175.4057958698058</v>
      </c>
      <c r="AG157" s="542">
        <f t="shared" si="271"/>
        <v>5.1804402515723262E-2</v>
      </c>
      <c r="AI157" s="177">
        <f t="shared" si="272"/>
        <v>2.4699004359012746</v>
      </c>
      <c r="AJ157" s="177">
        <f t="shared" si="273"/>
        <v>2.4699004359012746</v>
      </c>
      <c r="AK157" s="177">
        <f t="shared" si="274"/>
        <v>2.422148471037981</v>
      </c>
      <c r="AM157" s="559">
        <f t="shared" si="275"/>
        <v>470</v>
      </c>
      <c r="AN157" s="469">
        <f t="shared" si="276"/>
        <v>350</v>
      </c>
      <c r="AP157">
        <f t="shared" si="277"/>
        <v>470</v>
      </c>
      <c r="AQ157">
        <f t="shared" si="278"/>
        <v>350</v>
      </c>
      <c r="AS157" s="5">
        <f t="shared" si="249"/>
        <v>2.8571428571428572</v>
      </c>
      <c r="AT157" s="5">
        <f t="shared" si="279"/>
        <v>1.4407752542757433</v>
      </c>
      <c r="AU157" s="5">
        <f t="shared" si="218"/>
        <v>1.4163676028671139</v>
      </c>
      <c r="AV157" s="5"/>
      <c r="AW157" s="177">
        <f t="shared" si="219"/>
        <v>0.50427133899651011</v>
      </c>
      <c r="AX157" s="177">
        <f t="shared" si="245"/>
        <v>7.4730000000000008</v>
      </c>
      <c r="AY157" s="177">
        <f t="shared" si="246"/>
        <v>0.91830032692595609</v>
      </c>
      <c r="AZ157" s="177">
        <f t="shared" si="250"/>
        <v>8.13786054614196</v>
      </c>
      <c r="BA157" s="469">
        <f t="shared" si="280"/>
        <v>18.128571784263034</v>
      </c>
      <c r="BB157" s="469">
        <f t="shared" si="281"/>
        <v>14.296158733164988</v>
      </c>
      <c r="BC157" s="5">
        <f t="shared" si="222"/>
        <v>1.1678820585044625</v>
      </c>
      <c r="BD157" s="469">
        <f t="shared" si="282"/>
        <v>89.446417545729417</v>
      </c>
      <c r="BF157" s="177">
        <f t="shared" si="251"/>
        <v>1.0126304019590162</v>
      </c>
      <c r="BG157" s="177">
        <f t="shared" si="247"/>
        <v>1.5060246936098696</v>
      </c>
      <c r="BI157" s="542">
        <f t="shared" si="224"/>
        <v>0.11279623640688466</v>
      </c>
      <c r="BJ157" s="542">
        <f t="shared" si="225"/>
        <v>0.15495537859735622</v>
      </c>
      <c r="BK157" s="542">
        <f t="shared" si="226"/>
        <v>1.7499999999999998E-2</v>
      </c>
      <c r="BL157" s="542">
        <f t="shared" si="227"/>
        <v>0.10121127187500001</v>
      </c>
      <c r="BM157">
        <f t="shared" si="228"/>
        <v>3.48E-3</v>
      </c>
      <c r="BN157" s="469">
        <f t="shared" si="229"/>
        <v>389.94288687924092</v>
      </c>
      <c r="BO157" s="542">
        <f t="shared" si="230"/>
        <v>0.42299999999999999</v>
      </c>
      <c r="BR157" s="469">
        <f t="shared" si="231"/>
        <v>423</v>
      </c>
      <c r="BS157" s="542">
        <f t="shared" si="232"/>
        <v>0</v>
      </c>
      <c r="BT157" s="542">
        <f t="shared" si="233"/>
        <v>0</v>
      </c>
      <c r="BU157" s="542">
        <f t="shared" si="234"/>
        <v>0</v>
      </c>
      <c r="BV157" s="542">
        <f t="shared" si="235"/>
        <v>0</v>
      </c>
      <c r="BW157" s="469">
        <f t="shared" si="236"/>
        <v>0</v>
      </c>
      <c r="BX157" s="177">
        <f t="shared" si="237"/>
        <v>0.81294288687924088</v>
      </c>
      <c r="BY157" s="5">
        <f t="shared" si="238"/>
        <v>7.05</v>
      </c>
      <c r="BZ157" s="177">
        <f t="shared" si="239"/>
        <v>0.89661086204304186</v>
      </c>
      <c r="CA157" s="5">
        <f t="shared" si="240"/>
        <v>89.661086204304183</v>
      </c>
      <c r="CD157" s="576">
        <f t="shared" si="283"/>
        <v>-50</v>
      </c>
      <c r="CE157">
        <f t="shared" si="284"/>
        <v>-50</v>
      </c>
    </row>
    <row r="158" spans="5:83" x14ac:dyDescent="0.25">
      <c r="E158" s="174">
        <v>48</v>
      </c>
      <c r="F158" s="221">
        <f t="shared" si="285"/>
        <v>0.48</v>
      </c>
      <c r="G158" s="221"/>
      <c r="H158" s="221">
        <f t="shared" si="252"/>
        <v>7.1999999999999993</v>
      </c>
      <c r="I158" s="555">
        <f t="shared" si="253"/>
        <v>12</v>
      </c>
      <c r="J158" s="451">
        <f t="shared" si="254"/>
        <v>23.85</v>
      </c>
      <c r="K158" s="451">
        <f t="shared" si="255"/>
        <v>35.85</v>
      </c>
      <c r="L158" s="451"/>
      <c r="M158" s="221">
        <f t="shared" si="256"/>
        <v>0.66527196652719667</v>
      </c>
      <c r="N158" s="176">
        <f t="shared" si="257"/>
        <v>15.547405857740586</v>
      </c>
      <c r="O158" s="176">
        <f t="shared" si="248"/>
        <v>7.1999999999999993</v>
      </c>
      <c r="P158" s="221">
        <f t="shared" si="258"/>
        <v>1.0364937238493723</v>
      </c>
      <c r="Q158" s="221">
        <f t="shared" si="259"/>
        <v>15</v>
      </c>
      <c r="R158" s="221"/>
      <c r="S158" s="176">
        <f t="shared" si="260"/>
        <v>40.859914147561661</v>
      </c>
      <c r="T158" s="176">
        <f t="shared" si="261"/>
        <v>15</v>
      </c>
      <c r="U158" s="221">
        <f t="shared" si="262"/>
        <v>1.8987090367428003</v>
      </c>
      <c r="V158" s="221">
        <f t="shared" si="263"/>
        <v>1.1075802714333003</v>
      </c>
      <c r="W158" s="221">
        <f t="shared" si="264"/>
        <v>0.55727309254505664</v>
      </c>
      <c r="X158" s="201">
        <f t="shared" si="265"/>
        <v>350</v>
      </c>
      <c r="Y158" s="451">
        <f t="shared" si="203"/>
        <v>350</v>
      </c>
      <c r="AA158" s="221">
        <f t="shared" si="266"/>
        <v>3.2584749380923919</v>
      </c>
      <c r="AB158" s="177">
        <f t="shared" si="267"/>
        <v>0.95636580992229525</v>
      </c>
      <c r="AC158" s="177">
        <f t="shared" si="268"/>
        <v>0.81802718111106087</v>
      </c>
      <c r="AD158" s="177"/>
      <c r="AE158" s="177">
        <f t="shared" si="269"/>
        <v>0.24067085953878403</v>
      </c>
      <c r="AF158" s="559">
        <f t="shared" si="270"/>
        <v>3242.9676213138441</v>
      </c>
      <c r="AG158" s="542">
        <f t="shared" si="271"/>
        <v>5.1804402515723262E-2</v>
      </c>
      <c r="AI158" s="177">
        <f t="shared" si="272"/>
        <v>2.4960376763247494</v>
      </c>
      <c r="AJ158" s="177">
        <f t="shared" si="273"/>
        <v>2.4960376763247494</v>
      </c>
      <c r="AK158" s="177">
        <f t="shared" si="274"/>
        <v>2.441509389870185</v>
      </c>
      <c r="AM158" s="559">
        <f t="shared" si="275"/>
        <v>480</v>
      </c>
      <c r="AN158" s="469">
        <f t="shared" si="276"/>
        <v>350</v>
      </c>
      <c r="AP158">
        <f t="shared" si="277"/>
        <v>480</v>
      </c>
      <c r="AQ158">
        <f t="shared" si="278"/>
        <v>350</v>
      </c>
      <c r="AS158" s="5">
        <f t="shared" si="249"/>
        <v>2.8571428571428572</v>
      </c>
      <c r="AT158" s="5">
        <f t="shared" si="279"/>
        <v>1.4560219778561037</v>
      </c>
      <c r="AU158" s="5">
        <f t="shared" si="218"/>
        <v>1.4011208792867536</v>
      </c>
      <c r="AV158" s="5"/>
      <c r="AW158" s="177">
        <f t="shared" si="219"/>
        <v>0.50960769224963631</v>
      </c>
      <c r="AX158" s="177">
        <f t="shared" si="245"/>
        <v>7.6320000000000006</v>
      </c>
      <c r="AY158" s="177">
        <f t="shared" si="246"/>
        <v>0.91802825724356185</v>
      </c>
      <c r="AZ158" s="177">
        <f t="shared" si="250"/>
        <v>8.3134695907025407</v>
      </c>
      <c r="BA158" s="469">
        <f t="shared" si="280"/>
        <v>18.128571784263034</v>
      </c>
      <c r="BB158" s="469">
        <f t="shared" si="281"/>
        <v>14.880339393939396</v>
      </c>
      <c r="BC158" s="5">
        <f t="shared" si="222"/>
        <v>1.1798912667677925</v>
      </c>
      <c r="BD158" s="469">
        <f t="shared" si="282"/>
        <v>90.386581849689705</v>
      </c>
      <c r="BF158" s="177">
        <f t="shared" si="251"/>
        <v>1.0287467981781007</v>
      </c>
      <c r="BG158" s="177">
        <f t="shared" si="247"/>
        <v>1.5137480365010154</v>
      </c>
      <c r="BI158" s="542">
        <f t="shared" si="224"/>
        <v>0.11641519722378632</v>
      </c>
      <c r="BJ158" s="542">
        <f t="shared" si="225"/>
        <v>0.15659516371842397</v>
      </c>
      <c r="BK158" s="542">
        <f t="shared" si="226"/>
        <v>1.7499999999999998E-2</v>
      </c>
      <c r="BL158" s="542">
        <f t="shared" si="227"/>
        <v>0.10121127187500001</v>
      </c>
      <c r="BM158">
        <f t="shared" si="228"/>
        <v>3.48E-3</v>
      </c>
      <c r="BN158" s="469">
        <f t="shared" si="229"/>
        <v>395.20163281721034</v>
      </c>
      <c r="BO158" s="542">
        <f t="shared" si="230"/>
        <v>0.432</v>
      </c>
      <c r="BR158" s="469">
        <f t="shared" si="231"/>
        <v>432</v>
      </c>
      <c r="BS158" s="542">
        <f t="shared" si="232"/>
        <v>0</v>
      </c>
      <c r="BT158" s="542">
        <f t="shared" si="233"/>
        <v>0</v>
      </c>
      <c r="BU158" s="542">
        <f t="shared" si="234"/>
        <v>0</v>
      </c>
      <c r="BV158" s="542">
        <f t="shared" si="235"/>
        <v>0</v>
      </c>
      <c r="BW158" s="469">
        <f t="shared" si="236"/>
        <v>0</v>
      </c>
      <c r="BX158" s="177">
        <f t="shared" si="237"/>
        <v>0.82720163281721026</v>
      </c>
      <c r="BY158" s="5">
        <f t="shared" si="238"/>
        <v>7.1999999999999993</v>
      </c>
      <c r="BZ158" s="177">
        <f t="shared" si="239"/>
        <v>0.89695018629712708</v>
      </c>
      <c r="CA158" s="5">
        <f t="shared" si="240"/>
        <v>89.695018629712706</v>
      </c>
      <c r="CD158" s="576">
        <f t="shared" si="283"/>
        <v>-50</v>
      </c>
      <c r="CE158">
        <f t="shared" si="284"/>
        <v>-50</v>
      </c>
    </row>
    <row r="159" spans="5:83" x14ac:dyDescent="0.25">
      <c r="E159" s="174">
        <v>49</v>
      </c>
      <c r="F159" s="221">
        <f t="shared" si="285"/>
        <v>0.49</v>
      </c>
      <c r="G159" s="221"/>
      <c r="H159" s="221">
        <f t="shared" si="252"/>
        <v>7.35</v>
      </c>
      <c r="I159" s="555">
        <f t="shared" si="253"/>
        <v>12</v>
      </c>
      <c r="J159" s="451">
        <f t="shared" si="254"/>
        <v>23.85</v>
      </c>
      <c r="K159" s="451">
        <f t="shared" si="255"/>
        <v>35.85</v>
      </c>
      <c r="L159" s="451"/>
      <c r="M159" s="221">
        <f t="shared" si="256"/>
        <v>0.66527196652719667</v>
      </c>
      <c r="N159" s="176">
        <f t="shared" si="257"/>
        <v>15.547405857740586</v>
      </c>
      <c r="O159" s="176">
        <f t="shared" si="248"/>
        <v>7.35</v>
      </c>
      <c r="P159" s="221">
        <f t="shared" si="258"/>
        <v>1.0364937238493723</v>
      </c>
      <c r="Q159" s="221">
        <f t="shared" si="259"/>
        <v>15</v>
      </c>
      <c r="R159" s="221"/>
      <c r="S159" s="176">
        <f t="shared" si="260"/>
        <v>39.870475930989947</v>
      </c>
      <c r="T159" s="176">
        <f t="shared" si="261"/>
        <v>15</v>
      </c>
      <c r="U159" s="221">
        <f t="shared" si="262"/>
        <v>1.9382654750082755</v>
      </c>
      <c r="V159" s="221">
        <f t="shared" si="263"/>
        <v>1.1306548604214941</v>
      </c>
      <c r="W159" s="221">
        <f t="shared" si="264"/>
        <v>0.56888294863974542</v>
      </c>
      <c r="X159" s="201">
        <f t="shared" si="265"/>
        <v>350</v>
      </c>
      <c r="Y159" s="451">
        <f t="shared" si="203"/>
        <v>350</v>
      </c>
      <c r="AA159" s="221">
        <f t="shared" si="266"/>
        <v>3.2584749380923919</v>
      </c>
      <c r="AB159" s="177">
        <f t="shared" si="267"/>
        <v>0.95636580992229525</v>
      </c>
      <c r="AC159" s="177">
        <f t="shared" si="268"/>
        <v>0.81802718111106087</v>
      </c>
      <c r="AD159" s="177"/>
      <c r="AE159" s="177">
        <f t="shared" si="269"/>
        <v>0.24067085953878403</v>
      </c>
      <c r="AF159" s="559">
        <f t="shared" si="270"/>
        <v>3310.5294467578829</v>
      </c>
      <c r="AG159" s="542">
        <f t="shared" si="271"/>
        <v>5.1804402515723262E-2</v>
      </c>
      <c r="AI159" s="177">
        <f t="shared" si="272"/>
        <v>2.5219040425836985</v>
      </c>
      <c r="AJ159" s="177">
        <f t="shared" si="273"/>
        <v>2.5219040425836985</v>
      </c>
      <c r="AK159" s="177">
        <f t="shared" si="274"/>
        <v>2.4606696611731103</v>
      </c>
      <c r="AM159" s="559">
        <f t="shared" si="275"/>
        <v>490</v>
      </c>
      <c r="AN159" s="469">
        <f t="shared" si="276"/>
        <v>350</v>
      </c>
      <c r="AP159">
        <f t="shared" si="277"/>
        <v>490</v>
      </c>
      <c r="AQ159">
        <f t="shared" si="278"/>
        <v>350</v>
      </c>
      <c r="AS159" s="5">
        <f t="shared" si="249"/>
        <v>2.8571428571428572</v>
      </c>
      <c r="AT159" s="5">
        <f t="shared" si="279"/>
        <v>1.4711106915071575</v>
      </c>
      <c r="AU159" s="5">
        <f t="shared" si="218"/>
        <v>1.3860321656356998</v>
      </c>
      <c r="AV159" s="5"/>
      <c r="AW159" s="177">
        <f t="shared" si="219"/>
        <v>0.51488874202750512</v>
      </c>
      <c r="AX159" s="177">
        <f t="shared" si="245"/>
        <v>7.7910000000000013</v>
      </c>
      <c r="AY159" s="177">
        <f t="shared" si="246"/>
        <v>0.91755303193777371</v>
      </c>
      <c r="AZ159" s="177">
        <f t="shared" si="250"/>
        <v>8.4910623460599801</v>
      </c>
      <c r="BA159" s="469">
        <f t="shared" si="280"/>
        <v>18.128571784263034</v>
      </c>
      <c r="BB159" s="469">
        <f t="shared" si="281"/>
        <v>15.47618701599327</v>
      </c>
      <c r="BC159" s="5">
        <f t="shared" si="222"/>
        <v>1.1915013353710402</v>
      </c>
      <c r="BD159" s="469">
        <f t="shared" si="282"/>
        <v>91.296810679143803</v>
      </c>
      <c r="BF159" s="177">
        <f t="shared" si="251"/>
        <v>1.0447794662503236</v>
      </c>
      <c r="BG159" s="177">
        <f t="shared" si="247"/>
        <v>1.5211774060012857</v>
      </c>
      <c r="BI159" s="542">
        <f t="shared" si="224"/>
        <v>0.12007205464081422</v>
      </c>
      <c r="BJ159" s="542">
        <f t="shared" si="225"/>
        <v>0.15821795487159479</v>
      </c>
      <c r="BK159" s="542">
        <f t="shared" si="226"/>
        <v>1.7499999999999998E-2</v>
      </c>
      <c r="BL159" s="542">
        <f t="shared" si="227"/>
        <v>0.10121127187500001</v>
      </c>
      <c r="BM159">
        <f t="shared" si="228"/>
        <v>3.48E-3</v>
      </c>
      <c r="BN159" s="469">
        <f t="shared" si="229"/>
        <v>400.48128138740901</v>
      </c>
      <c r="BO159" s="542">
        <f t="shared" si="230"/>
        <v>0.441</v>
      </c>
      <c r="BR159" s="469">
        <f t="shared" si="231"/>
        <v>441</v>
      </c>
      <c r="BS159" s="542">
        <f t="shared" si="232"/>
        <v>0</v>
      </c>
      <c r="BT159" s="542">
        <f t="shared" si="233"/>
        <v>0</v>
      </c>
      <c r="BU159" s="542">
        <f t="shared" si="234"/>
        <v>0</v>
      </c>
      <c r="BV159" s="542">
        <f t="shared" si="235"/>
        <v>0</v>
      </c>
      <c r="BW159" s="469">
        <f t="shared" si="236"/>
        <v>0</v>
      </c>
      <c r="BX159" s="177">
        <f t="shared" si="237"/>
        <v>0.84148128138740907</v>
      </c>
      <c r="BY159" s="5">
        <f t="shared" si="238"/>
        <v>7.35</v>
      </c>
      <c r="BZ159" s="177">
        <f t="shared" si="239"/>
        <v>0.89727361236856962</v>
      </c>
      <c r="CA159" s="5">
        <f t="shared" si="240"/>
        <v>89.727361236856964</v>
      </c>
      <c r="CD159" s="576">
        <f t="shared" si="283"/>
        <v>-50</v>
      </c>
      <c r="CE159">
        <f t="shared" si="284"/>
        <v>-50</v>
      </c>
    </row>
    <row r="160" spans="5:83" x14ac:dyDescent="0.25">
      <c r="E160" s="174">
        <v>50</v>
      </c>
      <c r="F160" s="221">
        <f t="shared" si="285"/>
        <v>0.5</v>
      </c>
      <c r="G160" s="221"/>
      <c r="H160" s="221">
        <f t="shared" si="252"/>
        <v>7.5</v>
      </c>
      <c r="I160" s="555">
        <f t="shared" si="253"/>
        <v>12</v>
      </c>
      <c r="J160" s="451">
        <f t="shared" si="254"/>
        <v>23.85</v>
      </c>
      <c r="K160" s="451">
        <f t="shared" si="255"/>
        <v>35.85</v>
      </c>
      <c r="L160" s="451"/>
      <c r="M160" s="221">
        <f t="shared" si="256"/>
        <v>0.66527196652719667</v>
      </c>
      <c r="N160" s="176">
        <f t="shared" si="257"/>
        <v>15.547405857740586</v>
      </c>
      <c r="O160" s="176">
        <f t="shared" si="248"/>
        <v>7.5</v>
      </c>
      <c r="P160" s="221">
        <f t="shared" si="258"/>
        <v>1.0364937238493723</v>
      </c>
      <c r="Q160" s="221">
        <f t="shared" si="259"/>
        <v>15</v>
      </c>
      <c r="R160" s="221"/>
      <c r="S160" s="176">
        <f t="shared" si="260"/>
        <v>38.920809983598161</v>
      </c>
      <c r="T160" s="176">
        <f t="shared" si="261"/>
        <v>15</v>
      </c>
      <c r="U160" s="221">
        <f t="shared" si="262"/>
        <v>1.9778219132737507</v>
      </c>
      <c r="V160" s="221">
        <f t="shared" si="263"/>
        <v>1.1537294494096879</v>
      </c>
      <c r="W160" s="221">
        <f t="shared" si="264"/>
        <v>0.5804928047344341</v>
      </c>
      <c r="X160" s="201">
        <f t="shared" si="265"/>
        <v>350</v>
      </c>
      <c r="Y160" s="451">
        <f t="shared" si="203"/>
        <v>350</v>
      </c>
      <c r="AA160" s="221">
        <f t="shared" si="266"/>
        <v>3.2584749380923919</v>
      </c>
      <c r="AB160" s="177">
        <f t="shared" si="267"/>
        <v>0.95636580992229525</v>
      </c>
      <c r="AC160" s="177">
        <f t="shared" si="268"/>
        <v>0.81802718111106087</v>
      </c>
      <c r="AD160" s="177"/>
      <c r="AE160" s="177">
        <f t="shared" si="269"/>
        <v>0.24067085953878403</v>
      </c>
      <c r="AF160" s="559">
        <f t="shared" si="270"/>
        <v>3378.0912722019211</v>
      </c>
      <c r="AG160" s="542">
        <f t="shared" si="271"/>
        <v>5.1804402515723262E-2</v>
      </c>
      <c r="AI160" s="177">
        <f t="shared" si="272"/>
        <v>2.5475077857324302</v>
      </c>
      <c r="AJ160" s="177">
        <f t="shared" si="273"/>
        <v>2.5475077857324302</v>
      </c>
      <c r="AK160" s="177">
        <f t="shared" si="274"/>
        <v>2.4796353968388374</v>
      </c>
      <c r="AM160" s="559">
        <f t="shared" si="275"/>
        <v>500</v>
      </c>
      <c r="AN160" s="469">
        <f t="shared" si="276"/>
        <v>350</v>
      </c>
      <c r="AP160">
        <f t="shared" si="277"/>
        <v>500</v>
      </c>
      <c r="AQ160">
        <f t="shared" si="278"/>
        <v>350</v>
      </c>
      <c r="AS160" s="5">
        <f t="shared" si="249"/>
        <v>2.8571428571428572</v>
      </c>
      <c r="AT160" s="5">
        <f t="shared" si="279"/>
        <v>1.4860462083439179</v>
      </c>
      <c r="AU160" s="5">
        <f t="shared" si="218"/>
        <v>1.3710966487989393</v>
      </c>
      <c r="AV160" s="5"/>
      <c r="AW160" s="177">
        <f t="shared" si="219"/>
        <v>0.52011617292037127</v>
      </c>
      <c r="AX160" s="177">
        <f t="shared" si="245"/>
        <v>7.950000000000002</v>
      </c>
      <c r="AY160" s="177">
        <f t="shared" si="246"/>
        <v>0.91688083929932207</v>
      </c>
      <c r="AZ160" s="177">
        <f t="shared" si="250"/>
        <v>8.6707014251441556</v>
      </c>
      <c r="BA160" s="469">
        <f t="shared" si="280"/>
        <v>18.128571784263034</v>
      </c>
      <c r="BB160" s="469">
        <f t="shared" si="281"/>
        <v>16.083701599326602</v>
      </c>
      <c r="BC160" s="5">
        <f t="shared" si="222"/>
        <v>1.2027163585955609</v>
      </c>
      <c r="BD160" s="469">
        <f t="shared" si="282"/>
        <v>92.1774111051934</v>
      </c>
      <c r="BF160" s="177">
        <f t="shared" si="251"/>
        <v>1.0607305369564053</v>
      </c>
      <c r="BG160" s="177">
        <f t="shared" si="247"/>
        <v>1.5283196906092351</v>
      </c>
      <c r="BI160" s="542">
        <f t="shared" si="224"/>
        <v>0.12376641992350063</v>
      </c>
      <c r="BJ160" s="542">
        <f t="shared" si="225"/>
        <v>0.15982426970738833</v>
      </c>
      <c r="BK160" s="542">
        <f t="shared" si="226"/>
        <v>1.7499999999999998E-2</v>
      </c>
      <c r="BL160" s="542">
        <f t="shared" si="227"/>
        <v>0.10121127187500001</v>
      </c>
      <c r="BM160">
        <f t="shared" si="228"/>
        <v>3.48E-3</v>
      </c>
      <c r="BN160" s="469">
        <f t="shared" si="229"/>
        <v>405.78196150588894</v>
      </c>
      <c r="BO160" s="542">
        <f t="shared" si="230"/>
        <v>0.45</v>
      </c>
      <c r="BR160" s="469">
        <f t="shared" si="231"/>
        <v>450</v>
      </c>
      <c r="BS160" s="542">
        <f t="shared" si="232"/>
        <v>0</v>
      </c>
      <c r="BT160" s="542">
        <f t="shared" si="233"/>
        <v>0</v>
      </c>
      <c r="BU160" s="542">
        <f t="shared" si="234"/>
        <v>0</v>
      </c>
      <c r="BV160" s="542">
        <f t="shared" si="235"/>
        <v>0</v>
      </c>
      <c r="BW160" s="469">
        <f t="shared" si="236"/>
        <v>0</v>
      </c>
      <c r="BX160" s="177">
        <f t="shared" si="237"/>
        <v>0.85578196150588903</v>
      </c>
      <c r="BY160" s="5">
        <f t="shared" si="238"/>
        <v>7.5</v>
      </c>
      <c r="BZ160" s="177">
        <f t="shared" si="239"/>
        <v>0.89758206168514498</v>
      </c>
      <c r="CA160" s="5">
        <f t="shared" si="240"/>
        <v>89.758206168514505</v>
      </c>
      <c r="CD160" s="576">
        <f t="shared" si="283"/>
        <v>-50</v>
      </c>
      <c r="CE160">
        <f t="shared" si="284"/>
        <v>-50</v>
      </c>
    </row>
    <row r="161" spans="5:83" x14ac:dyDescent="0.25">
      <c r="E161" s="174">
        <v>51</v>
      </c>
      <c r="F161" s="221">
        <f t="shared" si="285"/>
        <v>0.51</v>
      </c>
      <c r="G161" s="221"/>
      <c r="H161" s="221">
        <f t="shared" si="252"/>
        <v>7.65</v>
      </c>
      <c r="I161" s="555">
        <f t="shared" si="253"/>
        <v>12</v>
      </c>
      <c r="J161" s="451">
        <f t="shared" si="254"/>
        <v>23.85</v>
      </c>
      <c r="K161" s="451">
        <f t="shared" si="255"/>
        <v>35.85</v>
      </c>
      <c r="L161" s="451"/>
      <c r="M161" s="221">
        <f t="shared" si="256"/>
        <v>0.66527196652719667</v>
      </c>
      <c r="N161" s="176">
        <f t="shared" si="257"/>
        <v>15.547405857740586</v>
      </c>
      <c r="O161" s="176">
        <f t="shared" si="248"/>
        <v>7.65</v>
      </c>
      <c r="P161" s="221">
        <f t="shared" si="258"/>
        <v>1.0364937238493723</v>
      </c>
      <c r="Q161" s="221">
        <f t="shared" si="259"/>
        <v>15</v>
      </c>
      <c r="R161" s="221"/>
      <c r="S161" s="176">
        <f t="shared" si="260"/>
        <v>38.008578577353873</v>
      </c>
      <c r="T161" s="176">
        <f t="shared" si="261"/>
        <v>15</v>
      </c>
      <c r="U161" s="221">
        <f t="shared" si="262"/>
        <v>2.0173783515392256</v>
      </c>
      <c r="V161" s="221">
        <f t="shared" si="263"/>
        <v>1.1768040383978815</v>
      </c>
      <c r="W161" s="221">
        <f t="shared" si="264"/>
        <v>0.59210266082912277</v>
      </c>
      <c r="X161" s="201">
        <f t="shared" si="265"/>
        <v>350</v>
      </c>
      <c r="Y161" s="451">
        <f t="shared" si="203"/>
        <v>350</v>
      </c>
      <c r="AA161" s="221">
        <f t="shared" si="266"/>
        <v>3.2584749380923919</v>
      </c>
      <c r="AB161" s="177">
        <f t="shared" si="267"/>
        <v>0.95636580992229525</v>
      </c>
      <c r="AC161" s="177">
        <f t="shared" si="268"/>
        <v>0.81802718111106087</v>
      </c>
      <c r="AD161" s="177"/>
      <c r="AE161" s="177">
        <f t="shared" si="269"/>
        <v>0.24067085953878403</v>
      </c>
      <c r="AF161" s="559">
        <f t="shared" si="270"/>
        <v>3445.6530976459599</v>
      </c>
      <c r="AG161" s="542">
        <f t="shared" si="271"/>
        <v>5.1804402515723262E-2</v>
      </c>
      <c r="AI161" s="177">
        <f t="shared" si="272"/>
        <v>2.572856746252052</v>
      </c>
      <c r="AJ161" s="177">
        <f t="shared" si="273"/>
        <v>2.572856746252052</v>
      </c>
      <c r="AK161" s="177">
        <f t="shared" si="274"/>
        <v>2.49841240463115</v>
      </c>
      <c r="AM161" s="559">
        <f t="shared" si="275"/>
        <v>510</v>
      </c>
      <c r="AN161" s="469">
        <f t="shared" si="276"/>
        <v>350</v>
      </c>
      <c r="AP161">
        <f t="shared" si="277"/>
        <v>510</v>
      </c>
      <c r="AQ161">
        <f t="shared" si="278"/>
        <v>350</v>
      </c>
      <c r="AS161" s="5">
        <f t="shared" si="249"/>
        <v>2.8571428571428572</v>
      </c>
      <c r="AT161" s="5">
        <f t="shared" si="279"/>
        <v>1.5008331019803636</v>
      </c>
      <c r="AU161" s="5">
        <f t="shared" si="218"/>
        <v>1.3563097551624936</v>
      </c>
      <c r="AV161" s="5"/>
      <c r="AW161" s="177">
        <f t="shared" si="219"/>
        <v>0.52529158569312728</v>
      </c>
      <c r="AX161" s="177">
        <f t="shared" si="245"/>
        <v>8.1090000000000018</v>
      </c>
      <c r="AY161" s="177">
        <f t="shared" si="246"/>
        <v>0.91601755968903864</v>
      </c>
      <c r="AZ161" s="177">
        <f t="shared" si="250"/>
        <v>8.8524503861615624</v>
      </c>
      <c r="BA161" s="469">
        <f t="shared" si="280"/>
        <v>18.128571784263034</v>
      </c>
      <c r="BB161" s="469">
        <f t="shared" si="281"/>
        <v>16.702883143939399</v>
      </c>
      <c r="BC161" s="5">
        <f t="shared" si="222"/>
        <v>1.2135403072506523</v>
      </c>
      <c r="BD161" s="469">
        <f t="shared" si="282"/>
        <v>93.028680938535771</v>
      </c>
      <c r="BF161" s="177">
        <f t="shared" si="251"/>
        <v>1.0766020454125795</v>
      </c>
      <c r="BG161" s="177">
        <f t="shared" si="247"/>
        <v>1.5351814088671361</v>
      </c>
      <c r="BI161" s="542">
        <f t="shared" si="224"/>
        <v>0.12749791606052049</v>
      </c>
      <c r="BJ161" s="542">
        <f t="shared" si="225"/>
        <v>0.16141460011798811</v>
      </c>
      <c r="BK161" s="542">
        <f t="shared" si="226"/>
        <v>1.7499999999999998E-2</v>
      </c>
      <c r="BL161" s="542">
        <f t="shared" si="227"/>
        <v>0.10121127187500001</v>
      </c>
      <c r="BM161">
        <f t="shared" si="228"/>
        <v>3.48E-3</v>
      </c>
      <c r="BN161" s="469">
        <f t="shared" si="229"/>
        <v>411.10378805350859</v>
      </c>
      <c r="BO161" s="542">
        <f t="shared" si="230"/>
        <v>0.45900000000000002</v>
      </c>
      <c r="BR161" s="469">
        <f t="shared" si="231"/>
        <v>459</v>
      </c>
      <c r="BS161" s="542">
        <f t="shared" si="232"/>
        <v>0</v>
      </c>
      <c r="BT161" s="542">
        <f t="shared" si="233"/>
        <v>0</v>
      </c>
      <c r="BU161" s="542">
        <f t="shared" si="234"/>
        <v>0</v>
      </c>
      <c r="BV161" s="542">
        <f t="shared" si="235"/>
        <v>0</v>
      </c>
      <c r="BW161" s="469">
        <f t="shared" si="236"/>
        <v>0</v>
      </c>
      <c r="BX161" s="177">
        <f t="shared" si="237"/>
        <v>0.87010378805350863</v>
      </c>
      <c r="BY161" s="5">
        <f t="shared" si="238"/>
        <v>7.65</v>
      </c>
      <c r="BZ161" s="177">
        <f t="shared" si="239"/>
        <v>0.89787638628610045</v>
      </c>
      <c r="CA161" s="5">
        <f t="shared" si="240"/>
        <v>89.78763862861004</v>
      </c>
      <c r="CD161" s="576">
        <f t="shared" si="283"/>
        <v>-50</v>
      </c>
      <c r="CE161">
        <f t="shared" si="284"/>
        <v>-50</v>
      </c>
    </row>
    <row r="162" spans="5:83" x14ac:dyDescent="0.25">
      <c r="E162" s="174">
        <v>52</v>
      </c>
      <c r="F162" s="221">
        <f t="shared" si="285"/>
        <v>0.52</v>
      </c>
      <c r="G162" s="221"/>
      <c r="H162" s="221">
        <f t="shared" si="252"/>
        <v>7.8000000000000007</v>
      </c>
      <c r="I162" s="555">
        <f t="shared" si="253"/>
        <v>12</v>
      </c>
      <c r="J162" s="451">
        <f t="shared" si="254"/>
        <v>23.85</v>
      </c>
      <c r="K162" s="451">
        <f t="shared" si="255"/>
        <v>35.85</v>
      </c>
      <c r="L162" s="451"/>
      <c r="M162" s="221">
        <f t="shared" si="256"/>
        <v>0.66527196652719667</v>
      </c>
      <c r="N162" s="176">
        <f t="shared" si="257"/>
        <v>15.547405857740586</v>
      </c>
      <c r="O162" s="176">
        <f t="shared" si="248"/>
        <v>7.8000000000000007</v>
      </c>
      <c r="P162" s="221">
        <f t="shared" si="258"/>
        <v>1.0364937238493723</v>
      </c>
      <c r="Q162" s="221">
        <f t="shared" si="259"/>
        <v>15</v>
      </c>
      <c r="R162" s="221"/>
      <c r="S162" s="176">
        <f t="shared" si="260"/>
        <v>37.131623826502896</v>
      </c>
      <c r="T162" s="176">
        <f t="shared" si="261"/>
        <v>15</v>
      </c>
      <c r="U162" s="221">
        <f t="shared" si="262"/>
        <v>2.0569347898047008</v>
      </c>
      <c r="V162" s="221">
        <f t="shared" si="263"/>
        <v>1.1998786273860755</v>
      </c>
      <c r="W162" s="221">
        <f t="shared" si="264"/>
        <v>0.60371251692381156</v>
      </c>
      <c r="X162" s="201">
        <f t="shared" si="265"/>
        <v>350</v>
      </c>
      <c r="Y162" s="451">
        <f t="shared" si="203"/>
        <v>350</v>
      </c>
      <c r="AA162" s="221">
        <f t="shared" si="266"/>
        <v>3.2584749380923919</v>
      </c>
      <c r="AB162" s="177">
        <f t="shared" si="267"/>
        <v>0.95636580992229525</v>
      </c>
      <c r="AC162" s="177">
        <f t="shared" si="268"/>
        <v>0.81802718111106087</v>
      </c>
      <c r="AD162" s="177"/>
      <c r="AE162" s="177">
        <f t="shared" si="269"/>
        <v>0.24067085953878403</v>
      </c>
      <c r="AF162" s="559">
        <f t="shared" si="270"/>
        <v>3513.2149230899981</v>
      </c>
      <c r="AG162" s="542">
        <f t="shared" si="271"/>
        <v>5.1804402515723262E-2</v>
      </c>
      <c r="AI162" s="177">
        <f t="shared" si="272"/>
        <v>2.5979583820958414</v>
      </c>
      <c r="AJ162" s="177">
        <f t="shared" si="273"/>
        <v>2.5979583820958414</v>
      </c>
      <c r="AK162" s="177">
        <f t="shared" si="274"/>
        <v>2.5170062089598826</v>
      </c>
      <c r="AM162" s="559">
        <f t="shared" si="275"/>
        <v>520</v>
      </c>
      <c r="AN162" s="469">
        <f t="shared" si="276"/>
        <v>350</v>
      </c>
      <c r="AP162">
        <f t="shared" si="277"/>
        <v>520</v>
      </c>
      <c r="AQ162">
        <f t="shared" si="278"/>
        <v>350</v>
      </c>
      <c r="AS162" s="5">
        <f t="shared" si="249"/>
        <v>2.8571428571428572</v>
      </c>
      <c r="AT162" s="5">
        <f t="shared" si="279"/>
        <v>1.5154757228892408</v>
      </c>
      <c r="AU162" s="5">
        <f t="shared" si="218"/>
        <v>1.3416671342536164</v>
      </c>
      <c r="AV162" s="5"/>
      <c r="AW162" s="177">
        <f t="shared" si="219"/>
        <v>0.53041650301123422</v>
      </c>
      <c r="AX162" s="177">
        <f t="shared" si="245"/>
        <v>8.2680000000000007</v>
      </c>
      <c r="AY162" s="177">
        <f t="shared" si="246"/>
        <v>0.91496878657188097</v>
      </c>
      <c r="AZ162" s="177">
        <f t="shared" si="250"/>
        <v>9.0363738319180982</v>
      </c>
      <c r="BA162" s="469">
        <f t="shared" si="280"/>
        <v>18.128571784263034</v>
      </c>
      <c r="BB162" s="469">
        <f t="shared" si="281"/>
        <v>17.333731649831652</v>
      </c>
      <c r="BC162" s="5">
        <f t="shared" si="222"/>
        <v>1.223977034757685</v>
      </c>
      <c r="BD162" s="469">
        <f t="shared" si="282"/>
        <v>93.850909185773745</v>
      </c>
      <c r="BF162" s="177">
        <f t="shared" si="251"/>
        <v>1.0923959371534464</v>
      </c>
      <c r="BG162" s="177">
        <f t="shared" si="247"/>
        <v>1.5417687337699124</v>
      </c>
      <c r="BI162" s="542">
        <f t="shared" si="224"/>
        <v>0.1312661771860292</v>
      </c>
      <c r="BJ162" s="542">
        <f t="shared" si="225"/>
        <v>0.16298941399673786</v>
      </c>
      <c r="BK162" s="542">
        <f t="shared" si="226"/>
        <v>1.7499999999999998E-2</v>
      </c>
      <c r="BL162" s="542">
        <f t="shared" si="227"/>
        <v>0.10121127187500001</v>
      </c>
      <c r="BM162">
        <f t="shared" si="228"/>
        <v>3.48E-3</v>
      </c>
      <c r="BN162" s="469">
        <f t="shared" si="229"/>
        <v>416.44686305776708</v>
      </c>
      <c r="BO162" s="542">
        <f t="shared" si="230"/>
        <v>0.46800000000000003</v>
      </c>
      <c r="BR162" s="469">
        <f t="shared" si="231"/>
        <v>468</v>
      </c>
      <c r="BS162" s="542">
        <f t="shared" si="232"/>
        <v>0</v>
      </c>
      <c r="BT162" s="542">
        <f t="shared" si="233"/>
        <v>0</v>
      </c>
      <c r="BU162" s="542">
        <f t="shared" si="234"/>
        <v>0</v>
      </c>
      <c r="BV162" s="542">
        <f t="shared" si="235"/>
        <v>0</v>
      </c>
      <c r="BW162" s="469">
        <f t="shared" si="236"/>
        <v>0</v>
      </c>
      <c r="BX162" s="177">
        <f t="shared" si="237"/>
        <v>0.8844468630577671</v>
      </c>
      <c r="BY162" s="5">
        <f t="shared" si="238"/>
        <v>7.8000000000000007</v>
      </c>
      <c r="BZ162" s="177">
        <f t="shared" si="239"/>
        <v>0.89815737524745975</v>
      </c>
      <c r="CA162" s="5">
        <f t="shared" si="240"/>
        <v>89.81573752474597</v>
      </c>
      <c r="CD162" s="576">
        <f t="shared" si="283"/>
        <v>-50</v>
      </c>
      <c r="CE162">
        <f t="shared" si="284"/>
        <v>-50</v>
      </c>
    </row>
    <row r="163" spans="5:83" x14ac:dyDescent="0.25">
      <c r="E163" s="174">
        <v>53</v>
      </c>
      <c r="F163" s="221">
        <f t="shared" si="285"/>
        <v>0.53</v>
      </c>
      <c r="G163" s="221"/>
      <c r="H163" s="221">
        <f t="shared" si="252"/>
        <v>7.95</v>
      </c>
      <c r="I163" s="555">
        <f t="shared" si="253"/>
        <v>12</v>
      </c>
      <c r="J163" s="451">
        <f t="shared" si="254"/>
        <v>23.85</v>
      </c>
      <c r="K163" s="451">
        <f t="shared" si="255"/>
        <v>35.85</v>
      </c>
      <c r="L163" s="451"/>
      <c r="M163" s="221">
        <f t="shared" si="256"/>
        <v>0.66527196652719667</v>
      </c>
      <c r="N163" s="176">
        <f t="shared" si="257"/>
        <v>15.547405857740586</v>
      </c>
      <c r="O163" s="176">
        <f t="shared" si="248"/>
        <v>7.95</v>
      </c>
      <c r="P163" s="221">
        <f t="shared" si="258"/>
        <v>1.0364937238493723</v>
      </c>
      <c r="Q163" s="221">
        <f t="shared" si="259"/>
        <v>15</v>
      </c>
      <c r="R163" s="221"/>
      <c r="S163" s="176">
        <f t="shared" si="260"/>
        <v>36.287950721406759</v>
      </c>
      <c r="T163" s="176">
        <f t="shared" si="261"/>
        <v>15</v>
      </c>
      <c r="U163" s="221">
        <f t="shared" si="262"/>
        <v>2.0964912280701755</v>
      </c>
      <c r="V163" s="221">
        <f t="shared" si="263"/>
        <v>1.2229532163742691</v>
      </c>
      <c r="W163" s="221">
        <f t="shared" si="264"/>
        <v>0.61532237301850012</v>
      </c>
      <c r="X163" s="201">
        <f t="shared" si="265"/>
        <v>350</v>
      </c>
      <c r="Y163" s="451">
        <f t="shared" si="203"/>
        <v>350</v>
      </c>
      <c r="AA163" s="221">
        <f t="shared" si="266"/>
        <v>3.2584749380923919</v>
      </c>
      <c r="AB163" s="177">
        <f t="shared" si="267"/>
        <v>0.95636580992229525</v>
      </c>
      <c r="AC163" s="177">
        <f t="shared" si="268"/>
        <v>0.81802718111106087</v>
      </c>
      <c r="AD163" s="177"/>
      <c r="AE163" s="177">
        <f t="shared" si="269"/>
        <v>0.24067085953878403</v>
      </c>
      <c r="AF163" s="559">
        <f t="shared" si="270"/>
        <v>3580.7767485340369</v>
      </c>
      <c r="AG163" s="542">
        <f t="shared" si="271"/>
        <v>5.1804402515723262E-2</v>
      </c>
      <c r="AI163" s="177">
        <f t="shared" si="272"/>
        <v>2.6228197943185858</v>
      </c>
      <c r="AJ163" s="177">
        <f t="shared" si="273"/>
        <v>2.6228197943185858</v>
      </c>
      <c r="AK163" s="177">
        <f t="shared" si="274"/>
        <v>2.5354220698656196</v>
      </c>
      <c r="AM163" s="559">
        <f t="shared" si="275"/>
        <v>530</v>
      </c>
      <c r="AN163" s="469">
        <f t="shared" si="276"/>
        <v>350</v>
      </c>
      <c r="AP163">
        <f t="shared" si="277"/>
        <v>530</v>
      </c>
      <c r="AQ163">
        <f t="shared" si="278"/>
        <v>350</v>
      </c>
      <c r="AS163" s="5">
        <f t="shared" si="249"/>
        <v>2.8571428571428572</v>
      </c>
      <c r="AT163" s="5">
        <f t="shared" si="279"/>
        <v>1.5299782133525082</v>
      </c>
      <c r="AU163" s="5">
        <f t="shared" si="218"/>
        <v>1.327164643790349</v>
      </c>
      <c r="AV163" s="5"/>
      <c r="AW163" s="177">
        <f t="shared" si="219"/>
        <v>0.53549237467337785</v>
      </c>
      <c r="AX163" s="177">
        <f t="shared" si="245"/>
        <v>8.4269999999999996</v>
      </c>
      <c r="AY163" s="177">
        <f t="shared" si="246"/>
        <v>0.9137398457389394</v>
      </c>
      <c r="AZ163" s="177">
        <f t="shared" si="250"/>
        <v>9.2225375081296832</v>
      </c>
      <c r="BA163" s="469">
        <f t="shared" si="280"/>
        <v>18.128571784263034</v>
      </c>
      <c r="BB163" s="469">
        <f t="shared" si="281"/>
        <v>17.976247117003371</v>
      </c>
      <c r="BC163" s="5">
        <f t="shared" si="222"/>
        <v>1.2340302828226053</v>
      </c>
      <c r="BD163" s="469">
        <f t="shared" si="282"/>
        <v>94.644376474853303</v>
      </c>
      <c r="BF163" s="177">
        <f t="shared" si="251"/>
        <v>1.1081140737187145</v>
      </c>
      <c r="BG163" s="177">
        <f t="shared" si="247"/>
        <v>1.5480875150525897</v>
      </c>
      <c r="BI163" s="542">
        <f t="shared" si="224"/>
        <v>0.1350708480410833</v>
      </c>
      <c r="BJ163" s="542">
        <f t="shared" si="225"/>
        <v>0.16454915684606228</v>
      </c>
      <c r="BK163" s="542">
        <f t="shared" si="226"/>
        <v>1.7499999999999998E-2</v>
      </c>
      <c r="BL163" s="542">
        <f t="shared" si="227"/>
        <v>0.10121127187500001</v>
      </c>
      <c r="BM163">
        <f t="shared" si="228"/>
        <v>3.48E-3</v>
      </c>
      <c r="BN163" s="469">
        <f t="shared" si="229"/>
        <v>421.81127676214555</v>
      </c>
      <c r="BO163" s="542">
        <f t="shared" si="230"/>
        <v>0.47700000000000004</v>
      </c>
      <c r="BR163" s="469">
        <f t="shared" si="231"/>
        <v>477.00000000000006</v>
      </c>
      <c r="BS163" s="542">
        <f t="shared" si="232"/>
        <v>0</v>
      </c>
      <c r="BT163" s="542">
        <f t="shared" si="233"/>
        <v>0</v>
      </c>
      <c r="BU163" s="542">
        <f t="shared" si="234"/>
        <v>0</v>
      </c>
      <c r="BV163" s="542">
        <f t="shared" si="235"/>
        <v>0</v>
      </c>
      <c r="BW163" s="469">
        <f t="shared" si="236"/>
        <v>0</v>
      </c>
      <c r="BX163" s="177">
        <f t="shared" si="237"/>
        <v>0.89881127676214567</v>
      </c>
      <c r="BY163" s="5">
        <f t="shared" si="238"/>
        <v>7.95</v>
      </c>
      <c r="BZ163" s="177">
        <f t="shared" si="239"/>
        <v>0.89842576040439326</v>
      </c>
      <c r="CA163" s="5">
        <f t="shared" si="240"/>
        <v>89.842576040439326</v>
      </c>
      <c r="CD163" s="576">
        <f t="shared" si="283"/>
        <v>-50</v>
      </c>
      <c r="CE163">
        <f t="shared" si="284"/>
        <v>-50</v>
      </c>
    </row>
    <row r="164" spans="5:83" x14ac:dyDescent="0.25">
      <c r="E164" s="174">
        <v>54</v>
      </c>
      <c r="F164" s="221">
        <f t="shared" si="285"/>
        <v>0.54</v>
      </c>
      <c r="G164" s="221"/>
      <c r="H164" s="221">
        <f t="shared" si="252"/>
        <v>8.1000000000000014</v>
      </c>
      <c r="I164" s="555">
        <f t="shared" si="253"/>
        <v>12</v>
      </c>
      <c r="J164" s="451">
        <f t="shared" si="254"/>
        <v>23.85</v>
      </c>
      <c r="K164" s="451">
        <f t="shared" si="255"/>
        <v>35.85</v>
      </c>
      <c r="L164" s="451"/>
      <c r="M164" s="221">
        <f t="shared" si="256"/>
        <v>0.66527196652719667</v>
      </c>
      <c r="N164" s="176">
        <f t="shared" si="257"/>
        <v>15.547405857740586</v>
      </c>
      <c r="O164" s="176">
        <f t="shared" si="248"/>
        <v>8.1000000000000014</v>
      </c>
      <c r="P164" s="221">
        <f t="shared" si="258"/>
        <v>1.0364937238493723</v>
      </c>
      <c r="Q164" s="221">
        <f t="shared" si="259"/>
        <v>15</v>
      </c>
      <c r="R164" s="221"/>
      <c r="S164" s="176">
        <f t="shared" si="260"/>
        <v>35.475712047506889</v>
      </c>
      <c r="T164" s="176">
        <f t="shared" si="261"/>
        <v>15</v>
      </c>
      <c r="U164" s="221">
        <f t="shared" si="262"/>
        <v>2.1360476663356511</v>
      </c>
      <c r="V164" s="221">
        <f t="shared" si="263"/>
        <v>1.2460278053624632</v>
      </c>
      <c r="W164" s="221">
        <f t="shared" si="264"/>
        <v>0.62693222911318902</v>
      </c>
      <c r="X164" s="201">
        <f t="shared" si="265"/>
        <v>350</v>
      </c>
      <c r="Y164" s="451">
        <f t="shared" si="203"/>
        <v>350</v>
      </c>
      <c r="AA164" s="221">
        <f t="shared" si="266"/>
        <v>3.2584749380923919</v>
      </c>
      <c r="AB164" s="177">
        <f t="shared" si="267"/>
        <v>0.95636580992229525</v>
      </c>
      <c r="AC164" s="177">
        <f t="shared" si="268"/>
        <v>0.81802718111106087</v>
      </c>
      <c r="AD164" s="177"/>
      <c r="AE164" s="177">
        <f t="shared" si="269"/>
        <v>0.24067085953878403</v>
      </c>
      <c r="AF164" s="559">
        <f t="shared" si="270"/>
        <v>3648.3385739780751</v>
      </c>
      <c r="AG164" s="542">
        <f t="shared" si="271"/>
        <v>5.1804402515723262E-2</v>
      </c>
      <c r="AI164" s="177">
        <f t="shared" si="272"/>
        <v>2.6474477505395146</v>
      </c>
      <c r="AJ164" s="177">
        <f t="shared" si="273"/>
        <v>2.6474477505395146</v>
      </c>
      <c r="AK164" s="177">
        <f t="shared" si="274"/>
        <v>2.5536650003996408</v>
      </c>
      <c r="AM164" s="559">
        <f t="shared" si="275"/>
        <v>540</v>
      </c>
      <c r="AN164" s="469">
        <f t="shared" si="276"/>
        <v>350</v>
      </c>
      <c r="AP164">
        <f t="shared" si="277"/>
        <v>540</v>
      </c>
      <c r="AQ164">
        <f t="shared" si="278"/>
        <v>350</v>
      </c>
      <c r="AS164" s="5">
        <f t="shared" si="249"/>
        <v>2.8571428571428572</v>
      </c>
      <c r="AT164" s="5">
        <f t="shared" si="279"/>
        <v>1.5443445211480502</v>
      </c>
      <c r="AU164" s="5">
        <f t="shared" si="218"/>
        <v>1.312798335994807</v>
      </c>
      <c r="AV164" s="5"/>
      <c r="AW164" s="177">
        <f t="shared" si="219"/>
        <v>0.54052058240181755</v>
      </c>
      <c r="AX164" s="177">
        <f t="shared" si="245"/>
        <v>8.5860000000000021</v>
      </c>
      <c r="AY164" s="177">
        <f t="shared" si="246"/>
        <v>0.91233581290463583</v>
      </c>
      <c r="AZ164" s="177">
        <f t="shared" si="250"/>
        <v>9.4110084012425759</v>
      </c>
      <c r="BA164" s="469">
        <f t="shared" si="280"/>
        <v>18.128571784263034</v>
      </c>
      <c r="BB164" s="469">
        <f t="shared" si="281"/>
        <v>18.630429545454554</v>
      </c>
      <c r="BC164" s="5">
        <f t="shared" si="222"/>
        <v>1.2437036867319227</v>
      </c>
      <c r="BD164" s="469">
        <f t="shared" si="282"/>
        <v>95.409355452262616</v>
      </c>
      <c r="BF164" s="177">
        <f t="shared" si="251"/>
        <v>1.1237582377928754</v>
      </c>
      <c r="BG164" s="177">
        <f t="shared" si="247"/>
        <v>1.5541432995740829</v>
      </c>
      <c r="BI164" s="542">
        <f t="shared" si="224"/>
        <v>0.13891158347080837</v>
      </c>
      <c r="BJ164" s="542">
        <f t="shared" si="225"/>
        <v>0.16609425324947283</v>
      </c>
      <c r="BK164" s="542">
        <f t="shared" si="226"/>
        <v>1.7499999999999998E-2</v>
      </c>
      <c r="BL164" s="542">
        <f t="shared" si="227"/>
        <v>0.10121127187500001</v>
      </c>
      <c r="BM164">
        <f t="shared" si="228"/>
        <v>3.48E-3</v>
      </c>
      <c r="BN164" s="469">
        <f t="shared" si="229"/>
        <v>427.19710859528118</v>
      </c>
      <c r="BO164" s="542">
        <f t="shared" si="230"/>
        <v>0.48600000000000004</v>
      </c>
      <c r="BR164" s="469">
        <f t="shared" si="231"/>
        <v>486.00000000000006</v>
      </c>
      <c r="BS164" s="542">
        <f t="shared" si="232"/>
        <v>0</v>
      </c>
      <c r="BT164" s="542">
        <f t="shared" si="233"/>
        <v>0</v>
      </c>
      <c r="BU164" s="542">
        <f t="shared" si="234"/>
        <v>0</v>
      </c>
      <c r="BV164" s="542">
        <f t="shared" si="235"/>
        <v>0</v>
      </c>
      <c r="BW164" s="469">
        <f t="shared" si="236"/>
        <v>0</v>
      </c>
      <c r="BX164" s="177">
        <f t="shared" si="237"/>
        <v>0.91319710859528125</v>
      </c>
      <c r="BY164" s="5">
        <f t="shared" si="238"/>
        <v>8.1000000000000014</v>
      </c>
      <c r="BZ164" s="177">
        <f t="shared" si="239"/>
        <v>0.89868222145897314</v>
      </c>
      <c r="CA164" s="5">
        <f t="shared" si="240"/>
        <v>89.86822214589732</v>
      </c>
      <c r="CD164" s="576">
        <f t="shared" si="283"/>
        <v>-50</v>
      </c>
      <c r="CE164">
        <f t="shared" si="284"/>
        <v>-50</v>
      </c>
    </row>
    <row r="165" spans="5:83" x14ac:dyDescent="0.25">
      <c r="E165" s="174">
        <v>55</v>
      </c>
      <c r="F165" s="221">
        <f t="shared" si="285"/>
        <v>0.55000000000000004</v>
      </c>
      <c r="G165" s="221"/>
      <c r="H165" s="221">
        <f t="shared" si="252"/>
        <v>8.25</v>
      </c>
      <c r="I165" s="555">
        <f t="shared" si="253"/>
        <v>12</v>
      </c>
      <c r="J165" s="451">
        <f t="shared" si="254"/>
        <v>23.85</v>
      </c>
      <c r="K165" s="451">
        <f t="shared" si="255"/>
        <v>35.85</v>
      </c>
      <c r="L165" s="451"/>
      <c r="M165" s="221">
        <f t="shared" si="256"/>
        <v>0.66527196652719667</v>
      </c>
      <c r="N165" s="176">
        <f t="shared" si="257"/>
        <v>15.547405857740586</v>
      </c>
      <c r="O165" s="176">
        <f t="shared" si="248"/>
        <v>8.25</v>
      </c>
      <c r="P165" s="221">
        <f t="shared" si="258"/>
        <v>1.0364937238493723</v>
      </c>
      <c r="Q165" s="221">
        <f t="shared" si="259"/>
        <v>15</v>
      </c>
      <c r="R165" s="221"/>
      <c r="S165" s="176">
        <f t="shared" si="260"/>
        <v>34.693194949490135</v>
      </c>
      <c r="T165" s="176">
        <f t="shared" si="261"/>
        <v>15</v>
      </c>
      <c r="U165" s="221">
        <f t="shared" si="262"/>
        <v>2.1756041046011259</v>
      </c>
      <c r="V165" s="221">
        <f t="shared" si="263"/>
        <v>1.2691023943506567</v>
      </c>
      <c r="W165" s="221">
        <f t="shared" si="264"/>
        <v>0.63854208520787759</v>
      </c>
      <c r="X165" s="201">
        <f t="shared" si="265"/>
        <v>350</v>
      </c>
      <c r="Y165" s="451">
        <f t="shared" si="203"/>
        <v>350</v>
      </c>
      <c r="AA165" s="221">
        <f t="shared" si="266"/>
        <v>3.2584749380923919</v>
      </c>
      <c r="AB165" s="177">
        <f t="shared" si="267"/>
        <v>0.95636580992229525</v>
      </c>
      <c r="AC165" s="177">
        <f t="shared" si="268"/>
        <v>0.81802718111106087</v>
      </c>
      <c r="AD165" s="177"/>
      <c r="AE165" s="177">
        <f t="shared" si="269"/>
        <v>0.24067085953878403</v>
      </c>
      <c r="AF165" s="559">
        <f t="shared" si="270"/>
        <v>3715.9003994221139</v>
      </c>
      <c r="AG165" s="542">
        <f t="shared" si="271"/>
        <v>5.1804402515723262E-2</v>
      </c>
      <c r="AI165" s="177">
        <f t="shared" si="272"/>
        <v>2.6718487064585235</v>
      </c>
      <c r="AJ165" s="177">
        <f t="shared" si="273"/>
        <v>2.6718487064585235</v>
      </c>
      <c r="AK165" s="177">
        <f t="shared" si="274"/>
        <v>2.5717397825618695</v>
      </c>
      <c r="AM165" s="559">
        <f t="shared" si="275"/>
        <v>550</v>
      </c>
      <c r="AN165" s="469">
        <f t="shared" si="276"/>
        <v>350</v>
      </c>
      <c r="AP165">
        <f t="shared" si="277"/>
        <v>550</v>
      </c>
      <c r="AQ165">
        <f t="shared" si="278"/>
        <v>350</v>
      </c>
      <c r="AS165" s="5">
        <f t="shared" si="249"/>
        <v>2.8571428571428572</v>
      </c>
      <c r="AT165" s="5">
        <f t="shared" si="279"/>
        <v>1.5585784121008053</v>
      </c>
      <c r="AU165" s="5">
        <f t="shared" si="218"/>
        <v>1.2985644450420519</v>
      </c>
      <c r="AV165" s="5"/>
      <c r="AW165" s="177">
        <f t="shared" si="219"/>
        <v>0.54550244423528182</v>
      </c>
      <c r="AX165" s="177">
        <f t="shared" si="245"/>
        <v>8.7450000000000045</v>
      </c>
      <c r="AY165" s="177">
        <f t="shared" si="246"/>
        <v>0.91076152984389225</v>
      </c>
      <c r="AZ165" s="177">
        <f t="shared" si="250"/>
        <v>9.6018548362477816</v>
      </c>
      <c r="BA165" s="469">
        <f t="shared" si="280"/>
        <v>18.128571784263034</v>
      </c>
      <c r="BB165" s="469">
        <f t="shared" si="281"/>
        <v>19.296278935185192</v>
      </c>
      <c r="BC165" s="5">
        <f t="shared" si="222"/>
        <v>1.2530007803037344</v>
      </c>
      <c r="BD165" s="469">
        <f t="shared" si="282"/>
        <v>96.146111154359019</v>
      </c>
      <c r="BF165" s="177">
        <f t="shared" si="251"/>
        <v>1.1393301379411938</v>
      </c>
      <c r="BG165" s="177">
        <f t="shared" si="247"/>
        <v>1.5599413499890276</v>
      </c>
      <c r="BI165" s="542">
        <f t="shared" si="224"/>
        <v>0.14278804795432096</v>
      </c>
      <c r="BJ165" s="542">
        <f t="shared" si="225"/>
        <v>0.16762510822144161</v>
      </c>
      <c r="BK165" s="542">
        <f t="shared" si="226"/>
        <v>1.7499999999999998E-2</v>
      </c>
      <c r="BL165" s="542">
        <f t="shared" si="227"/>
        <v>0.10121127187500001</v>
      </c>
      <c r="BM165">
        <f t="shared" si="228"/>
        <v>3.48E-3</v>
      </c>
      <c r="BN165" s="469">
        <f t="shared" si="229"/>
        <v>432.60442805076258</v>
      </c>
      <c r="BO165" s="542">
        <f t="shared" si="230"/>
        <v>0.49500000000000005</v>
      </c>
      <c r="BR165" s="469">
        <f t="shared" si="231"/>
        <v>495.00000000000006</v>
      </c>
      <c r="BS165" s="542">
        <f t="shared" si="232"/>
        <v>0</v>
      </c>
      <c r="BT165" s="542">
        <f t="shared" si="233"/>
        <v>0</v>
      </c>
      <c r="BU165" s="542">
        <f t="shared" si="234"/>
        <v>0</v>
      </c>
      <c r="BV165" s="542">
        <f t="shared" si="235"/>
        <v>0</v>
      </c>
      <c r="BW165" s="469">
        <f t="shared" si="236"/>
        <v>0</v>
      </c>
      <c r="BX165" s="177">
        <f t="shared" si="237"/>
        <v>0.92760442805076271</v>
      </c>
      <c r="BY165" s="5">
        <f t="shared" si="238"/>
        <v>8.25</v>
      </c>
      <c r="BZ165" s="177">
        <f t="shared" si="239"/>
        <v>0.89892739054915038</v>
      </c>
      <c r="CA165" s="5">
        <f t="shared" si="240"/>
        <v>89.89273905491504</v>
      </c>
      <c r="CD165" s="576">
        <f t="shared" si="283"/>
        <v>-50</v>
      </c>
      <c r="CE165">
        <f t="shared" si="284"/>
        <v>-50</v>
      </c>
    </row>
    <row r="166" spans="5:83" x14ac:dyDescent="0.25">
      <c r="E166" s="174">
        <v>56</v>
      </c>
      <c r="F166" s="221">
        <f t="shared" si="285"/>
        <v>0.56000000000000005</v>
      </c>
      <c r="G166" s="221"/>
      <c r="H166" s="221">
        <f t="shared" si="252"/>
        <v>8.4</v>
      </c>
      <c r="I166" s="555">
        <f t="shared" si="253"/>
        <v>12</v>
      </c>
      <c r="J166" s="451">
        <f t="shared" si="254"/>
        <v>23.85</v>
      </c>
      <c r="K166" s="451">
        <f t="shared" si="255"/>
        <v>35.85</v>
      </c>
      <c r="L166" s="451"/>
      <c r="M166" s="221">
        <f t="shared" si="256"/>
        <v>0.66527196652719667</v>
      </c>
      <c r="N166" s="176">
        <f t="shared" si="257"/>
        <v>15.547405857740586</v>
      </c>
      <c r="O166" s="176">
        <f t="shared" si="248"/>
        <v>8.4</v>
      </c>
      <c r="P166" s="221">
        <f t="shared" si="258"/>
        <v>1.0364937238493723</v>
      </c>
      <c r="Q166" s="221">
        <f t="shared" si="259"/>
        <v>15</v>
      </c>
      <c r="R166" s="221"/>
      <c r="S166" s="176">
        <f t="shared" si="260"/>
        <v>33.93880893500539</v>
      </c>
      <c r="T166" s="176">
        <f t="shared" si="261"/>
        <v>15</v>
      </c>
      <c r="U166" s="221">
        <f t="shared" si="262"/>
        <v>2.2151605428666006</v>
      </c>
      <c r="V166" s="221">
        <f t="shared" si="263"/>
        <v>1.2921769833388503</v>
      </c>
      <c r="W166" s="221">
        <f t="shared" si="264"/>
        <v>0.65015194130256615</v>
      </c>
      <c r="X166" s="201">
        <f t="shared" si="265"/>
        <v>350</v>
      </c>
      <c r="Y166" s="451">
        <f t="shared" si="203"/>
        <v>350</v>
      </c>
      <c r="AA166" s="221">
        <f t="shared" si="266"/>
        <v>3.2584749380923919</v>
      </c>
      <c r="AB166" s="177">
        <f t="shared" si="267"/>
        <v>0.95636580992229525</v>
      </c>
      <c r="AC166" s="177">
        <f t="shared" si="268"/>
        <v>0.81802718111106087</v>
      </c>
      <c r="AD166" s="177"/>
      <c r="AE166" s="177">
        <f t="shared" si="269"/>
        <v>0.24067085953878403</v>
      </c>
      <c r="AF166" s="559">
        <f t="shared" si="270"/>
        <v>3783.4622248661522</v>
      </c>
      <c r="AG166" s="542">
        <f t="shared" si="271"/>
        <v>5.1804402515723262E-2</v>
      </c>
      <c r="AI166" s="177">
        <f t="shared" si="272"/>
        <v>2.6960288256195315</v>
      </c>
      <c r="AJ166" s="177">
        <f t="shared" si="273"/>
        <v>2.6960288256195315</v>
      </c>
      <c r="AK166" s="177">
        <f t="shared" si="274"/>
        <v>2.5896509819403937</v>
      </c>
      <c r="AM166" s="559">
        <f t="shared" si="275"/>
        <v>560</v>
      </c>
      <c r="AN166" s="469">
        <f t="shared" si="276"/>
        <v>350</v>
      </c>
      <c r="AP166">
        <f t="shared" si="277"/>
        <v>560</v>
      </c>
      <c r="AQ166">
        <f t="shared" si="278"/>
        <v>350</v>
      </c>
      <c r="AS166" s="5">
        <f t="shared" si="249"/>
        <v>2.8571428571428572</v>
      </c>
      <c r="AT166" s="5">
        <f t="shared" si="279"/>
        <v>1.5726834816113933</v>
      </c>
      <c r="AU166" s="5">
        <f t="shared" si="218"/>
        <v>1.2844593755314639</v>
      </c>
      <c r="AV166" s="5"/>
      <c r="AW166" s="177">
        <f t="shared" si="219"/>
        <v>0.55043921856398759</v>
      </c>
      <c r="AX166" s="177">
        <f t="shared" si="245"/>
        <v>8.9040000000000017</v>
      </c>
      <c r="AY166" s="177">
        <f t="shared" si="246"/>
        <v>0.90902161921464852</v>
      </c>
      <c r="AZ166" s="177">
        <f t="shared" si="250"/>
        <v>9.7951465749435478</v>
      </c>
      <c r="BA166" s="469">
        <f t="shared" si="280"/>
        <v>18.128571784263034</v>
      </c>
      <c r="BB166" s="469">
        <f t="shared" si="281"/>
        <v>19.973795286195291</v>
      </c>
      <c r="BC166" s="5">
        <f t="shared" si="222"/>
        <v>1.2619250005221401</v>
      </c>
      <c r="BD166" s="469">
        <f t="shared" si="282"/>
        <v>96.854901354949973</v>
      </c>
      <c r="BF166" s="177">
        <f t="shared" si="251"/>
        <v>1.1548314129804669</v>
      </c>
      <c r="BG166" s="177">
        <f t="shared" si="247"/>
        <v>1.5654866618767576</v>
      </c>
      <c r="BI166" s="542">
        <f t="shared" si="224"/>
        <v>0.14669991516471079</v>
      </c>
      <c r="BJ166" s="542">
        <f t="shared" si="225"/>
        <v>0.16914210844730537</v>
      </c>
      <c r="BK166" s="542">
        <f t="shared" si="226"/>
        <v>1.7499999999999998E-2</v>
      </c>
      <c r="BL166" s="542">
        <f t="shared" si="227"/>
        <v>0.10121127187500001</v>
      </c>
      <c r="BM166">
        <f t="shared" si="228"/>
        <v>3.48E-3</v>
      </c>
      <c r="BN166" s="469">
        <f t="shared" si="229"/>
        <v>438.03329548701618</v>
      </c>
      <c r="BO166" s="542">
        <f t="shared" si="230"/>
        <v>0.50400000000000011</v>
      </c>
      <c r="BR166" s="469">
        <f t="shared" si="231"/>
        <v>504.00000000000011</v>
      </c>
      <c r="BS166" s="542">
        <f t="shared" si="232"/>
        <v>0</v>
      </c>
      <c r="BT166" s="542">
        <f t="shared" si="233"/>
        <v>0</v>
      </c>
      <c r="BU166" s="542">
        <f t="shared" si="234"/>
        <v>0</v>
      </c>
      <c r="BV166" s="542">
        <f t="shared" si="235"/>
        <v>0</v>
      </c>
      <c r="BW166" s="469">
        <f t="shared" si="236"/>
        <v>0</v>
      </c>
      <c r="BX166" s="177">
        <f t="shared" si="237"/>
        <v>0.94203329548701631</v>
      </c>
      <c r="BY166" s="5">
        <f t="shared" si="238"/>
        <v>8.4</v>
      </c>
      <c r="BZ166" s="177">
        <f t="shared" si="239"/>
        <v>0.89916185634426105</v>
      </c>
      <c r="CA166" s="5">
        <f t="shared" si="240"/>
        <v>89.9161856344261</v>
      </c>
      <c r="CD166" s="576">
        <f t="shared" si="283"/>
        <v>-50</v>
      </c>
      <c r="CE166">
        <f t="shared" si="284"/>
        <v>-50</v>
      </c>
    </row>
    <row r="167" spans="5:83" x14ac:dyDescent="0.25">
      <c r="E167" s="174">
        <v>57</v>
      </c>
      <c r="F167" s="221">
        <f t="shared" si="285"/>
        <v>0.56999999999999995</v>
      </c>
      <c r="G167" s="221"/>
      <c r="H167" s="221">
        <f t="shared" si="252"/>
        <v>8.5499999999999989</v>
      </c>
      <c r="I167" s="555">
        <f t="shared" si="253"/>
        <v>12</v>
      </c>
      <c r="J167" s="451">
        <f t="shared" si="254"/>
        <v>23.85</v>
      </c>
      <c r="K167" s="451">
        <f t="shared" si="255"/>
        <v>35.85</v>
      </c>
      <c r="L167" s="451"/>
      <c r="M167" s="221">
        <f t="shared" si="256"/>
        <v>0.66527196652719667</v>
      </c>
      <c r="N167" s="176">
        <f t="shared" si="257"/>
        <v>15.547405857740586</v>
      </c>
      <c r="O167" s="176">
        <f t="shared" si="248"/>
        <v>8.5499999999999989</v>
      </c>
      <c r="P167" s="221">
        <f t="shared" si="258"/>
        <v>1.0364937238493723</v>
      </c>
      <c r="Q167" s="221">
        <f t="shared" si="259"/>
        <v>15</v>
      </c>
      <c r="R167" s="221"/>
      <c r="S167" s="176">
        <f t="shared" si="260"/>
        <v>33.211075141144278</v>
      </c>
      <c r="T167" s="176">
        <f t="shared" si="261"/>
        <v>15</v>
      </c>
      <c r="U167" s="221">
        <f t="shared" si="262"/>
        <v>2.2547169811320753</v>
      </c>
      <c r="V167" s="221">
        <f t="shared" si="263"/>
        <v>1.3152515723270439</v>
      </c>
      <c r="W167" s="221">
        <f t="shared" si="264"/>
        <v>0.66176179739725483</v>
      </c>
      <c r="X167" s="201">
        <f t="shared" si="265"/>
        <v>350</v>
      </c>
      <c r="Y167" s="451">
        <f t="shared" si="203"/>
        <v>350</v>
      </c>
      <c r="AA167" s="221">
        <f t="shared" si="266"/>
        <v>3.2584749380923919</v>
      </c>
      <c r="AB167" s="177">
        <f t="shared" si="267"/>
        <v>0.95636580992229525</v>
      </c>
      <c r="AC167" s="177">
        <f t="shared" si="268"/>
        <v>0.81802718111106087</v>
      </c>
      <c r="AD167" s="177"/>
      <c r="AE167" s="177">
        <f t="shared" si="269"/>
        <v>0.24067085953878403</v>
      </c>
      <c r="AF167" s="559">
        <f t="shared" si="270"/>
        <v>3851.02405031019</v>
      </c>
      <c r="AG167" s="542">
        <f t="shared" si="271"/>
        <v>5.1804402515723262E-2</v>
      </c>
      <c r="AI167" s="177">
        <f t="shared" si="272"/>
        <v>2.7199939975924168</v>
      </c>
      <c r="AJ167" s="177">
        <f t="shared" si="273"/>
        <v>2.7199939975924168</v>
      </c>
      <c r="AK167" s="177">
        <f t="shared" si="274"/>
        <v>2.6074029611795684</v>
      </c>
      <c r="AM167" s="559">
        <f t="shared" si="275"/>
        <v>570</v>
      </c>
      <c r="AN167" s="469">
        <f t="shared" si="276"/>
        <v>350</v>
      </c>
      <c r="AP167">
        <f t="shared" si="277"/>
        <v>570</v>
      </c>
      <c r="AQ167">
        <f t="shared" si="278"/>
        <v>350</v>
      </c>
      <c r="AS167" s="5">
        <f t="shared" si="249"/>
        <v>2.8571428571428572</v>
      </c>
      <c r="AT167" s="5">
        <f t="shared" si="279"/>
        <v>1.5866631652622429</v>
      </c>
      <c r="AU167" s="5">
        <f t="shared" si="218"/>
        <v>1.2704796918806143</v>
      </c>
      <c r="AV167" s="5"/>
      <c r="AW167" s="177">
        <f t="shared" si="219"/>
        <v>0.55533210784178499</v>
      </c>
      <c r="AX167" s="177">
        <f t="shared" si="245"/>
        <v>9.0630000000000006</v>
      </c>
      <c r="AY167" s="177">
        <f t="shared" si="246"/>
        <v>0.90712049819431273</v>
      </c>
      <c r="AZ167" s="177">
        <f t="shared" si="250"/>
        <v>9.9909549150752746</v>
      </c>
      <c r="BA167" s="469">
        <f t="shared" si="280"/>
        <v>18.128571784263034</v>
      </c>
      <c r="BB167" s="469">
        <f t="shared" si="281"/>
        <v>20.662978598484852</v>
      </c>
      <c r="BC167" s="5">
        <f t="shared" si="222"/>
        <v>1.2704796918806143</v>
      </c>
      <c r="BD167" s="469">
        <f t="shared" si="282"/>
        <v>97.535976891046047</v>
      </c>
      <c r="BF167" s="177">
        <f t="shared" si="251"/>
        <v>1.1702636360187313</v>
      </c>
      <c r="BG167" s="177">
        <f t="shared" si="247"/>
        <v>1.5707839794769916</v>
      </c>
      <c r="BI167" s="542">
        <f t="shared" si="224"/>
        <v>0.15064686755665599</v>
      </c>
      <c r="BJ167" s="542">
        <f t="shared" si="225"/>
        <v>0.17064562342395428</v>
      </c>
      <c r="BK167" s="542">
        <f t="shared" si="226"/>
        <v>1.7499999999999998E-2</v>
      </c>
      <c r="BL167" s="542">
        <f t="shared" si="227"/>
        <v>0.10121127187500001</v>
      </c>
      <c r="BM167">
        <f t="shared" si="228"/>
        <v>3.48E-3</v>
      </c>
      <c r="BN167" s="469">
        <f t="shared" si="229"/>
        <v>443.48376285561028</v>
      </c>
      <c r="BO167" s="542">
        <f t="shared" si="230"/>
        <v>0.51300000000000001</v>
      </c>
      <c r="BR167" s="469">
        <f t="shared" si="231"/>
        <v>513</v>
      </c>
      <c r="BS167" s="542">
        <f t="shared" si="232"/>
        <v>0</v>
      </c>
      <c r="BT167" s="542">
        <f t="shared" si="233"/>
        <v>0</v>
      </c>
      <c r="BU167" s="542">
        <f t="shared" si="234"/>
        <v>0</v>
      </c>
      <c r="BV167" s="542">
        <f t="shared" si="235"/>
        <v>0</v>
      </c>
      <c r="BW167" s="469">
        <f t="shared" si="236"/>
        <v>0</v>
      </c>
      <c r="BX167" s="177">
        <f t="shared" si="237"/>
        <v>0.95648376285561032</v>
      </c>
      <c r="BY167" s="5">
        <f t="shared" si="238"/>
        <v>8.5499999999999989</v>
      </c>
      <c r="BZ167" s="177">
        <f t="shared" si="239"/>
        <v>0.89938616772345947</v>
      </c>
      <c r="CA167" s="5">
        <f t="shared" si="240"/>
        <v>89.938616772345952</v>
      </c>
      <c r="CD167" s="576">
        <f t="shared" si="283"/>
        <v>-50</v>
      </c>
      <c r="CE167">
        <f t="shared" si="284"/>
        <v>-50</v>
      </c>
    </row>
    <row r="168" spans="5:83" x14ac:dyDescent="0.25">
      <c r="E168" s="174">
        <v>58</v>
      </c>
      <c r="F168" s="221">
        <f t="shared" si="285"/>
        <v>0.57999999999999996</v>
      </c>
      <c r="G168" s="221"/>
      <c r="H168" s="221">
        <f t="shared" si="252"/>
        <v>8.6999999999999993</v>
      </c>
      <c r="I168" s="555">
        <f t="shared" si="253"/>
        <v>12</v>
      </c>
      <c r="J168" s="451">
        <f t="shared" si="254"/>
        <v>23.85</v>
      </c>
      <c r="K168" s="451">
        <f t="shared" si="255"/>
        <v>35.85</v>
      </c>
      <c r="L168" s="451"/>
      <c r="M168" s="221">
        <f t="shared" si="256"/>
        <v>0.66527196652719667</v>
      </c>
      <c r="N168" s="176">
        <f t="shared" si="257"/>
        <v>15.547405857740586</v>
      </c>
      <c r="O168" s="176">
        <f t="shared" si="248"/>
        <v>8.6999999999999993</v>
      </c>
      <c r="P168" s="221">
        <f t="shared" si="258"/>
        <v>1.0364937238493723</v>
      </c>
      <c r="Q168" s="221">
        <f t="shared" si="259"/>
        <v>15</v>
      </c>
      <c r="R168" s="221"/>
      <c r="S168" s="176">
        <f t="shared" si="260"/>
        <v>32.508616711282905</v>
      </c>
      <c r="T168" s="176">
        <f t="shared" si="261"/>
        <v>15</v>
      </c>
      <c r="U168" s="221">
        <f t="shared" si="262"/>
        <v>2.2942734193975505</v>
      </c>
      <c r="V168" s="221">
        <f t="shared" si="263"/>
        <v>1.3383261613152377</v>
      </c>
      <c r="W168" s="221">
        <f t="shared" si="264"/>
        <v>0.67337165349194361</v>
      </c>
      <c r="X168" s="201">
        <f t="shared" si="265"/>
        <v>350</v>
      </c>
      <c r="Y168" s="451">
        <f t="shared" si="203"/>
        <v>350</v>
      </c>
      <c r="AA168" s="221">
        <f t="shared" si="266"/>
        <v>3.2584749380923919</v>
      </c>
      <c r="AB168" s="177">
        <f t="shared" si="267"/>
        <v>0.95636580992229525</v>
      </c>
      <c r="AC168" s="177">
        <f t="shared" si="268"/>
        <v>0.81802718111106087</v>
      </c>
      <c r="AD168" s="177"/>
      <c r="AE168" s="177">
        <f t="shared" si="269"/>
        <v>0.24067085953878403</v>
      </c>
      <c r="AF168" s="559">
        <f t="shared" si="270"/>
        <v>3918.5858757542283</v>
      </c>
      <c r="AG168" s="542">
        <f t="shared" si="271"/>
        <v>5.1804402515723262E-2</v>
      </c>
      <c r="AI168" s="177">
        <f t="shared" si="272"/>
        <v>2.7437498547254857</v>
      </c>
      <c r="AJ168" s="177">
        <f t="shared" si="273"/>
        <v>2.7437498547254857</v>
      </c>
      <c r="AK168" s="177">
        <f t="shared" si="274"/>
        <v>2.6249998923892486</v>
      </c>
      <c r="AM168" s="559">
        <f t="shared" si="275"/>
        <v>580</v>
      </c>
      <c r="AN168" s="469">
        <f t="shared" si="276"/>
        <v>350</v>
      </c>
      <c r="AP168">
        <f t="shared" si="277"/>
        <v>580</v>
      </c>
      <c r="AQ168">
        <f t="shared" si="278"/>
        <v>350</v>
      </c>
      <c r="AS168" s="5">
        <f t="shared" si="249"/>
        <v>2.8571428571428572</v>
      </c>
      <c r="AT168" s="5">
        <f t="shared" si="279"/>
        <v>1.6005207485898667</v>
      </c>
      <c r="AU168" s="5">
        <f t="shared" si="218"/>
        <v>1.2566221085529905</v>
      </c>
      <c r="AV168" s="5"/>
      <c r="AW168" s="177">
        <f t="shared" si="219"/>
        <v>0.56018226200645338</v>
      </c>
      <c r="AX168" s="177">
        <f t="shared" si="245"/>
        <v>9.2220000000000013</v>
      </c>
      <c r="AY168" s="177">
        <f t="shared" si="246"/>
        <v>0.9050623910441139</v>
      </c>
      <c r="AZ168" s="177">
        <f t="shared" si="250"/>
        <v>10.189352790763028</v>
      </c>
      <c r="BA168" s="469">
        <f t="shared" si="280"/>
        <v>18.128571784263034</v>
      </c>
      <c r="BB168" s="469">
        <f t="shared" si="281"/>
        <v>21.363828872053876</v>
      </c>
      <c r="BC168" s="5">
        <f t="shared" si="222"/>
        <v>1.2786681104574289</v>
      </c>
      <c r="BD168" s="469">
        <f t="shared" si="282"/>
        <v>98.1895819685177</v>
      </c>
      <c r="BF168" s="177">
        <f t="shared" si="251"/>
        <v>1.1856283181943477</v>
      </c>
      <c r="BG168" s="177">
        <f t="shared" si="247"/>
        <v>1.5758378101647352</v>
      </c>
      <c r="BI168" s="542">
        <f t="shared" si="224"/>
        <v>0.15462859597947928</v>
      </c>
      <c r="BJ168" s="542">
        <f t="shared" si="225"/>
        <v>0.17213600651084018</v>
      </c>
      <c r="BK168" s="542">
        <f t="shared" si="226"/>
        <v>1.7499999999999998E-2</v>
      </c>
      <c r="BL168" s="542">
        <f t="shared" si="227"/>
        <v>0.10121127187500001</v>
      </c>
      <c r="BM168">
        <f t="shared" si="228"/>
        <v>3.48E-3</v>
      </c>
      <c r="BN168" s="469">
        <f t="shared" si="229"/>
        <v>448.95587436531946</v>
      </c>
      <c r="BO168" s="542">
        <f t="shared" si="230"/>
        <v>0.52200000000000002</v>
      </c>
      <c r="BR168" s="469">
        <f t="shared" si="231"/>
        <v>522</v>
      </c>
      <c r="BS168" s="542">
        <f t="shared" si="232"/>
        <v>0</v>
      </c>
      <c r="BT168" s="542">
        <f t="shared" si="233"/>
        <v>0</v>
      </c>
      <c r="BU168" s="542">
        <f t="shared" si="234"/>
        <v>0</v>
      </c>
      <c r="BV168" s="542">
        <f t="shared" si="235"/>
        <v>0</v>
      </c>
      <c r="BW168" s="469">
        <f t="shared" si="236"/>
        <v>0</v>
      </c>
      <c r="BX168" s="177">
        <f t="shared" si="237"/>
        <v>0.97095587436531949</v>
      </c>
      <c r="BY168" s="5">
        <f t="shared" si="238"/>
        <v>8.6999999999999993</v>
      </c>
      <c r="BZ168" s="177">
        <f t="shared" si="239"/>
        <v>0.89960083708591621</v>
      </c>
      <c r="CA168" s="5">
        <f t="shared" si="240"/>
        <v>89.960083708591625</v>
      </c>
      <c r="CD168" s="576">
        <f t="shared" si="283"/>
        <v>-50</v>
      </c>
      <c r="CE168">
        <f t="shared" si="284"/>
        <v>-50</v>
      </c>
    </row>
    <row r="169" spans="5:83" x14ac:dyDescent="0.25">
      <c r="E169" s="174">
        <v>59</v>
      </c>
      <c r="F169" s="221">
        <f t="shared" si="285"/>
        <v>0.59</v>
      </c>
      <c r="G169" s="221"/>
      <c r="H169" s="221">
        <f t="shared" si="252"/>
        <v>8.85</v>
      </c>
      <c r="I169" s="555">
        <f t="shared" si="253"/>
        <v>12</v>
      </c>
      <c r="J169" s="451">
        <f t="shared" si="254"/>
        <v>23.85</v>
      </c>
      <c r="K169" s="451">
        <f t="shared" si="255"/>
        <v>35.85</v>
      </c>
      <c r="L169" s="451"/>
      <c r="M169" s="221">
        <f t="shared" si="256"/>
        <v>0.66527196652719667</v>
      </c>
      <c r="N169" s="176">
        <f t="shared" si="257"/>
        <v>15.547405857740586</v>
      </c>
      <c r="O169" s="176">
        <f t="shared" si="248"/>
        <v>8.85</v>
      </c>
      <c r="P169" s="221">
        <f t="shared" si="258"/>
        <v>1.0364937238493723</v>
      </c>
      <c r="Q169" s="221">
        <f t="shared" si="259"/>
        <v>15</v>
      </c>
      <c r="R169" s="221"/>
      <c r="S169" s="176">
        <f t="shared" si="260"/>
        <v>31.83015015054723</v>
      </c>
      <c r="T169" s="176">
        <f t="shared" si="261"/>
        <v>15</v>
      </c>
      <c r="U169" s="221">
        <f t="shared" si="262"/>
        <v>2.3338298576630256</v>
      </c>
      <c r="V169" s="221">
        <f t="shared" si="263"/>
        <v>1.3614007503034316</v>
      </c>
      <c r="W169" s="221">
        <f t="shared" si="264"/>
        <v>0.68498150958663218</v>
      </c>
      <c r="X169" s="201">
        <f t="shared" si="265"/>
        <v>350</v>
      </c>
      <c r="Y169" s="451">
        <f t="shared" si="203"/>
        <v>350</v>
      </c>
      <c r="AA169" s="221">
        <f t="shared" si="266"/>
        <v>3.2584749380923919</v>
      </c>
      <c r="AB169" s="177">
        <f t="shared" si="267"/>
        <v>0.95636580992229525</v>
      </c>
      <c r="AC169" s="177">
        <f t="shared" si="268"/>
        <v>0.81802718111106087</v>
      </c>
      <c r="AD169" s="177"/>
      <c r="AE169" s="177">
        <f t="shared" si="269"/>
        <v>0.24067085953878403</v>
      </c>
      <c r="AF169" s="559">
        <f t="shared" si="270"/>
        <v>3986.147701198267</v>
      </c>
      <c r="AG169" s="542">
        <f t="shared" si="271"/>
        <v>5.1804402515723262E-2</v>
      </c>
      <c r="AI169" s="177">
        <f t="shared" si="272"/>
        <v>2.7673017876034898</v>
      </c>
      <c r="AJ169" s="177">
        <f t="shared" si="273"/>
        <v>2.7673017876034898</v>
      </c>
      <c r="AK169" s="177">
        <f t="shared" si="274"/>
        <v>2.6424457685951777</v>
      </c>
      <c r="AM169" s="559">
        <f t="shared" si="275"/>
        <v>590</v>
      </c>
      <c r="AN169" s="469">
        <f t="shared" si="276"/>
        <v>350</v>
      </c>
      <c r="AP169">
        <f t="shared" si="277"/>
        <v>590</v>
      </c>
      <c r="AQ169">
        <f t="shared" si="278"/>
        <v>350</v>
      </c>
      <c r="AS169" s="5">
        <f t="shared" si="249"/>
        <v>2.8571428571428572</v>
      </c>
      <c r="AT169" s="5">
        <f t="shared" si="279"/>
        <v>1.6142593761020358</v>
      </c>
      <c r="AU169" s="5">
        <f t="shared" si="218"/>
        <v>1.2428834810408214</v>
      </c>
      <c r="AV169" s="5"/>
      <c r="AW169" s="177">
        <f t="shared" si="219"/>
        <v>0.56499078163571248</v>
      </c>
      <c r="AX169" s="177">
        <f t="shared" si="245"/>
        <v>9.3810000000000002</v>
      </c>
      <c r="AY169" s="177">
        <f t="shared" si="246"/>
        <v>0.9028513407026173</v>
      </c>
      <c r="AZ169" s="177">
        <f t="shared" si="250"/>
        <v>10.390414874612153</v>
      </c>
      <c r="BA169" s="469">
        <f t="shared" si="280"/>
        <v>18.128571784263034</v>
      </c>
      <c r="BB169" s="469">
        <f t="shared" si="281"/>
        <v>22.07634610690236</v>
      </c>
      <c r="BC169" s="5">
        <f t="shared" si="222"/>
        <v>1.2864934277440081</v>
      </c>
      <c r="BD169" s="469">
        <f t="shared" si="282"/>
        <v>98.815954449221664</v>
      </c>
      <c r="BF169" s="177">
        <f t="shared" si="251"/>
        <v>1.2009269121416253</v>
      </c>
      <c r="BG169" s="177">
        <f t="shared" si="247"/>
        <v>1.5806524377821205</v>
      </c>
      <c r="BI169" s="542">
        <f t="shared" si="224"/>
        <v>0.1586447993136621</v>
      </c>
      <c r="BJ169" s="542">
        <f t="shared" si="225"/>
        <v>0.17361359589977396</v>
      </c>
      <c r="BK169" s="542">
        <f t="shared" si="226"/>
        <v>1.7499999999999998E-2</v>
      </c>
      <c r="BL169" s="542">
        <f t="shared" si="227"/>
        <v>0.10121127187500001</v>
      </c>
      <c r="BM169">
        <f t="shared" si="228"/>
        <v>3.48E-3</v>
      </c>
      <c r="BN169" s="469">
        <f t="shared" si="229"/>
        <v>454.44966708843606</v>
      </c>
      <c r="BO169" s="542">
        <f t="shared" si="230"/>
        <v>0.53100000000000003</v>
      </c>
      <c r="BR169" s="469">
        <f t="shared" si="231"/>
        <v>531</v>
      </c>
      <c r="BS169" s="542">
        <f t="shared" si="232"/>
        <v>0</v>
      </c>
      <c r="BT169" s="542">
        <f t="shared" si="233"/>
        <v>0</v>
      </c>
      <c r="BU169" s="542">
        <f t="shared" si="234"/>
        <v>0</v>
      </c>
      <c r="BV169" s="542">
        <f t="shared" si="235"/>
        <v>0</v>
      </c>
      <c r="BW169" s="469">
        <f t="shared" si="236"/>
        <v>0</v>
      </c>
      <c r="BX169" s="177">
        <f t="shared" si="237"/>
        <v>0.98544966708843607</v>
      </c>
      <c r="BY169" s="5">
        <f t="shared" si="238"/>
        <v>8.85</v>
      </c>
      <c r="BZ169" s="177">
        <f t="shared" si="239"/>
        <v>0.89980634333517395</v>
      </c>
      <c r="CA169" s="5">
        <f t="shared" si="240"/>
        <v>89.980634333517401</v>
      </c>
      <c r="CD169" s="576">
        <f t="shared" si="283"/>
        <v>-50</v>
      </c>
      <c r="CE169">
        <f t="shared" si="284"/>
        <v>-50</v>
      </c>
    </row>
    <row r="170" spans="5:83" x14ac:dyDescent="0.25">
      <c r="E170" s="174">
        <v>60</v>
      </c>
      <c r="F170" s="221">
        <f t="shared" si="285"/>
        <v>0.6</v>
      </c>
      <c r="G170" s="221"/>
      <c r="H170" s="221">
        <f t="shared" si="252"/>
        <v>9</v>
      </c>
      <c r="I170" s="555">
        <f t="shared" si="253"/>
        <v>12</v>
      </c>
      <c r="J170" s="451">
        <f t="shared" si="254"/>
        <v>23.85</v>
      </c>
      <c r="K170" s="451">
        <f t="shared" si="255"/>
        <v>35.85</v>
      </c>
      <c r="L170" s="451"/>
      <c r="M170" s="221">
        <f t="shared" si="256"/>
        <v>0.66527196652719667</v>
      </c>
      <c r="N170" s="176">
        <f t="shared" si="257"/>
        <v>15.547405857740586</v>
      </c>
      <c r="O170" s="176">
        <f t="shared" si="248"/>
        <v>9</v>
      </c>
      <c r="P170" s="221">
        <f t="shared" si="258"/>
        <v>1.0364937238493723</v>
      </c>
      <c r="Q170" s="221">
        <f t="shared" si="259"/>
        <v>15</v>
      </c>
      <c r="R170" s="221"/>
      <c r="S170" s="176">
        <f t="shared" si="260"/>
        <v>31.174477545728841</v>
      </c>
      <c r="T170" s="176">
        <f t="shared" si="261"/>
        <v>15</v>
      </c>
      <c r="U170" s="221">
        <f t="shared" si="262"/>
        <v>2.3733862959285008</v>
      </c>
      <c r="V170" s="221">
        <f t="shared" si="263"/>
        <v>1.3844753392916254</v>
      </c>
      <c r="W170" s="221">
        <f t="shared" si="264"/>
        <v>0.69659136568132096</v>
      </c>
      <c r="X170" s="201">
        <f t="shared" si="265"/>
        <v>350</v>
      </c>
      <c r="Y170" s="451">
        <f t="shared" ref="Y170:Y210" si="286">MIN(1/(V170+W170)*1000, 350)</f>
        <v>350</v>
      </c>
      <c r="AA170" s="221">
        <f t="shared" si="266"/>
        <v>3.2584749380923919</v>
      </c>
      <c r="AB170" s="177">
        <f t="shared" si="267"/>
        <v>0.95636580992229525</v>
      </c>
      <c r="AC170" s="177">
        <f t="shared" si="268"/>
        <v>0.81802718111106087</v>
      </c>
      <c r="AD170" s="177"/>
      <c r="AE170" s="177">
        <f t="shared" si="269"/>
        <v>0.24067085953878403</v>
      </c>
      <c r="AF170" s="559">
        <f t="shared" si="270"/>
        <v>4053.7095266423053</v>
      </c>
      <c r="AG170" s="542">
        <f t="shared" si="271"/>
        <v>5.1804402515723262E-2</v>
      </c>
      <c r="AI170" s="177">
        <f t="shared" si="272"/>
        <v>2.7906549593313783</v>
      </c>
      <c r="AJ170" s="177">
        <f t="shared" si="273"/>
        <v>2.7906549593313783</v>
      </c>
      <c r="AK170" s="177">
        <f t="shared" si="274"/>
        <v>2.6597444143195395</v>
      </c>
      <c r="AM170" s="559">
        <f t="shared" si="275"/>
        <v>600</v>
      </c>
      <c r="AN170" s="469">
        <f t="shared" si="276"/>
        <v>350</v>
      </c>
      <c r="AP170">
        <f t="shared" si="277"/>
        <v>600</v>
      </c>
      <c r="AQ170">
        <f t="shared" si="278"/>
        <v>350</v>
      </c>
      <c r="AS170" s="5">
        <f t="shared" si="249"/>
        <v>2.8571428571428572</v>
      </c>
      <c r="AT170" s="5">
        <f t="shared" si="279"/>
        <v>1.6278820596099706</v>
      </c>
      <c r="AU170" s="5">
        <f t="shared" ref="AU170:AU234" si="287">AS170-AT170</f>
        <v>1.2292607975328866</v>
      </c>
      <c r="AV170" s="5"/>
      <c r="AW170" s="177">
        <f t="shared" ref="AW170:AW234" si="288">AT170/AS170</f>
        <v>0.56975872086348966</v>
      </c>
      <c r="AX170" s="177">
        <f t="shared" si="245"/>
        <v>9.5399999999999991</v>
      </c>
      <c r="AY170" s="177">
        <f t="shared" si="246"/>
        <v>0.90049121949853372</v>
      </c>
      <c r="AZ170" s="177">
        <f t="shared" si="250"/>
        <v>10.594217681892159</v>
      </c>
      <c r="BA170" s="469">
        <f t="shared" si="280"/>
        <v>18.128571784263034</v>
      </c>
      <c r="BB170" s="469">
        <f t="shared" si="281"/>
        <v>22.80053030303031</v>
      </c>
      <c r="BC170" s="5">
        <f t="shared" ref="BC170:BC233" si="289">H170/Efficiency/I170*AU170/Vinripple1</f>
        <v>1.293958734245144</v>
      </c>
      <c r="BD170" s="469">
        <f t="shared" si="282"/>
        <v>99.415326121017358</v>
      </c>
      <c r="BF170" s="177">
        <f t="shared" si="251"/>
        <v>1.2161608152072778</v>
      </c>
      <c r="BG170" s="177">
        <f t="shared" si="247"/>
        <v>1.5852319349319026</v>
      </c>
      <c r="BI170" s="542">
        <f t="shared" ref="BI170:BI210" si="290">Rdson*BF170^2</f>
        <v>0.16269518412901937</v>
      </c>
      <c r="BJ170" s="542">
        <f t="shared" ref="BJ170:BJ210" si="291">0.5*K170*AJ170*AN170*1000*Trise</f>
        <v>0.17507871551105236</v>
      </c>
      <c r="BK170" s="542">
        <f t="shared" ref="BK170:BK210" si="292">Qg*Vdd*AN170*1000</f>
        <v>1.7499999999999998E-2</v>
      </c>
      <c r="BL170" s="542">
        <f t="shared" ref="BL170:BL210" si="293">0.5*(Coss+Csw)*K170^2*AN170*1000</f>
        <v>0.10121127187500001</v>
      </c>
      <c r="BM170">
        <f t="shared" ref="BM170:BM210" si="294">I170*IQ</f>
        <v>3.48E-3</v>
      </c>
      <c r="BN170" s="469">
        <f t="shared" ref="BN170:BN210" si="295">SUM(BI170:BM170)*1000</f>
        <v>459.96517151507175</v>
      </c>
      <c r="BO170" s="542">
        <f t="shared" ref="BO170:BO210" si="296">Vfwd2*F170</f>
        <v>0.54</v>
      </c>
      <c r="BR170" s="469">
        <f t="shared" ref="BR170:BR210" si="297">SUM(BO170:BQ170)*1000</f>
        <v>540</v>
      </c>
      <c r="BS170" s="542">
        <f t="shared" ref="BS170:BS210" si="298">Rdcr_pri*BF170^2</f>
        <v>0</v>
      </c>
      <c r="BT170" s="542">
        <f t="shared" ref="BT170:BT210" si="299">Rdcr_sec*BG170^2</f>
        <v>0</v>
      </c>
      <c r="BU170" s="542">
        <f t="shared" ref="BU170:BU210" si="300">AJ170^2.5*AN170^2.5*k_core</f>
        <v>0</v>
      </c>
      <c r="BV170" s="542">
        <f t="shared" ref="BV170:BV210" si="301">0.5*Lleak*0.000000001*AJ170^2*AN170*1000</f>
        <v>0</v>
      </c>
      <c r="BW170" s="469">
        <f t="shared" ref="BW170:BW210" si="302">SUM(BS170:BV170)*1000</f>
        <v>0</v>
      </c>
      <c r="BX170" s="177">
        <f t="shared" ref="BX170:BX210" si="303">SUM(BI170:BM170,BO170:BQ170,BS170:BV170)</f>
        <v>0.9999651715150718</v>
      </c>
      <c r="BY170" s="5">
        <f t="shared" ref="BY170:BY210" si="304">MIN(H170,O170)</f>
        <v>9</v>
      </c>
      <c r="BZ170" s="177">
        <f t="shared" ref="BZ170:BZ210" si="305">BY170/(BY170+BX170)</f>
        <v>0.90000313457456083</v>
      </c>
      <c r="CA170" s="5">
        <f t="shared" ref="CA170:CA210" si="306">BZ170*100</f>
        <v>90.000313457456087</v>
      </c>
      <c r="CD170" s="576">
        <f t="shared" si="283"/>
        <v>-50</v>
      </c>
      <c r="CE170">
        <f t="shared" si="284"/>
        <v>-50</v>
      </c>
    </row>
    <row r="171" spans="5:83" x14ac:dyDescent="0.25">
      <c r="E171" s="174">
        <v>61</v>
      </c>
      <c r="F171" s="221">
        <f t="shared" si="285"/>
        <v>0.61</v>
      </c>
      <c r="G171" s="221"/>
      <c r="H171" s="221">
        <f t="shared" si="252"/>
        <v>9.15</v>
      </c>
      <c r="I171" s="555">
        <f t="shared" si="253"/>
        <v>12</v>
      </c>
      <c r="J171" s="451">
        <f t="shared" si="254"/>
        <v>23.85</v>
      </c>
      <c r="K171" s="451">
        <f t="shared" si="255"/>
        <v>35.85</v>
      </c>
      <c r="L171" s="451"/>
      <c r="M171" s="221">
        <f t="shared" si="256"/>
        <v>0.66527196652719667</v>
      </c>
      <c r="N171" s="176">
        <f t="shared" si="257"/>
        <v>15.547405857740586</v>
      </c>
      <c r="O171" s="176">
        <f t="shared" si="248"/>
        <v>9.15</v>
      </c>
      <c r="P171" s="221">
        <f t="shared" si="258"/>
        <v>1.0364937238493723</v>
      </c>
      <c r="Q171" s="221">
        <f t="shared" si="259"/>
        <v>15</v>
      </c>
      <c r="R171" s="221"/>
      <c r="S171" s="176">
        <f t="shared" si="260"/>
        <v>30.540479550451874</v>
      </c>
      <c r="T171" s="176">
        <f t="shared" si="261"/>
        <v>15</v>
      </c>
      <c r="U171" s="221">
        <f t="shared" si="262"/>
        <v>2.412942734193976</v>
      </c>
      <c r="V171" s="221">
        <f t="shared" si="263"/>
        <v>1.4075499282798194</v>
      </c>
      <c r="W171" s="221">
        <f t="shared" si="264"/>
        <v>0.70820122177600975</v>
      </c>
      <c r="X171" s="201">
        <f t="shared" si="265"/>
        <v>350</v>
      </c>
      <c r="Y171" s="451">
        <f t="shared" si="286"/>
        <v>350</v>
      </c>
      <c r="AA171" s="221">
        <f t="shared" si="266"/>
        <v>3.2584749380923919</v>
      </c>
      <c r="AB171" s="177">
        <f t="shared" si="267"/>
        <v>0.95636580992229525</v>
      </c>
      <c r="AC171" s="177">
        <f t="shared" si="268"/>
        <v>0.81802718111106087</v>
      </c>
      <c r="AD171" s="177"/>
      <c r="AE171" s="177">
        <f t="shared" si="269"/>
        <v>0.24067085953878403</v>
      </c>
      <c r="AF171" s="559">
        <f t="shared" si="270"/>
        <v>4121.2713520863435</v>
      </c>
      <c r="AG171" s="542">
        <f t="shared" si="271"/>
        <v>5.1804402515723262E-2</v>
      </c>
      <c r="AI171" s="177">
        <f t="shared" si="272"/>
        <v>2.8138143187510019</v>
      </c>
      <c r="AJ171" s="177">
        <f t="shared" si="273"/>
        <v>2.8138143187510019</v>
      </c>
      <c r="AK171" s="177">
        <f t="shared" si="274"/>
        <v>2.6768994953711127</v>
      </c>
      <c r="AM171" s="559">
        <f t="shared" si="275"/>
        <v>610</v>
      </c>
      <c r="AN171" s="469">
        <f t="shared" si="276"/>
        <v>350</v>
      </c>
      <c r="AP171">
        <f t="shared" si="277"/>
        <v>610</v>
      </c>
      <c r="AQ171">
        <f t="shared" si="278"/>
        <v>350</v>
      </c>
      <c r="AS171" s="5">
        <f t="shared" si="249"/>
        <v>2.8571428571428572</v>
      </c>
      <c r="AT171" s="5">
        <f t="shared" si="279"/>
        <v>1.6413916859380844</v>
      </c>
      <c r="AU171" s="5">
        <f t="shared" si="287"/>
        <v>1.2157511712047728</v>
      </c>
      <c r="AV171" s="5"/>
      <c r="AW171" s="177">
        <f t="shared" si="288"/>
        <v>0.57448709007832954</v>
      </c>
      <c r="AX171" s="177">
        <f t="shared" si="245"/>
        <v>9.6990000000000016</v>
      </c>
      <c r="AY171" s="177">
        <f t="shared" si="246"/>
        <v>0.89798573906325119</v>
      </c>
      <c r="AZ171" s="177">
        <f t="shared" si="250"/>
        <v>10.800839677161996</v>
      </c>
      <c r="BA171" s="469">
        <f t="shared" si="280"/>
        <v>18.128571784263034</v>
      </c>
      <c r="BB171" s="469">
        <f t="shared" si="281"/>
        <v>23.536381460437717</v>
      </c>
      <c r="BC171" s="5">
        <f t="shared" si="289"/>
        <v>1.3010670428682658</v>
      </c>
      <c r="BD171" s="469">
        <f t="shared" si="282"/>
        <v>99.987922951962048</v>
      </c>
      <c r="BF171" s="177">
        <f t="shared" si="251"/>
        <v>1.2313313724394686</v>
      </c>
      <c r="BG171" s="177">
        <f t="shared" si="247"/>
        <v>1.5895801743260318</v>
      </c>
      <c r="BI171" s="542">
        <f t="shared" si="290"/>
        <v>0.16677946436290317</v>
      </c>
      <c r="BJ171" s="542">
        <f t="shared" si="291"/>
        <v>0.17653167582264095</v>
      </c>
      <c r="BK171" s="542">
        <f t="shared" si="292"/>
        <v>1.7499999999999998E-2</v>
      </c>
      <c r="BL171" s="542">
        <f t="shared" si="293"/>
        <v>0.10121127187500001</v>
      </c>
      <c r="BM171">
        <f t="shared" si="294"/>
        <v>3.48E-3</v>
      </c>
      <c r="BN171" s="469">
        <f t="shared" si="295"/>
        <v>465.50241206054409</v>
      </c>
      <c r="BO171" s="542">
        <f t="shared" si="296"/>
        <v>0.54900000000000004</v>
      </c>
      <c r="BR171" s="469">
        <f t="shared" si="297"/>
        <v>549</v>
      </c>
      <c r="BS171" s="542">
        <f t="shared" si="298"/>
        <v>0</v>
      </c>
      <c r="BT171" s="542">
        <f t="shared" si="299"/>
        <v>0</v>
      </c>
      <c r="BU171" s="542">
        <f t="shared" si="300"/>
        <v>0</v>
      </c>
      <c r="BV171" s="542">
        <f t="shared" si="301"/>
        <v>0</v>
      </c>
      <c r="BW171" s="469">
        <f t="shared" si="302"/>
        <v>0</v>
      </c>
      <c r="BX171" s="177">
        <f t="shared" si="303"/>
        <v>1.0145024120605441</v>
      </c>
      <c r="BY171" s="5">
        <f t="shared" si="304"/>
        <v>9.15</v>
      </c>
      <c r="BZ171" s="177">
        <f t="shared" si="305"/>
        <v>0.90019163054584939</v>
      </c>
      <c r="CA171" s="5">
        <f t="shared" si="306"/>
        <v>90.019163054584936</v>
      </c>
      <c r="CD171" s="576">
        <f t="shared" si="283"/>
        <v>-50</v>
      </c>
      <c r="CE171">
        <f t="shared" si="284"/>
        <v>-50</v>
      </c>
    </row>
    <row r="172" spans="5:83" x14ac:dyDescent="0.25">
      <c r="E172" s="174">
        <v>62</v>
      </c>
      <c r="F172" s="221">
        <f t="shared" si="285"/>
        <v>0.62</v>
      </c>
      <c r="G172" s="221"/>
      <c r="H172" s="221">
        <f t="shared" si="252"/>
        <v>9.3000000000000007</v>
      </c>
      <c r="I172" s="555">
        <f t="shared" si="253"/>
        <v>12</v>
      </c>
      <c r="J172" s="451">
        <f t="shared" si="254"/>
        <v>23.85</v>
      </c>
      <c r="K172" s="451">
        <f t="shared" si="255"/>
        <v>35.85</v>
      </c>
      <c r="L172" s="451"/>
      <c r="M172" s="221">
        <f t="shared" si="256"/>
        <v>0.66527196652719667</v>
      </c>
      <c r="N172" s="176">
        <f t="shared" si="257"/>
        <v>15.547405857740586</v>
      </c>
      <c r="O172" s="176">
        <f t="shared" si="248"/>
        <v>9.3000000000000007</v>
      </c>
      <c r="P172" s="221">
        <f t="shared" si="258"/>
        <v>1.0364937238493723</v>
      </c>
      <c r="Q172" s="221">
        <f t="shared" si="259"/>
        <v>15</v>
      </c>
      <c r="R172" s="221"/>
      <c r="S172" s="176">
        <f t="shared" si="260"/>
        <v>29.927109049191642</v>
      </c>
      <c r="T172" s="176">
        <f t="shared" si="261"/>
        <v>15</v>
      </c>
      <c r="U172" s="221">
        <f t="shared" si="262"/>
        <v>2.4524991724594511</v>
      </c>
      <c r="V172" s="221">
        <f t="shared" si="263"/>
        <v>1.430624517268013</v>
      </c>
      <c r="W172" s="221">
        <f t="shared" si="264"/>
        <v>0.71981107787069831</v>
      </c>
      <c r="X172" s="201">
        <f t="shared" si="265"/>
        <v>350</v>
      </c>
      <c r="Y172" s="451">
        <f t="shared" si="286"/>
        <v>350</v>
      </c>
      <c r="AA172" s="221">
        <f t="shared" si="266"/>
        <v>3.2584749380923919</v>
      </c>
      <c r="AB172" s="177">
        <f t="shared" si="267"/>
        <v>0.95636580992229525</v>
      </c>
      <c r="AC172" s="177">
        <f t="shared" si="268"/>
        <v>0.81802718111106087</v>
      </c>
      <c r="AD172" s="177"/>
      <c r="AE172" s="177">
        <f t="shared" si="269"/>
        <v>0.24067085953878403</v>
      </c>
      <c r="AF172" s="559">
        <f t="shared" si="270"/>
        <v>4188.8331775303823</v>
      </c>
      <c r="AG172" s="542">
        <f t="shared" si="271"/>
        <v>5.1804402515723262E-2</v>
      </c>
      <c r="AI172" s="177">
        <f t="shared" si="272"/>
        <v>2.8367846126866088</v>
      </c>
      <c r="AJ172" s="177">
        <f t="shared" si="273"/>
        <v>2.8367846126866088</v>
      </c>
      <c r="AK172" s="177">
        <f t="shared" si="274"/>
        <v>2.6939145279160064</v>
      </c>
      <c r="AM172" s="559">
        <f t="shared" si="275"/>
        <v>620</v>
      </c>
      <c r="AN172" s="469">
        <f t="shared" si="276"/>
        <v>350</v>
      </c>
      <c r="AP172">
        <f t="shared" si="277"/>
        <v>620</v>
      </c>
      <c r="AQ172">
        <f t="shared" si="278"/>
        <v>350</v>
      </c>
      <c r="AS172" s="5">
        <f t="shared" si="249"/>
        <v>2.8571428571428572</v>
      </c>
      <c r="AT172" s="5">
        <f t="shared" si="279"/>
        <v>1.6547910240671884</v>
      </c>
      <c r="AU172" s="5">
        <f t="shared" si="287"/>
        <v>1.2023518330756688</v>
      </c>
      <c r="AV172" s="5"/>
      <c r="AW172" s="177">
        <f t="shared" si="288"/>
        <v>0.57917685842351596</v>
      </c>
      <c r="AX172" s="177">
        <f t="shared" si="245"/>
        <v>9.8580000000000041</v>
      </c>
      <c r="AY172" s="177">
        <f t="shared" si="246"/>
        <v>0.89533845951495616</v>
      </c>
      <c r="AZ172" s="177">
        <f t="shared" si="250"/>
        <v>11.010361383716848</v>
      </c>
      <c r="BA172" s="469">
        <f t="shared" si="280"/>
        <v>18.128571784263034</v>
      </c>
      <c r="BB172" s="469">
        <f t="shared" si="281"/>
        <v>24.283899579124586</v>
      </c>
      <c r="BC172" s="5">
        <f t="shared" si="289"/>
        <v>1.3078212921173944</v>
      </c>
      <c r="BD172" s="469">
        <f t="shared" si="282"/>
        <v>100.53396532985721</v>
      </c>
      <c r="BF172" s="177">
        <f t="shared" si="251"/>
        <v>1.2464398793689837</v>
      </c>
      <c r="BG172" s="177">
        <f t="shared" si="247"/>
        <v>1.5937008392727161</v>
      </c>
      <c r="BI172" s="542">
        <f t="shared" si="290"/>
        <v>0.17089736101695033</v>
      </c>
      <c r="BJ172" s="542">
        <f t="shared" si="291"/>
        <v>0.17797277463842612</v>
      </c>
      <c r="BK172" s="542">
        <f t="shared" si="292"/>
        <v>1.7499999999999998E-2</v>
      </c>
      <c r="BL172" s="542">
        <f t="shared" si="293"/>
        <v>0.10121127187500001</v>
      </c>
      <c r="BM172">
        <f t="shared" si="294"/>
        <v>3.48E-3</v>
      </c>
      <c r="BN172" s="469">
        <f t="shared" si="295"/>
        <v>471.06140753037647</v>
      </c>
      <c r="BO172" s="542">
        <f t="shared" si="296"/>
        <v>0.55800000000000005</v>
      </c>
      <c r="BR172" s="469">
        <f t="shared" si="297"/>
        <v>558</v>
      </c>
      <c r="BS172" s="542">
        <f t="shared" si="298"/>
        <v>0</v>
      </c>
      <c r="BT172" s="542">
        <f t="shared" si="299"/>
        <v>0</v>
      </c>
      <c r="BU172" s="542">
        <f t="shared" si="300"/>
        <v>0</v>
      </c>
      <c r="BV172" s="542">
        <f t="shared" si="301"/>
        <v>0</v>
      </c>
      <c r="BW172" s="469">
        <f t="shared" si="302"/>
        <v>0</v>
      </c>
      <c r="BX172" s="177">
        <f t="shared" si="303"/>
        <v>1.0290614075303766</v>
      </c>
      <c r="BY172" s="5">
        <f t="shared" si="304"/>
        <v>9.3000000000000007</v>
      </c>
      <c r="BZ172" s="177">
        <f t="shared" si="305"/>
        <v>0.90037222483931201</v>
      </c>
      <c r="CA172" s="5">
        <f t="shared" si="306"/>
        <v>90.037222483931203</v>
      </c>
      <c r="CD172" s="576">
        <f t="shared" si="283"/>
        <v>-50</v>
      </c>
      <c r="CE172">
        <f t="shared" si="284"/>
        <v>-50</v>
      </c>
    </row>
    <row r="173" spans="5:83" x14ac:dyDescent="0.25">
      <c r="E173" s="174">
        <v>63</v>
      </c>
      <c r="F173" s="221">
        <f t="shared" si="285"/>
        <v>0.63</v>
      </c>
      <c r="G173" s="221"/>
      <c r="H173" s="221">
        <f t="shared" si="252"/>
        <v>9.4499999999999993</v>
      </c>
      <c r="I173" s="555">
        <f t="shared" si="253"/>
        <v>12</v>
      </c>
      <c r="J173" s="451">
        <f t="shared" si="254"/>
        <v>23.85</v>
      </c>
      <c r="K173" s="451">
        <f t="shared" si="255"/>
        <v>35.85</v>
      </c>
      <c r="L173" s="451"/>
      <c r="M173" s="221">
        <f t="shared" si="256"/>
        <v>0.66527196652719667</v>
      </c>
      <c r="N173" s="176">
        <f t="shared" si="257"/>
        <v>15.547405857740586</v>
      </c>
      <c r="O173" s="176">
        <f t="shared" si="248"/>
        <v>9.4499999999999993</v>
      </c>
      <c r="P173" s="221">
        <f t="shared" si="258"/>
        <v>1.0364937238493723</v>
      </c>
      <c r="Q173" s="221">
        <f t="shared" si="259"/>
        <v>15</v>
      </c>
      <c r="R173" s="221"/>
      <c r="S173" s="176">
        <f t="shared" si="260"/>
        <v>29.333385424716901</v>
      </c>
      <c r="T173" s="176">
        <f t="shared" si="261"/>
        <v>15</v>
      </c>
      <c r="U173" s="221">
        <f t="shared" si="262"/>
        <v>2.4920556107249254</v>
      </c>
      <c r="V173" s="221">
        <f t="shared" si="263"/>
        <v>1.4536991062562064</v>
      </c>
      <c r="W173" s="221">
        <f t="shared" si="264"/>
        <v>0.73142093396538688</v>
      </c>
      <c r="X173" s="201">
        <f t="shared" si="265"/>
        <v>350</v>
      </c>
      <c r="Y173" s="451">
        <f t="shared" si="286"/>
        <v>350</v>
      </c>
      <c r="AA173" s="221">
        <f t="shared" si="266"/>
        <v>3.2584749380923919</v>
      </c>
      <c r="AB173" s="177">
        <f t="shared" si="267"/>
        <v>0.95636580992229525</v>
      </c>
      <c r="AC173" s="177">
        <f t="shared" si="268"/>
        <v>0.81802718111106087</v>
      </c>
      <c r="AD173" s="177"/>
      <c r="AE173" s="177">
        <f t="shared" si="269"/>
        <v>0.24067085953878403</v>
      </c>
      <c r="AF173" s="559">
        <f t="shared" si="270"/>
        <v>4256.395002974421</v>
      </c>
      <c r="AG173" s="542">
        <f t="shared" si="271"/>
        <v>5.1804402515723262E-2</v>
      </c>
      <c r="AI173" s="177">
        <f t="shared" si="272"/>
        <v>2.8595703973049624</v>
      </c>
      <c r="AJ173" s="177">
        <f t="shared" si="273"/>
        <v>2.8595703973049624</v>
      </c>
      <c r="AK173" s="177">
        <f t="shared" si="274"/>
        <v>2.7107928868925648</v>
      </c>
      <c r="AM173" s="559">
        <f t="shared" si="275"/>
        <v>630</v>
      </c>
      <c r="AN173" s="469">
        <f t="shared" si="276"/>
        <v>350</v>
      </c>
      <c r="AP173">
        <f t="shared" si="277"/>
        <v>630</v>
      </c>
      <c r="AQ173">
        <f t="shared" si="278"/>
        <v>350</v>
      </c>
      <c r="AS173" s="5">
        <f t="shared" si="249"/>
        <v>2.8571428571428572</v>
      </c>
      <c r="AT173" s="5">
        <f t="shared" si="279"/>
        <v>1.6680827317612279</v>
      </c>
      <c r="AU173" s="5">
        <f t="shared" si="287"/>
        <v>1.1890601253816293</v>
      </c>
      <c r="AV173" s="5"/>
      <c r="AW173" s="177">
        <f t="shared" si="288"/>
        <v>0.58382895611642971</v>
      </c>
      <c r="AX173" s="177">
        <f t="shared" si="245"/>
        <v>10.017000000000005</v>
      </c>
      <c r="AY173" s="177">
        <f t="shared" si="246"/>
        <v>0.89255279797872156</v>
      </c>
      <c r="AZ173" s="177">
        <f t="shared" si="250"/>
        <v>11.222865496231194</v>
      </c>
      <c r="BA173" s="469">
        <f t="shared" si="280"/>
        <v>18.128571784263034</v>
      </c>
      <c r="BB173" s="469">
        <f t="shared" si="281"/>
        <v>25.043084659090916</v>
      </c>
      <c r="BC173" s="5">
        <f t="shared" si="289"/>
        <v>1.3142243491060113</v>
      </c>
      <c r="BD173" s="469">
        <f t="shared" si="282"/>
        <v>101.05366828821401</v>
      </c>
      <c r="BF173" s="177">
        <f t="shared" si="251"/>
        <v>1.261487584600107</v>
      </c>
      <c r="BG173" s="177">
        <f t="shared" si="247"/>
        <v>1.5975974333766529</v>
      </c>
      <c r="BI173" s="542">
        <f t="shared" si="290"/>
        <v>0.17504860187102333</v>
      </c>
      <c r="BJ173" s="542">
        <f t="shared" si="291"/>
        <v>0.1794022978009201</v>
      </c>
      <c r="BK173" s="542">
        <f t="shared" si="292"/>
        <v>1.7499999999999998E-2</v>
      </c>
      <c r="BL173" s="542">
        <f t="shared" si="293"/>
        <v>0.10121127187500001</v>
      </c>
      <c r="BM173">
        <f t="shared" si="294"/>
        <v>3.48E-3</v>
      </c>
      <c r="BN173" s="469">
        <f t="shared" si="295"/>
        <v>476.64217154694342</v>
      </c>
      <c r="BO173" s="542">
        <f t="shared" si="296"/>
        <v>0.56700000000000006</v>
      </c>
      <c r="BR173" s="469">
        <f t="shared" si="297"/>
        <v>567.00000000000011</v>
      </c>
      <c r="BS173" s="542">
        <f t="shared" si="298"/>
        <v>0</v>
      </c>
      <c r="BT173" s="542">
        <f t="shared" si="299"/>
        <v>0</v>
      </c>
      <c r="BU173" s="542">
        <f t="shared" si="300"/>
        <v>0</v>
      </c>
      <c r="BV173" s="542">
        <f t="shared" si="301"/>
        <v>0</v>
      </c>
      <c r="BW173" s="469">
        <f t="shared" si="302"/>
        <v>0</v>
      </c>
      <c r="BX173" s="177">
        <f t="shared" si="303"/>
        <v>1.0436421715469435</v>
      </c>
      <c r="BY173" s="5">
        <f t="shared" si="304"/>
        <v>9.4499999999999993</v>
      </c>
      <c r="BZ173" s="177">
        <f t="shared" si="305"/>
        <v>0.9005452868998397</v>
      </c>
      <c r="CA173" s="5">
        <f t="shared" si="306"/>
        <v>90.054528689983968</v>
      </c>
      <c r="CD173" s="576">
        <f t="shared" si="283"/>
        <v>-50</v>
      </c>
      <c r="CE173">
        <f t="shared" si="284"/>
        <v>-50</v>
      </c>
    </row>
    <row r="174" spans="5:83" x14ac:dyDescent="0.25">
      <c r="E174" s="174">
        <v>64</v>
      </c>
      <c r="F174" s="221">
        <f t="shared" si="285"/>
        <v>0.64</v>
      </c>
      <c r="G174" s="221"/>
      <c r="H174" s="221">
        <f t="shared" ref="H174:H205" si="307">F174*Vout</f>
        <v>9.6</v>
      </c>
      <c r="I174" s="555">
        <f t="shared" ref="I174:I210" si="308">VIN_min</f>
        <v>12</v>
      </c>
      <c r="J174" s="451">
        <f t="shared" ref="J174:J210" si="309">(T174+Vfwd1)*Nps</f>
        <v>23.85</v>
      </c>
      <c r="K174" s="451">
        <f t="shared" ref="K174:K210" si="310">(Vout+Vfwd1)*Nps+I174</f>
        <v>35.85</v>
      </c>
      <c r="L174" s="451"/>
      <c r="M174" s="221">
        <f t="shared" ref="M174:M210" si="311">(Vout+Vfwd1)*Nps/((Vout+Vfwd1)*Nps+I174)</f>
        <v>0.66527196652719667</v>
      </c>
      <c r="N174" s="176">
        <f t="shared" ref="N174:N205" si="312">M174*I174*Isw_max*0.5*Efficiency</f>
        <v>15.547405857740586</v>
      </c>
      <c r="O174" s="176">
        <f t="shared" si="248"/>
        <v>9.6</v>
      </c>
      <c r="P174" s="221">
        <f t="shared" ref="P174:P205" si="313">N174/Vout</f>
        <v>1.0364937238493723</v>
      </c>
      <c r="Q174" s="221">
        <f t="shared" ref="Q174:Q210" si="314">MIN(Vout,N174/F174)</f>
        <v>15</v>
      </c>
      <c r="R174" s="221"/>
      <c r="S174" s="176">
        <f t="shared" ref="S174:S210" si="315">(SQRT(Isw_max^2*Nps^2*I174^2+4*Isw_max*F174/Efficiency*(Nps^2*Vfwd1*I174-Nps*I174^2)+4*(F174/Efficiency)^2*Nps^2*Vfwd1^2+8*(F174/Efficiency)^2*Nps*Vfwd1*I174+4*(F174/Efficiency)^2*I174^2)-2*F174/Efficiency*I174-2*F174/Efficiency*Nps*Vfwd1+Isw_max*Nps*I174)/(4*F174/Efficiency*Nps)</f>
        <v>28.758389362956034</v>
      </c>
      <c r="T174" s="176">
        <f t="shared" ref="T174:T205" si="316">MIN(Vout, S174)</f>
        <v>15</v>
      </c>
      <c r="U174" s="221">
        <f t="shared" ref="U174:U210" si="317">MIN(2*Vout*F174/(Efficiency*I174*M174), Isw_max)</f>
        <v>2.5316120489904006</v>
      </c>
      <c r="V174" s="221">
        <f t="shared" ref="V174:V205" si="318">L*U174/I174*1000000</f>
        <v>1.4767736952444004</v>
      </c>
      <c r="W174" s="221">
        <f t="shared" ref="W174:W210" si="319">L*U174/J174*1000000</f>
        <v>0.74303079006007566</v>
      </c>
      <c r="X174" s="201">
        <f t="shared" ref="X174:X210" si="320">IF(1/((350000*L)*(1/I174+1/J174))&gt;Isw_min, 350, 0.001/((Isw_min*L)*(1/I174+1/J174)))</f>
        <v>350</v>
      </c>
      <c r="Y174" s="451">
        <f t="shared" si="286"/>
        <v>350</v>
      </c>
      <c r="AA174" s="221">
        <f t="shared" ref="AA174:AA210" si="321">1/((X174*1000*L)*(1/I174+1/J174))</f>
        <v>3.2584749380923919</v>
      </c>
      <c r="AB174" s="177">
        <f t="shared" ref="AB174:AB205" si="322">L*AA174/J174*1000000</f>
        <v>0.95636580992229525</v>
      </c>
      <c r="AC174" s="177">
        <f t="shared" ref="AC174:AC205" si="323">0.5*AB174*AA174*Nps*X174/1000</f>
        <v>0.81802718111106087</v>
      </c>
      <c r="AD174" s="177"/>
      <c r="AE174" s="177">
        <f t="shared" ref="AE174:AE210" si="324">L*Isw_min/J174*1000000</f>
        <v>0.24067085953878403</v>
      </c>
      <c r="AF174" s="559">
        <f t="shared" ref="AF174:AF205" si="325">MAX(12000,F174/(0.5*AE174/1000000*Isw_min*Nps))/1000</f>
        <v>4323.9568284184597</v>
      </c>
      <c r="AG174" s="542">
        <f t="shared" ref="AG174:AG210" si="326">0.5*AE174/1000000*Isw_min*Nps*X174*1000</f>
        <v>5.1804402515723262E-2</v>
      </c>
      <c r="AI174" s="177">
        <f t="shared" ref="AI174:AI210" si="327">SQRT(F174/(0.5*L/J174*Fsw_DCM*Nps))</f>
        <v>2.882176048667084</v>
      </c>
      <c r="AJ174" s="177">
        <f t="shared" ref="AJ174:AJ205" si="328">MAX(IF(F174&gt;AC174,U174,AI174),Isw_min)</f>
        <v>2.882176048667084</v>
      </c>
      <c r="AK174" s="177">
        <f t="shared" ref="AK174:AK205" si="329">IF(F174&gt;AG174, (AJ174-Isw_min)/1.08*0.8+1.2, AF174*0.2/350+1)</f>
        <v>2.7275378138274697</v>
      </c>
      <c r="AM174" s="559">
        <f t="shared" ref="AM174:AM210" si="330">F174*1000</f>
        <v>640</v>
      </c>
      <c r="AN174" s="469">
        <f t="shared" ref="AN174:AN210" si="331">IF(F174&gt;AG174, Y174, AF174)</f>
        <v>350</v>
      </c>
      <c r="AP174">
        <f t="shared" ref="AP174:AP210" si="332">IF(H174&gt;N174, "",AM174)</f>
        <v>640</v>
      </c>
      <c r="AQ174">
        <f t="shared" ref="AQ174:AQ210" si="333">IF(H174&gt;N174, "",AN174)</f>
        <v>350</v>
      </c>
      <c r="AS174" s="5">
        <f t="shared" si="249"/>
        <v>2.8571428571428572</v>
      </c>
      <c r="AT174" s="5">
        <f t="shared" ref="AT174:AT210" si="334">L*AJ174/I174*1000000</f>
        <v>1.6812693617224657</v>
      </c>
      <c r="AU174" s="5">
        <f t="shared" si="287"/>
        <v>1.1758734954203915</v>
      </c>
      <c r="AV174" s="5"/>
      <c r="AW174" s="177">
        <f t="shared" si="288"/>
        <v>0.58844427660286291</v>
      </c>
      <c r="AX174" s="177">
        <f t="shared" si="245"/>
        <v>10.176</v>
      </c>
      <c r="AY174" s="177">
        <f t="shared" si="246"/>
        <v>0.88963203650031297</v>
      </c>
      <c r="AZ174" s="177">
        <f t="shared" si="250"/>
        <v>11.438436996975682</v>
      </c>
      <c r="BA174" s="469">
        <f t="shared" ref="BA174:BA210" si="335">L*Isw_max^2/(2*Vout_ripple*Vout)*1000000000*((1+M174)/2)^2</f>
        <v>18.128571784263034</v>
      </c>
      <c r="BB174" s="469">
        <f t="shared" ref="BB174:BB210" si="336">L*F174^2/(2*Cout*Vout*Nps^2)*1000000000*((1+M174)/(1-M174))^2+F174*RCoutEsr</f>
        <v>25.813936700336711</v>
      </c>
      <c r="BC174" s="5">
        <f t="shared" si="289"/>
        <v>1.3202790124018431</v>
      </c>
      <c r="BD174" s="469">
        <f t="shared" ref="BD174:BD210" si="337">((BY174/I174/Efficiency)*AU174/Cin+(BY174/I174/Efficiency)*RCinEsr)*1000</f>
        <v>101.5472417196119</v>
      </c>
      <c r="BF174" s="177">
        <f t="shared" si="251"/>
        <v>1.2764756922270233</v>
      </c>
      <c r="BG174" s="177">
        <f t="shared" si="247"/>
        <v>1.6012732895193509</v>
      </c>
      <c r="BI174" s="542">
        <f t="shared" si="290"/>
        <v>0.17923292121311041</v>
      </c>
      <c r="BJ174" s="542">
        <f t="shared" si="291"/>
        <v>0.1808205198532512</v>
      </c>
      <c r="BK174" s="542">
        <f t="shared" si="292"/>
        <v>1.7499999999999998E-2</v>
      </c>
      <c r="BL174" s="542">
        <f t="shared" si="293"/>
        <v>0.10121127187500001</v>
      </c>
      <c r="BM174">
        <f t="shared" si="294"/>
        <v>3.48E-3</v>
      </c>
      <c r="BN174" s="469">
        <f t="shared" si="295"/>
        <v>482.24471294136163</v>
      </c>
      <c r="BO174" s="542">
        <f t="shared" si="296"/>
        <v>0.57600000000000007</v>
      </c>
      <c r="BR174" s="469">
        <f t="shared" si="297"/>
        <v>576.00000000000011</v>
      </c>
      <c r="BS174" s="542">
        <f t="shared" si="298"/>
        <v>0</v>
      </c>
      <c r="BT174" s="542">
        <f t="shared" si="299"/>
        <v>0</v>
      </c>
      <c r="BU174" s="542">
        <f t="shared" si="300"/>
        <v>0</v>
      </c>
      <c r="BV174" s="542">
        <f t="shared" si="301"/>
        <v>0</v>
      </c>
      <c r="BW174" s="469">
        <f t="shared" si="302"/>
        <v>0</v>
      </c>
      <c r="BX174" s="177">
        <f t="shared" si="303"/>
        <v>1.0582447129413617</v>
      </c>
      <c r="BY174" s="5">
        <f t="shared" si="304"/>
        <v>9.6</v>
      </c>
      <c r="BZ174" s="177">
        <f t="shared" si="305"/>
        <v>0.90071116385079542</v>
      </c>
      <c r="CA174" s="5">
        <f t="shared" si="306"/>
        <v>90.071116385079534</v>
      </c>
      <c r="CD174" s="576">
        <f t="shared" ref="CD174:CD210" si="338">IF(ABS(F174-Ioutmax_Vinmin)&lt;Iout/200, AN174, -50)</f>
        <v>-50</v>
      </c>
      <c r="CE174">
        <f t="shared" ref="CE174:CE210" si="339">IF(ABS(F174-Ioutmax_Vinmin)&lt;Iout/200, N174*BZ174, -50)</f>
        <v>-50</v>
      </c>
    </row>
    <row r="175" spans="5:83" x14ac:dyDescent="0.25">
      <c r="E175" s="174">
        <v>65</v>
      </c>
      <c r="F175" s="221">
        <f t="shared" ref="F175:F206" si="340">IF(PLOT_TYPE=1, E175/100*Iout_max, min_I*EXP(N175*rr/100))</f>
        <v>0.65</v>
      </c>
      <c r="G175" s="221"/>
      <c r="H175" s="221">
        <f t="shared" si="307"/>
        <v>9.75</v>
      </c>
      <c r="I175" s="555">
        <f t="shared" si="308"/>
        <v>12</v>
      </c>
      <c r="J175" s="451">
        <f t="shared" si="309"/>
        <v>23.85</v>
      </c>
      <c r="K175" s="451">
        <f t="shared" si="310"/>
        <v>35.85</v>
      </c>
      <c r="L175" s="451"/>
      <c r="M175" s="221">
        <f t="shared" si="311"/>
        <v>0.66527196652719667</v>
      </c>
      <c r="N175" s="176">
        <f t="shared" si="312"/>
        <v>15.547405857740586</v>
      </c>
      <c r="O175" s="176">
        <f t="shared" si="248"/>
        <v>9.75</v>
      </c>
      <c r="P175" s="221">
        <f t="shared" si="313"/>
        <v>1.0364937238493723</v>
      </c>
      <c r="Q175" s="221">
        <f t="shared" si="314"/>
        <v>15</v>
      </c>
      <c r="R175" s="221"/>
      <c r="S175" s="176">
        <f t="shared" si="315"/>
        <v>28.201258137410676</v>
      </c>
      <c r="T175" s="176">
        <f t="shared" si="316"/>
        <v>15</v>
      </c>
      <c r="U175" s="221">
        <f t="shared" si="317"/>
        <v>2.5711684872558758</v>
      </c>
      <c r="V175" s="221">
        <f t="shared" si="318"/>
        <v>1.4998482842325942</v>
      </c>
      <c r="W175" s="221">
        <f t="shared" si="319"/>
        <v>0.75464064615476434</v>
      </c>
      <c r="X175" s="201">
        <f t="shared" si="320"/>
        <v>350</v>
      </c>
      <c r="Y175" s="451">
        <f t="shared" si="286"/>
        <v>350</v>
      </c>
      <c r="AA175" s="221">
        <f t="shared" si="321"/>
        <v>3.2584749380923919</v>
      </c>
      <c r="AB175" s="177">
        <f t="shared" si="322"/>
        <v>0.95636580992229525</v>
      </c>
      <c r="AC175" s="177">
        <f t="shared" si="323"/>
        <v>0.81802718111106087</v>
      </c>
      <c r="AD175" s="177"/>
      <c r="AE175" s="177">
        <f t="shared" si="324"/>
        <v>0.24067085953878403</v>
      </c>
      <c r="AF175" s="559">
        <f t="shared" si="325"/>
        <v>4391.5186538624976</v>
      </c>
      <c r="AG175" s="542">
        <f t="shared" si="326"/>
        <v>5.1804402515723262E-2</v>
      </c>
      <c r="AI175" s="177">
        <f t="shared" si="327"/>
        <v>2.9046057725408372</v>
      </c>
      <c r="AJ175" s="177">
        <f t="shared" si="328"/>
        <v>2.9046057725408372</v>
      </c>
      <c r="AK175" s="177">
        <f t="shared" si="329"/>
        <v>2.7441524241043238</v>
      </c>
      <c r="AM175" s="559">
        <f t="shared" si="330"/>
        <v>650</v>
      </c>
      <c r="AN175" s="469">
        <f t="shared" si="331"/>
        <v>350</v>
      </c>
      <c r="AP175">
        <f t="shared" si="332"/>
        <v>650</v>
      </c>
      <c r="AQ175">
        <f t="shared" si="333"/>
        <v>350</v>
      </c>
      <c r="AS175" s="5">
        <f t="shared" si="249"/>
        <v>2.8571428571428572</v>
      </c>
      <c r="AT175" s="5">
        <f t="shared" si="334"/>
        <v>1.6943533673154885</v>
      </c>
      <c r="AU175" s="5">
        <f t="shared" si="287"/>
        <v>1.1627894898273687</v>
      </c>
      <c r="AV175" s="5"/>
      <c r="AW175" s="177">
        <f t="shared" si="288"/>
        <v>0.59302367856042093</v>
      </c>
      <c r="AX175" s="177">
        <f t="shared" si="245"/>
        <v>10.335000000000004</v>
      </c>
      <c r="AY175" s="177">
        <f t="shared" si="246"/>
        <v>0.88657932940562756</v>
      </c>
      <c r="AZ175" s="177">
        <f t="shared" si="250"/>
        <v>11.657163275990994</v>
      </c>
      <c r="BA175" s="469">
        <f t="shared" si="335"/>
        <v>18.128571784263034</v>
      </c>
      <c r="BB175" s="469">
        <f t="shared" si="336"/>
        <v>26.596455702861959</v>
      </c>
      <c r="BC175" s="5">
        <f t="shared" si="289"/>
        <v>1.3259880147154204</v>
      </c>
      <c r="BD175" s="469">
        <f t="shared" si="337"/>
        <v>102.01489057734075</v>
      </c>
      <c r="BF175" s="177">
        <f t="shared" si="251"/>
        <v>1.2914053640900409</v>
      </c>
      <c r="BG175" s="177">
        <f t="shared" si="247"/>
        <v>1.6047315781796563</v>
      </c>
      <c r="BI175" s="542">
        <f t="shared" si="290"/>
        <v>0.18345005958405844</v>
      </c>
      <c r="BJ175" s="542">
        <f t="shared" si="291"/>
        <v>0.18222770465478078</v>
      </c>
      <c r="BK175" s="542">
        <f t="shared" si="292"/>
        <v>1.7499999999999998E-2</v>
      </c>
      <c r="BL175" s="542">
        <f t="shared" si="293"/>
        <v>0.10121127187500001</v>
      </c>
      <c r="BM175">
        <f t="shared" si="294"/>
        <v>3.48E-3</v>
      </c>
      <c r="BN175" s="469">
        <f t="shared" si="295"/>
        <v>487.86903611383923</v>
      </c>
      <c r="BO175" s="542">
        <f t="shared" si="296"/>
        <v>0.58500000000000008</v>
      </c>
      <c r="BR175" s="469">
        <f t="shared" si="297"/>
        <v>585.00000000000011</v>
      </c>
      <c r="BS175" s="542">
        <f t="shared" si="298"/>
        <v>0</v>
      </c>
      <c r="BT175" s="542">
        <f t="shared" si="299"/>
        <v>0</v>
      </c>
      <c r="BU175" s="542">
        <f t="shared" si="300"/>
        <v>0</v>
      </c>
      <c r="BV175" s="542">
        <f t="shared" si="301"/>
        <v>0</v>
      </c>
      <c r="BW175" s="469">
        <f t="shared" si="302"/>
        <v>0</v>
      </c>
      <c r="BX175" s="177">
        <f t="shared" si="303"/>
        <v>1.0728690361138393</v>
      </c>
      <c r="BY175" s="5">
        <f t="shared" si="304"/>
        <v>9.75</v>
      </c>
      <c r="BZ175" s="177">
        <f t="shared" si="305"/>
        <v>0.90087018215466885</v>
      </c>
      <c r="CA175" s="5">
        <f t="shared" si="306"/>
        <v>90.087018215466884</v>
      </c>
      <c r="CD175" s="576">
        <f t="shared" si="338"/>
        <v>-50</v>
      </c>
      <c r="CE175">
        <f t="shared" si="339"/>
        <v>-50</v>
      </c>
    </row>
    <row r="176" spans="5:83" x14ac:dyDescent="0.25">
      <c r="E176" s="174">
        <v>66</v>
      </c>
      <c r="F176" s="221">
        <f t="shared" si="340"/>
        <v>0.66</v>
      </c>
      <c r="G176" s="221"/>
      <c r="H176" s="221">
        <f t="shared" si="307"/>
        <v>9.9</v>
      </c>
      <c r="I176" s="555">
        <f t="shared" si="308"/>
        <v>12</v>
      </c>
      <c r="J176" s="451">
        <f t="shared" si="309"/>
        <v>23.85</v>
      </c>
      <c r="K176" s="451">
        <f t="shared" si="310"/>
        <v>35.85</v>
      </c>
      <c r="L176" s="451"/>
      <c r="M176" s="221">
        <f t="shared" si="311"/>
        <v>0.66527196652719667</v>
      </c>
      <c r="N176" s="176">
        <f t="shared" si="312"/>
        <v>15.547405857740586</v>
      </c>
      <c r="O176" s="176">
        <f t="shared" si="248"/>
        <v>9.9</v>
      </c>
      <c r="P176" s="221">
        <f t="shared" si="313"/>
        <v>1.0364937238493723</v>
      </c>
      <c r="Q176" s="221">
        <f t="shared" si="314"/>
        <v>15</v>
      </c>
      <c r="R176" s="221"/>
      <c r="S176" s="176">
        <f t="shared" si="315"/>
        <v>27.661181322255626</v>
      </c>
      <c r="T176" s="550">
        <f t="shared" si="316"/>
        <v>15</v>
      </c>
      <c r="U176" s="221">
        <f t="shared" si="317"/>
        <v>2.6107249255213509</v>
      </c>
      <c r="V176" s="221">
        <f t="shared" si="318"/>
        <v>1.5229228732207882</v>
      </c>
      <c r="W176" s="221">
        <f t="shared" si="319"/>
        <v>0.76625050224945312</v>
      </c>
      <c r="X176" s="201">
        <f t="shared" si="320"/>
        <v>350</v>
      </c>
      <c r="Y176" s="451">
        <f t="shared" si="286"/>
        <v>350</v>
      </c>
      <c r="AA176" s="221">
        <f t="shared" si="321"/>
        <v>3.2584749380923919</v>
      </c>
      <c r="AB176" s="177">
        <f t="shared" si="322"/>
        <v>0.95636580992229525</v>
      </c>
      <c r="AC176" s="177">
        <f t="shared" si="323"/>
        <v>0.81802718111106087</v>
      </c>
      <c r="AD176" s="177"/>
      <c r="AE176" s="177">
        <f t="shared" si="324"/>
        <v>0.24067085953878403</v>
      </c>
      <c r="AF176" s="559">
        <f t="shared" si="325"/>
        <v>4459.0804793065354</v>
      </c>
      <c r="AG176" s="542">
        <f t="shared" si="326"/>
        <v>5.1804402515723262E-2</v>
      </c>
      <c r="AI176" s="177">
        <f t="shared" si="327"/>
        <v>2.9268636135366641</v>
      </c>
      <c r="AJ176" s="177">
        <f t="shared" si="328"/>
        <v>2.9268636135366641</v>
      </c>
      <c r="AK176" s="177">
        <f t="shared" si="329"/>
        <v>2.7606397137308623</v>
      </c>
      <c r="AM176" s="559">
        <f t="shared" si="330"/>
        <v>660</v>
      </c>
      <c r="AN176" s="469">
        <f t="shared" si="331"/>
        <v>350</v>
      </c>
      <c r="AP176">
        <f t="shared" si="332"/>
        <v>660</v>
      </c>
      <c r="AQ176">
        <f t="shared" si="333"/>
        <v>350</v>
      </c>
      <c r="AS176" s="5">
        <f t="shared" si="249"/>
        <v>2.8571428571428572</v>
      </c>
      <c r="AT176" s="5">
        <f t="shared" si="334"/>
        <v>1.7073371078963875</v>
      </c>
      <c r="AU176" s="5">
        <f t="shared" si="287"/>
        <v>1.1498057492464697</v>
      </c>
      <c r="AV176" s="5"/>
      <c r="AW176" s="177">
        <f t="shared" si="288"/>
        <v>0.59756798776373565</v>
      </c>
      <c r="AX176" s="177">
        <f t="shared" si="245"/>
        <v>10.494</v>
      </c>
      <c r="AY176" s="177">
        <f t="shared" si="246"/>
        <v>0.88339771015249779</v>
      </c>
      <c r="AZ176" s="177">
        <f t="shared" si="250"/>
        <v>11.879134255610033</v>
      </c>
      <c r="BA176" s="469">
        <f t="shared" si="335"/>
        <v>18.128571784263034</v>
      </c>
      <c r="BB176" s="469">
        <f t="shared" si="336"/>
        <v>27.390641666666678</v>
      </c>
      <c r="BC176" s="5">
        <f t="shared" si="289"/>
        <v>1.331354025443281</v>
      </c>
      <c r="BD176" s="469">
        <f t="shared" si="337"/>
        <v>102.45681506614081</v>
      </c>
      <c r="BF176" s="177">
        <f t="shared" si="251"/>
        <v>1.3062777218845445</v>
      </c>
      <c r="BG176" s="177">
        <f t="shared" si="247"/>
        <v>1.6079753151485112</v>
      </c>
      <c r="BI176" s="542">
        <f t="shared" si="290"/>
        <v>0.18769976353610632</v>
      </c>
      <c r="BJ176" s="542">
        <f t="shared" si="291"/>
        <v>0.18362410595425646</v>
      </c>
      <c r="BK176" s="542">
        <f t="shared" si="292"/>
        <v>1.7499999999999998E-2</v>
      </c>
      <c r="BL176" s="542">
        <f t="shared" si="293"/>
        <v>0.10121127187500001</v>
      </c>
      <c r="BM176">
        <f t="shared" si="294"/>
        <v>3.48E-3</v>
      </c>
      <c r="BN176" s="469">
        <f t="shared" si="295"/>
        <v>493.51514136536281</v>
      </c>
      <c r="BO176" s="542">
        <f t="shared" si="296"/>
        <v>0.59400000000000008</v>
      </c>
      <c r="BR176" s="469">
        <f t="shared" si="297"/>
        <v>594.00000000000011</v>
      </c>
      <c r="BS176" s="542">
        <f t="shared" si="298"/>
        <v>0</v>
      </c>
      <c r="BT176" s="542">
        <f t="shared" si="299"/>
        <v>0</v>
      </c>
      <c r="BU176" s="542">
        <f t="shared" si="300"/>
        <v>0</v>
      </c>
      <c r="BV176" s="542">
        <f t="shared" si="301"/>
        <v>0</v>
      </c>
      <c r="BW176" s="469">
        <f t="shared" si="302"/>
        <v>0</v>
      </c>
      <c r="BX176" s="177">
        <f t="shared" si="303"/>
        <v>1.0875151413653628</v>
      </c>
      <c r="BY176" s="5">
        <f t="shared" si="304"/>
        <v>9.9</v>
      </c>
      <c r="BZ176" s="177">
        <f t="shared" si="305"/>
        <v>0.90102264912736008</v>
      </c>
      <c r="CA176" s="5">
        <f t="shared" si="306"/>
        <v>90.102264912736004</v>
      </c>
      <c r="CD176" s="576">
        <f t="shared" si="338"/>
        <v>-50</v>
      </c>
      <c r="CE176">
        <f t="shared" si="339"/>
        <v>-50</v>
      </c>
    </row>
    <row r="177" spans="5:83" x14ac:dyDescent="0.25">
      <c r="E177" s="174">
        <v>67</v>
      </c>
      <c r="F177" s="221">
        <f t="shared" si="340"/>
        <v>0.67</v>
      </c>
      <c r="G177" s="221"/>
      <c r="H177" s="221">
        <f t="shared" si="307"/>
        <v>10.050000000000001</v>
      </c>
      <c r="I177" s="555">
        <f t="shared" si="308"/>
        <v>12</v>
      </c>
      <c r="J177" s="451">
        <f t="shared" si="309"/>
        <v>23.85</v>
      </c>
      <c r="K177" s="451">
        <f t="shared" si="310"/>
        <v>35.85</v>
      </c>
      <c r="L177" s="451"/>
      <c r="M177" s="221">
        <f t="shared" si="311"/>
        <v>0.66527196652719667</v>
      </c>
      <c r="N177" s="176">
        <f t="shared" si="312"/>
        <v>15.547405857740586</v>
      </c>
      <c r="O177" s="176">
        <f t="shared" si="248"/>
        <v>10.050000000000001</v>
      </c>
      <c r="P177" s="221">
        <f t="shared" si="313"/>
        <v>1.0364937238493723</v>
      </c>
      <c r="Q177" s="221">
        <f t="shared" si="314"/>
        <v>15</v>
      </c>
      <c r="R177" s="221"/>
      <c r="S177" s="176">
        <f t="shared" si="315"/>
        <v>27.137396889336621</v>
      </c>
      <c r="T177" s="550">
        <f t="shared" si="316"/>
        <v>15</v>
      </c>
      <c r="U177" s="221">
        <f t="shared" si="317"/>
        <v>2.6502813637868261</v>
      </c>
      <c r="V177" s="221">
        <f t="shared" si="318"/>
        <v>1.5459974622089818</v>
      </c>
      <c r="W177" s="221">
        <f t="shared" si="319"/>
        <v>0.77786035834414169</v>
      </c>
      <c r="X177" s="201">
        <f t="shared" si="320"/>
        <v>350</v>
      </c>
      <c r="Y177" s="451">
        <f t="shared" si="286"/>
        <v>350</v>
      </c>
      <c r="AA177" s="221">
        <f t="shared" si="321"/>
        <v>3.2584749380923919</v>
      </c>
      <c r="AB177" s="177">
        <f t="shared" si="322"/>
        <v>0.95636580992229525</v>
      </c>
      <c r="AC177" s="177">
        <f t="shared" si="323"/>
        <v>0.81802718111106087</v>
      </c>
      <c r="AD177" s="177"/>
      <c r="AE177" s="177">
        <f t="shared" si="324"/>
        <v>0.24067085953878403</v>
      </c>
      <c r="AF177" s="559">
        <f t="shared" si="325"/>
        <v>4526.642304750575</v>
      </c>
      <c r="AG177" s="542">
        <f t="shared" si="326"/>
        <v>5.1804402515723262E-2</v>
      </c>
      <c r="AI177" s="177">
        <f t="shared" si="327"/>
        <v>2.9489534636226877</v>
      </c>
      <c r="AJ177" s="177">
        <f t="shared" si="328"/>
        <v>2.9489534636226877</v>
      </c>
      <c r="AK177" s="177">
        <f t="shared" si="329"/>
        <v>2.7770025656464354</v>
      </c>
      <c r="AM177" s="559">
        <f t="shared" si="330"/>
        <v>670</v>
      </c>
      <c r="AN177" s="469">
        <f t="shared" si="331"/>
        <v>350</v>
      </c>
      <c r="AP177">
        <f t="shared" si="332"/>
        <v>670</v>
      </c>
      <c r="AQ177">
        <f t="shared" si="333"/>
        <v>350</v>
      </c>
      <c r="AS177" s="5">
        <f t="shared" si="249"/>
        <v>2.8571428571428572</v>
      </c>
      <c r="AT177" s="5">
        <f t="shared" si="334"/>
        <v>1.7202228537799011</v>
      </c>
      <c r="AU177" s="5">
        <f t="shared" si="287"/>
        <v>1.1369200033629561</v>
      </c>
      <c r="AV177" s="5"/>
      <c r="AW177" s="177">
        <f t="shared" si="288"/>
        <v>0.60207799882296542</v>
      </c>
      <c r="AX177" s="177">
        <f t="shared" si="245"/>
        <v>10.653000000000002</v>
      </c>
      <c r="AY177" s="177">
        <f t="shared" si="246"/>
        <v>0.88009009771701552</v>
      </c>
      <c r="AZ177" s="177">
        <f t="shared" si="250"/>
        <v>12.104442519730942</v>
      </c>
      <c r="BA177" s="469">
        <f t="shared" si="335"/>
        <v>18.128571784263034</v>
      </c>
      <c r="BB177" s="469">
        <f t="shared" si="336"/>
        <v>28.196494591750852</v>
      </c>
      <c r="BC177" s="5">
        <f t="shared" si="289"/>
        <v>1.3363796530757555</v>
      </c>
      <c r="BD177" s="469">
        <f t="shared" si="337"/>
        <v>102.87321082278693</v>
      </c>
      <c r="BF177" s="177">
        <f t="shared" si="251"/>
        <v>1.3210938491343809</v>
      </c>
      <c r="BG177" s="177">
        <f t="shared" si="247"/>
        <v>1.6110073686866309</v>
      </c>
      <c r="BI177" s="542">
        <f t="shared" si="290"/>
        <v>0.19198178540427638</v>
      </c>
      <c r="BJ177" s="542">
        <f t="shared" si="291"/>
        <v>0.18500996792402838</v>
      </c>
      <c r="BK177" s="542">
        <f t="shared" si="292"/>
        <v>1.7499999999999998E-2</v>
      </c>
      <c r="BL177" s="542">
        <f t="shared" si="293"/>
        <v>0.10121127187500001</v>
      </c>
      <c r="BM177">
        <f t="shared" si="294"/>
        <v>3.48E-3</v>
      </c>
      <c r="BN177" s="469">
        <f t="shared" si="295"/>
        <v>499.18302520330474</v>
      </c>
      <c r="BO177" s="542">
        <f t="shared" si="296"/>
        <v>0.60300000000000009</v>
      </c>
      <c r="BR177" s="469">
        <f t="shared" si="297"/>
        <v>603.00000000000011</v>
      </c>
      <c r="BS177" s="542">
        <f t="shared" si="298"/>
        <v>0</v>
      </c>
      <c r="BT177" s="542">
        <f t="shared" si="299"/>
        <v>0</v>
      </c>
      <c r="BU177" s="542">
        <f t="shared" si="300"/>
        <v>0</v>
      </c>
      <c r="BV177" s="542">
        <f t="shared" si="301"/>
        <v>0</v>
      </c>
      <c r="BW177" s="469">
        <f t="shared" si="302"/>
        <v>0</v>
      </c>
      <c r="BX177" s="177">
        <f t="shared" si="303"/>
        <v>1.1021830252033049</v>
      </c>
      <c r="BY177" s="5">
        <f t="shared" si="304"/>
        <v>10.050000000000001</v>
      </c>
      <c r="BZ177" s="177">
        <f t="shared" si="305"/>
        <v>0.90116885432094929</v>
      </c>
      <c r="CA177" s="5">
        <f t="shared" si="306"/>
        <v>90.116885432094932</v>
      </c>
      <c r="CD177" s="576">
        <f t="shared" si="338"/>
        <v>-50</v>
      </c>
      <c r="CE177">
        <f t="shared" si="339"/>
        <v>-50</v>
      </c>
    </row>
    <row r="178" spans="5:83" x14ac:dyDescent="0.25">
      <c r="E178" s="174">
        <v>68</v>
      </c>
      <c r="F178" s="221">
        <f t="shared" si="340"/>
        <v>0.68</v>
      </c>
      <c r="G178" s="221"/>
      <c r="H178" s="221">
        <f t="shared" si="307"/>
        <v>10.200000000000001</v>
      </c>
      <c r="I178" s="555">
        <f t="shared" si="308"/>
        <v>12</v>
      </c>
      <c r="J178" s="451">
        <f t="shared" si="309"/>
        <v>23.85</v>
      </c>
      <c r="K178" s="451">
        <f t="shared" si="310"/>
        <v>35.85</v>
      </c>
      <c r="L178" s="451"/>
      <c r="M178" s="221">
        <f t="shared" si="311"/>
        <v>0.66527196652719667</v>
      </c>
      <c r="N178" s="176">
        <f t="shared" si="312"/>
        <v>15.547405857740586</v>
      </c>
      <c r="O178" s="176">
        <f t="shared" si="248"/>
        <v>10.200000000000001</v>
      </c>
      <c r="P178" s="221">
        <f t="shared" si="313"/>
        <v>1.0364937238493723</v>
      </c>
      <c r="Q178" s="221">
        <f t="shared" si="314"/>
        <v>15</v>
      </c>
      <c r="R178" s="221"/>
      <c r="S178" s="176">
        <f t="shared" si="315"/>
        <v>26.629187649546999</v>
      </c>
      <c r="T178" s="550">
        <f t="shared" si="316"/>
        <v>15</v>
      </c>
      <c r="U178" s="221">
        <f t="shared" si="317"/>
        <v>2.6898378020523013</v>
      </c>
      <c r="V178" s="221">
        <f t="shared" si="318"/>
        <v>1.5690720511971759</v>
      </c>
      <c r="W178" s="221">
        <f t="shared" si="319"/>
        <v>0.78947021443883048</v>
      </c>
      <c r="X178" s="201">
        <f t="shared" si="320"/>
        <v>350</v>
      </c>
      <c r="Y178" s="451">
        <f t="shared" si="286"/>
        <v>350</v>
      </c>
      <c r="AA178" s="221">
        <f t="shared" si="321"/>
        <v>3.2584749380923919</v>
      </c>
      <c r="AB178" s="177">
        <f t="shared" si="322"/>
        <v>0.95636580992229525</v>
      </c>
      <c r="AC178" s="177">
        <f t="shared" si="323"/>
        <v>0.81802718111106087</v>
      </c>
      <c r="AD178" s="177"/>
      <c r="AE178" s="177">
        <f t="shared" si="324"/>
        <v>0.24067085953878403</v>
      </c>
      <c r="AF178" s="559">
        <f t="shared" si="325"/>
        <v>4594.2041301946128</v>
      </c>
      <c r="AG178" s="542">
        <f t="shared" si="326"/>
        <v>5.1804402515723262E-2</v>
      </c>
      <c r="AI178" s="177">
        <f t="shared" si="327"/>
        <v>2.9708790700699339</v>
      </c>
      <c r="AJ178" s="177">
        <f t="shared" si="328"/>
        <v>2.9708790700699339</v>
      </c>
      <c r="AK178" s="177">
        <f t="shared" si="329"/>
        <v>2.7932437556073584</v>
      </c>
      <c r="AM178" s="559">
        <f t="shared" si="330"/>
        <v>680</v>
      </c>
      <c r="AN178" s="469">
        <f t="shared" si="331"/>
        <v>350</v>
      </c>
      <c r="AP178">
        <f t="shared" si="332"/>
        <v>680</v>
      </c>
      <c r="AQ178">
        <f t="shared" si="333"/>
        <v>350</v>
      </c>
      <c r="AS178" s="5">
        <f t="shared" si="249"/>
        <v>2.8571428571428572</v>
      </c>
      <c r="AT178" s="5">
        <f t="shared" si="334"/>
        <v>1.733012790874128</v>
      </c>
      <c r="AU178" s="5">
        <f t="shared" si="287"/>
        <v>1.1241300662687292</v>
      </c>
      <c r="AV178" s="5"/>
      <c r="AW178" s="177">
        <f t="shared" si="288"/>
        <v>0.60655447680594476</v>
      </c>
      <c r="AX178" s="177">
        <f t="shared" si="245"/>
        <v>10.812000000000005</v>
      </c>
      <c r="AY178" s="177">
        <f t="shared" si="246"/>
        <v>0.87665930255245006</v>
      </c>
      <c r="AZ178" s="177">
        <f t="shared" si="250"/>
        <v>12.333183448256547</v>
      </c>
      <c r="BA178" s="469">
        <f t="shared" si="335"/>
        <v>18.128571784263034</v>
      </c>
      <c r="BB178" s="469">
        <f t="shared" si="336"/>
        <v>29.01401447811449</v>
      </c>
      <c r="BC178" s="5">
        <f t="shared" si="289"/>
        <v>1.3410674474784843</v>
      </c>
      <c r="BD178" s="469">
        <f t="shared" si="337"/>
        <v>103.26426908720211</v>
      </c>
      <c r="BF178" s="177">
        <f t="shared" si="251"/>
        <v>1.3358547930402742</v>
      </c>
      <c r="BG178" s="177">
        <f t="shared" si="247"/>
        <v>1.6138304661689775</v>
      </c>
      <c r="BI178" s="542">
        <f t="shared" si="290"/>
        <v>0.19629588308975413</v>
      </c>
      <c r="BJ178" s="542">
        <f t="shared" si="291"/>
        <v>0.18638552565851249</v>
      </c>
      <c r="BK178" s="542">
        <f t="shared" si="292"/>
        <v>1.7499999999999998E-2</v>
      </c>
      <c r="BL178" s="542">
        <f t="shared" si="293"/>
        <v>0.10121127187500001</v>
      </c>
      <c r="BM178">
        <f t="shared" si="294"/>
        <v>3.48E-3</v>
      </c>
      <c r="BN178" s="469">
        <f t="shared" si="295"/>
        <v>504.87268062326672</v>
      </c>
      <c r="BO178" s="542">
        <f t="shared" si="296"/>
        <v>0.6120000000000001</v>
      </c>
      <c r="BR178" s="469">
        <f t="shared" si="297"/>
        <v>612.00000000000011</v>
      </c>
      <c r="BS178" s="542">
        <f t="shared" si="298"/>
        <v>0</v>
      </c>
      <c r="BT178" s="542">
        <f t="shared" si="299"/>
        <v>0</v>
      </c>
      <c r="BU178" s="542">
        <f t="shared" si="300"/>
        <v>0</v>
      </c>
      <c r="BV178" s="542">
        <f t="shared" si="301"/>
        <v>0</v>
      </c>
      <c r="BW178" s="469">
        <f t="shared" si="302"/>
        <v>0</v>
      </c>
      <c r="BX178" s="177">
        <f t="shared" si="303"/>
        <v>1.1168726806232669</v>
      </c>
      <c r="BY178" s="5">
        <f t="shared" si="304"/>
        <v>10.200000000000001</v>
      </c>
      <c r="BZ178" s="177">
        <f t="shared" si="305"/>
        <v>0.9013090707881185</v>
      </c>
      <c r="CA178" s="5">
        <f t="shared" si="306"/>
        <v>90.130907078811845</v>
      </c>
      <c r="CD178" s="576">
        <f t="shared" si="338"/>
        <v>-50</v>
      </c>
      <c r="CE178">
        <f t="shared" si="339"/>
        <v>-50</v>
      </c>
    </row>
    <row r="179" spans="5:83" x14ac:dyDescent="0.25">
      <c r="E179" s="174">
        <v>69</v>
      </c>
      <c r="F179" s="221">
        <f t="shared" si="340"/>
        <v>0.69</v>
      </c>
      <c r="G179" s="221"/>
      <c r="H179" s="221">
        <f t="shared" si="307"/>
        <v>10.35</v>
      </c>
      <c r="I179" s="555">
        <f t="shared" si="308"/>
        <v>12</v>
      </c>
      <c r="J179" s="451">
        <f t="shared" si="309"/>
        <v>23.85</v>
      </c>
      <c r="K179" s="451">
        <f t="shared" si="310"/>
        <v>35.85</v>
      </c>
      <c r="L179" s="451"/>
      <c r="M179" s="221">
        <f t="shared" si="311"/>
        <v>0.66527196652719667</v>
      </c>
      <c r="N179" s="176">
        <f t="shared" si="312"/>
        <v>15.547405857740586</v>
      </c>
      <c r="O179" s="176">
        <f t="shared" si="248"/>
        <v>10.35</v>
      </c>
      <c r="P179" s="221">
        <f t="shared" si="313"/>
        <v>1.0364937238493723</v>
      </c>
      <c r="Q179" s="221">
        <f t="shared" si="314"/>
        <v>15</v>
      </c>
      <c r="R179" s="221"/>
      <c r="S179" s="176">
        <f t="shared" si="315"/>
        <v>26.135878003646262</v>
      </c>
      <c r="T179" s="550">
        <f t="shared" si="316"/>
        <v>15</v>
      </c>
      <c r="U179" s="221">
        <f t="shared" si="317"/>
        <v>2.7293942403177756</v>
      </c>
      <c r="V179" s="221">
        <f t="shared" si="318"/>
        <v>1.592146640185369</v>
      </c>
      <c r="W179" s="221">
        <f t="shared" si="319"/>
        <v>0.80108007053351904</v>
      </c>
      <c r="X179" s="201">
        <f t="shared" si="320"/>
        <v>350</v>
      </c>
      <c r="Y179" s="451">
        <f t="shared" si="286"/>
        <v>350</v>
      </c>
      <c r="AA179" s="221">
        <f t="shared" si="321"/>
        <v>3.2584749380923919</v>
      </c>
      <c r="AB179" s="177">
        <f t="shared" si="322"/>
        <v>0.95636580992229525</v>
      </c>
      <c r="AC179" s="177">
        <f t="shared" si="323"/>
        <v>0.81802718111106087</v>
      </c>
      <c r="AD179" s="177"/>
      <c r="AE179" s="177">
        <f t="shared" si="324"/>
        <v>0.24067085953878403</v>
      </c>
      <c r="AF179" s="559">
        <f t="shared" si="325"/>
        <v>4661.7659556386507</v>
      </c>
      <c r="AG179" s="542">
        <f t="shared" si="326"/>
        <v>5.1804402515723262E-2</v>
      </c>
      <c r="AI179" s="177">
        <f t="shared" si="327"/>
        <v>2.9926440428736161</v>
      </c>
      <c r="AJ179" s="177">
        <f t="shared" si="328"/>
        <v>2.9926440428736161</v>
      </c>
      <c r="AK179" s="177">
        <f t="shared" si="329"/>
        <v>2.8093659576841601</v>
      </c>
      <c r="AM179" s="559">
        <f t="shared" si="330"/>
        <v>690</v>
      </c>
      <c r="AN179" s="469">
        <f t="shared" si="331"/>
        <v>350</v>
      </c>
      <c r="AP179">
        <f t="shared" si="332"/>
        <v>690</v>
      </c>
      <c r="AQ179">
        <f t="shared" si="333"/>
        <v>350</v>
      </c>
      <c r="AS179" s="5">
        <f t="shared" si="249"/>
        <v>2.8571428571428572</v>
      </c>
      <c r="AT179" s="5">
        <f t="shared" si="334"/>
        <v>1.7457090250096094</v>
      </c>
      <c r="AU179" s="5">
        <f t="shared" si="287"/>
        <v>1.1114338321332478</v>
      </c>
      <c r="AV179" s="5"/>
      <c r="AW179" s="177">
        <f t="shared" si="288"/>
        <v>0.61099815875336327</v>
      </c>
      <c r="AX179" s="177">
        <f t="shared" si="245"/>
        <v>10.971000000000004</v>
      </c>
      <c r="AY179" s="177">
        <f t="shared" si="246"/>
        <v>0.8731080321552116</v>
      </c>
      <c r="AZ179" s="177">
        <f t="shared" si="250"/>
        <v>12.565455357132368</v>
      </c>
      <c r="BA179" s="469">
        <f t="shared" si="335"/>
        <v>18.128571784263034</v>
      </c>
      <c r="BB179" s="469">
        <f t="shared" si="336"/>
        <v>29.843201325757576</v>
      </c>
      <c r="BC179" s="5">
        <f t="shared" si="289"/>
        <v>1.3454199020560369</v>
      </c>
      <c r="BD179" s="469">
        <f t="shared" si="337"/>
        <v>103.63017686472905</v>
      </c>
      <c r="BF179" s="177">
        <f t="shared" si="251"/>
        <v>1.3505615662129105</v>
      </c>
      <c r="BG179" s="177">
        <f t="shared" si="247"/>
        <v>1.6164472002556718</v>
      </c>
      <c r="BI179" s="542">
        <f t="shared" si="290"/>
        <v>0.20064181985446167</v>
      </c>
      <c r="BJ179" s="542">
        <f t="shared" si="291"/>
        <v>0.18775100563978353</v>
      </c>
      <c r="BK179" s="542">
        <f t="shared" si="292"/>
        <v>1.7499999999999998E-2</v>
      </c>
      <c r="BL179" s="542">
        <f t="shared" si="293"/>
        <v>0.10121127187500001</v>
      </c>
      <c r="BM179">
        <f t="shared" si="294"/>
        <v>3.48E-3</v>
      </c>
      <c r="BN179" s="469">
        <f t="shared" si="295"/>
        <v>510.58409736924528</v>
      </c>
      <c r="BO179" s="542">
        <f t="shared" si="296"/>
        <v>0.621</v>
      </c>
      <c r="BR179" s="469">
        <f t="shared" si="297"/>
        <v>621</v>
      </c>
      <c r="BS179" s="542">
        <f t="shared" si="298"/>
        <v>0</v>
      </c>
      <c r="BT179" s="542">
        <f t="shared" si="299"/>
        <v>0</v>
      </c>
      <c r="BU179" s="542">
        <f t="shared" si="300"/>
        <v>0</v>
      </c>
      <c r="BV179" s="542">
        <f t="shared" si="301"/>
        <v>0</v>
      </c>
      <c r="BW179" s="469">
        <f t="shared" si="302"/>
        <v>0</v>
      </c>
      <c r="BX179" s="177">
        <f t="shared" si="303"/>
        <v>1.1315840973692453</v>
      </c>
      <c r="BY179" s="5">
        <f t="shared" si="304"/>
        <v>10.35</v>
      </c>
      <c r="BZ179" s="177">
        <f t="shared" si="305"/>
        <v>0.90144355623989869</v>
      </c>
      <c r="CA179" s="5">
        <f t="shared" si="306"/>
        <v>90.144355623989867</v>
      </c>
      <c r="CD179" s="576">
        <f t="shared" si="338"/>
        <v>-50</v>
      </c>
      <c r="CE179">
        <f t="shared" si="339"/>
        <v>-50</v>
      </c>
    </row>
    <row r="180" spans="5:83" x14ac:dyDescent="0.25">
      <c r="E180" s="174">
        <v>70</v>
      </c>
      <c r="F180" s="221">
        <f t="shared" si="340"/>
        <v>0.7</v>
      </c>
      <c r="G180" s="221"/>
      <c r="H180" s="221">
        <f t="shared" si="307"/>
        <v>10.5</v>
      </c>
      <c r="I180" s="555">
        <f t="shared" si="308"/>
        <v>12</v>
      </c>
      <c r="J180" s="451">
        <f t="shared" si="309"/>
        <v>23.85</v>
      </c>
      <c r="K180" s="451">
        <f t="shared" si="310"/>
        <v>35.85</v>
      </c>
      <c r="L180" s="451"/>
      <c r="M180" s="221">
        <f t="shared" si="311"/>
        <v>0.66527196652719667</v>
      </c>
      <c r="N180" s="176">
        <f t="shared" si="312"/>
        <v>15.547405857740586</v>
      </c>
      <c r="O180" s="176">
        <f t="shared" si="248"/>
        <v>10.5</v>
      </c>
      <c r="P180" s="221">
        <f t="shared" si="313"/>
        <v>1.0364937238493723</v>
      </c>
      <c r="Q180" s="221">
        <f t="shared" si="314"/>
        <v>15</v>
      </c>
      <c r="R180" s="221"/>
      <c r="S180" s="176">
        <f t="shared" si="315"/>
        <v>25.656830971575875</v>
      </c>
      <c r="T180" s="550">
        <f t="shared" si="316"/>
        <v>15</v>
      </c>
      <c r="U180" s="221">
        <f t="shared" si="317"/>
        <v>2.7689506785832507</v>
      </c>
      <c r="V180" s="221">
        <f t="shared" si="318"/>
        <v>1.615221229173563</v>
      </c>
      <c r="W180" s="221">
        <f t="shared" si="319"/>
        <v>0.81268992662820771</v>
      </c>
      <c r="X180" s="201">
        <f t="shared" si="320"/>
        <v>350</v>
      </c>
      <c r="Y180" s="451">
        <f t="shared" si="286"/>
        <v>350</v>
      </c>
      <c r="AA180" s="221">
        <f t="shared" si="321"/>
        <v>3.2584749380923919</v>
      </c>
      <c r="AB180" s="177">
        <f t="shared" si="322"/>
        <v>0.95636580992229525</v>
      </c>
      <c r="AC180" s="177">
        <f t="shared" si="323"/>
        <v>0.81802718111106087</v>
      </c>
      <c r="AD180" s="177"/>
      <c r="AE180" s="177">
        <f t="shared" si="324"/>
        <v>0.24067085953878403</v>
      </c>
      <c r="AF180" s="559">
        <f t="shared" si="325"/>
        <v>4729.3277810826894</v>
      </c>
      <c r="AG180" s="542">
        <f t="shared" si="326"/>
        <v>5.1804402515723262E-2</v>
      </c>
      <c r="AI180" s="177">
        <f t="shared" si="327"/>
        <v>3.0142518616920992</v>
      </c>
      <c r="AJ180" s="177">
        <f t="shared" si="328"/>
        <v>3.0142518616920992</v>
      </c>
      <c r="AK180" s="177">
        <f t="shared" si="329"/>
        <v>2.8253717494015551</v>
      </c>
      <c r="AM180" s="559">
        <f t="shared" si="330"/>
        <v>700</v>
      </c>
      <c r="AN180" s="469">
        <f t="shared" si="331"/>
        <v>350</v>
      </c>
      <c r="AP180">
        <f t="shared" si="332"/>
        <v>700</v>
      </c>
      <c r="AQ180">
        <f t="shared" si="333"/>
        <v>350</v>
      </c>
      <c r="AS180" s="5">
        <f t="shared" si="249"/>
        <v>2.8571428571428572</v>
      </c>
      <c r="AT180" s="5">
        <f t="shared" si="334"/>
        <v>1.7583135859870578</v>
      </c>
      <c r="AU180" s="5">
        <f t="shared" si="287"/>
        <v>1.0988292711557994</v>
      </c>
      <c r="AV180" s="5"/>
      <c r="AW180" s="177">
        <f t="shared" si="288"/>
        <v>0.61540975509547025</v>
      </c>
      <c r="AX180" s="177">
        <f t="shared" si="245"/>
        <v>11.13</v>
      </c>
      <c r="AY180" s="177">
        <f t="shared" si="246"/>
        <v>0.86943889626907445</v>
      </c>
      <c r="AZ180" s="177">
        <f t="shared" si="250"/>
        <v>12.801359644433807</v>
      </c>
      <c r="BA180" s="469">
        <f t="shared" si="335"/>
        <v>18.128571784263034</v>
      </c>
      <c r="BB180" s="469">
        <f t="shared" si="336"/>
        <v>30.684055134680136</v>
      </c>
      <c r="BC180" s="5">
        <f t="shared" si="289"/>
        <v>1.3494394558053677</v>
      </c>
      <c r="BD180" s="469">
        <f t="shared" si="337"/>
        <v>103.97111708013944</v>
      </c>
      <c r="BF180" s="177">
        <f t="shared" si="251"/>
        <v>1.365215148299447</v>
      </c>
      <c r="BG180" s="177">
        <f t="shared" si="247"/>
        <v>1.6188600346251625</v>
      </c>
      <c r="BI180" s="542">
        <f t="shared" si="290"/>
        <v>0.20501936412609092</v>
      </c>
      <c r="BJ180" s="542">
        <f t="shared" si="291"/>
        <v>0.1891066261729081</v>
      </c>
      <c r="BK180" s="542">
        <f t="shared" si="292"/>
        <v>1.7499999999999998E-2</v>
      </c>
      <c r="BL180" s="542">
        <f t="shared" si="293"/>
        <v>0.10121127187500001</v>
      </c>
      <c r="BM180">
        <f t="shared" si="294"/>
        <v>3.48E-3</v>
      </c>
      <c r="BN180" s="469">
        <f t="shared" si="295"/>
        <v>516.3172621739991</v>
      </c>
      <c r="BO180" s="542">
        <f t="shared" si="296"/>
        <v>0.63</v>
      </c>
      <c r="BR180" s="469">
        <f t="shared" si="297"/>
        <v>630</v>
      </c>
      <c r="BS180" s="542">
        <f t="shared" si="298"/>
        <v>0</v>
      </c>
      <c r="BT180" s="542">
        <f t="shared" si="299"/>
        <v>0</v>
      </c>
      <c r="BU180" s="542">
        <f t="shared" si="300"/>
        <v>0</v>
      </c>
      <c r="BV180" s="542">
        <f t="shared" si="301"/>
        <v>0</v>
      </c>
      <c r="BW180" s="469">
        <f t="shared" si="302"/>
        <v>0</v>
      </c>
      <c r="BX180" s="177">
        <f t="shared" si="303"/>
        <v>1.1463172621739992</v>
      </c>
      <c r="BY180" s="5">
        <f t="shared" si="304"/>
        <v>10.5</v>
      </c>
      <c r="BZ180" s="177">
        <f t="shared" si="305"/>
        <v>0.90157255410711534</v>
      </c>
      <c r="CA180" s="5">
        <f t="shared" si="306"/>
        <v>90.157255410711528</v>
      </c>
      <c r="CD180" s="576">
        <f t="shared" si="338"/>
        <v>-50</v>
      </c>
      <c r="CE180">
        <f t="shared" si="339"/>
        <v>-50</v>
      </c>
    </row>
    <row r="181" spans="5:83" x14ac:dyDescent="0.25">
      <c r="E181" s="174">
        <v>71</v>
      </c>
      <c r="F181" s="221">
        <f t="shared" si="340"/>
        <v>0.71</v>
      </c>
      <c r="G181" s="221"/>
      <c r="H181" s="221">
        <f t="shared" si="307"/>
        <v>10.649999999999999</v>
      </c>
      <c r="I181" s="555">
        <f t="shared" si="308"/>
        <v>12</v>
      </c>
      <c r="J181" s="451">
        <f t="shared" si="309"/>
        <v>23.85</v>
      </c>
      <c r="K181" s="451">
        <f t="shared" si="310"/>
        <v>35.85</v>
      </c>
      <c r="L181" s="451"/>
      <c r="M181" s="221">
        <f t="shared" si="311"/>
        <v>0.66527196652719667</v>
      </c>
      <c r="N181" s="176">
        <f t="shared" si="312"/>
        <v>15.547405857740586</v>
      </c>
      <c r="O181" s="176">
        <f t="shared" si="248"/>
        <v>10.649999999999999</v>
      </c>
      <c r="P181" s="221">
        <f t="shared" si="313"/>
        <v>1.0364937238493723</v>
      </c>
      <c r="Q181" s="221">
        <f t="shared" si="314"/>
        <v>15</v>
      </c>
      <c r="R181" s="221"/>
      <c r="S181" s="176">
        <f t="shared" si="315"/>
        <v>25.191445472815133</v>
      </c>
      <c r="T181" s="550">
        <f t="shared" si="316"/>
        <v>15</v>
      </c>
      <c r="U181" s="221">
        <f t="shared" si="317"/>
        <v>2.8085071168487254</v>
      </c>
      <c r="V181" s="221">
        <f t="shared" si="318"/>
        <v>1.6382958181617564</v>
      </c>
      <c r="W181" s="221">
        <f t="shared" si="319"/>
        <v>0.82429978272289628</v>
      </c>
      <c r="X181" s="201">
        <f t="shared" si="320"/>
        <v>350</v>
      </c>
      <c r="Y181" s="451">
        <f t="shared" si="286"/>
        <v>350</v>
      </c>
      <c r="AA181" s="221">
        <f t="shared" si="321"/>
        <v>3.2584749380923919</v>
      </c>
      <c r="AB181" s="177">
        <f t="shared" si="322"/>
        <v>0.95636580992229525</v>
      </c>
      <c r="AC181" s="177">
        <f t="shared" si="323"/>
        <v>0.81802718111106087</v>
      </c>
      <c r="AD181" s="177"/>
      <c r="AE181" s="177">
        <f t="shared" si="324"/>
        <v>0.24067085953878403</v>
      </c>
      <c r="AF181" s="559">
        <f t="shared" si="325"/>
        <v>4796.8896065267281</v>
      </c>
      <c r="AG181" s="542">
        <f t="shared" si="326"/>
        <v>5.1804402515723262E-2</v>
      </c>
      <c r="AI181" s="177">
        <f t="shared" si="327"/>
        <v>3.0357058823413103</v>
      </c>
      <c r="AJ181" s="177">
        <f t="shared" si="328"/>
        <v>3.0357058823413103</v>
      </c>
      <c r="AK181" s="177">
        <f t="shared" si="329"/>
        <v>2.841263616549119</v>
      </c>
      <c r="AM181" s="559">
        <f t="shared" si="330"/>
        <v>710</v>
      </c>
      <c r="AN181" s="469">
        <f t="shared" si="331"/>
        <v>350</v>
      </c>
      <c r="AP181">
        <f t="shared" si="332"/>
        <v>710</v>
      </c>
      <c r="AQ181">
        <f t="shared" si="333"/>
        <v>350</v>
      </c>
      <c r="AS181" s="5">
        <f t="shared" si="249"/>
        <v>2.8571428571428572</v>
      </c>
      <c r="AT181" s="5">
        <f t="shared" si="334"/>
        <v>1.7708284313657645</v>
      </c>
      <c r="AU181" s="5">
        <f t="shared" si="287"/>
        <v>1.0863144257770927</v>
      </c>
      <c r="AV181" s="5"/>
      <c r="AW181" s="177">
        <f t="shared" si="288"/>
        <v>0.61978995097801759</v>
      </c>
      <c r="AX181" s="177">
        <f t="shared" si="245"/>
        <v>11.289000000000001</v>
      </c>
      <c r="AY181" s="177">
        <f t="shared" si="246"/>
        <v>0.86565441175598234</v>
      </c>
      <c r="AZ181" s="177">
        <f t="shared" si="250"/>
        <v>13.04100094297473</v>
      </c>
      <c r="BA181" s="469">
        <f t="shared" si="335"/>
        <v>18.128571784263034</v>
      </c>
      <c r="BB181" s="469">
        <f t="shared" si="336"/>
        <v>31.536575904882163</v>
      </c>
      <c r="BC181" s="5">
        <f t="shared" si="289"/>
        <v>1.353128495266203</v>
      </c>
      <c r="BD181" s="469">
        <f t="shared" si="337"/>
        <v>104.28726872391259</v>
      </c>
      <c r="BF181" s="177">
        <f t="shared" si="251"/>
        <v>1.3798164875114343</v>
      </c>
      <c r="BG181" s="177">
        <f t="shared" si="247"/>
        <v>1.6210713093020745</v>
      </c>
      <c r="BI181" s="542">
        <f t="shared" si="290"/>
        <v>0.20942828931292312</v>
      </c>
      <c r="BJ181" s="542">
        <f t="shared" si="291"/>
        <v>0.190452597793388</v>
      </c>
      <c r="BK181" s="542">
        <f t="shared" si="292"/>
        <v>1.7499999999999998E-2</v>
      </c>
      <c r="BL181" s="542">
        <f t="shared" si="293"/>
        <v>0.10121127187500001</v>
      </c>
      <c r="BM181">
        <f t="shared" si="294"/>
        <v>3.48E-3</v>
      </c>
      <c r="BN181" s="469">
        <f t="shared" si="295"/>
        <v>522.07215898131119</v>
      </c>
      <c r="BO181" s="542">
        <f t="shared" si="296"/>
        <v>0.63900000000000001</v>
      </c>
      <c r="BR181" s="469">
        <f t="shared" si="297"/>
        <v>639</v>
      </c>
      <c r="BS181" s="542">
        <f t="shared" si="298"/>
        <v>0</v>
      </c>
      <c r="BT181" s="542">
        <f t="shared" si="299"/>
        <v>0</v>
      </c>
      <c r="BU181" s="542">
        <f t="shared" si="300"/>
        <v>0</v>
      </c>
      <c r="BV181" s="542">
        <f t="shared" si="301"/>
        <v>0</v>
      </c>
      <c r="BW181" s="469">
        <f t="shared" si="302"/>
        <v>0</v>
      </c>
      <c r="BX181" s="177">
        <f t="shared" si="303"/>
        <v>1.1610721589813111</v>
      </c>
      <c r="BY181" s="5">
        <f t="shared" si="304"/>
        <v>10.649999999999999</v>
      </c>
      <c r="BZ181" s="177">
        <f t="shared" si="305"/>
        <v>0.90169629451476896</v>
      </c>
      <c r="CA181" s="5">
        <f t="shared" si="306"/>
        <v>90.169629451476894</v>
      </c>
      <c r="CD181" s="576">
        <f t="shared" si="338"/>
        <v>-50</v>
      </c>
      <c r="CE181">
        <f t="shared" si="339"/>
        <v>-50</v>
      </c>
    </row>
    <row r="182" spans="5:83" x14ac:dyDescent="0.25">
      <c r="E182" s="174">
        <v>72</v>
      </c>
      <c r="F182" s="221">
        <f t="shared" si="340"/>
        <v>0.72</v>
      </c>
      <c r="G182" s="221"/>
      <c r="H182" s="221">
        <f t="shared" si="307"/>
        <v>10.799999999999999</v>
      </c>
      <c r="I182" s="555">
        <f t="shared" si="308"/>
        <v>12</v>
      </c>
      <c r="J182" s="451">
        <f t="shared" si="309"/>
        <v>23.85</v>
      </c>
      <c r="K182" s="451">
        <f t="shared" si="310"/>
        <v>35.85</v>
      </c>
      <c r="L182" s="451"/>
      <c r="M182" s="221">
        <f t="shared" si="311"/>
        <v>0.66527196652719667</v>
      </c>
      <c r="N182" s="176">
        <f t="shared" si="312"/>
        <v>15.547405857740586</v>
      </c>
      <c r="O182" s="176">
        <f t="shared" si="248"/>
        <v>10.799999999999999</v>
      </c>
      <c r="P182" s="221">
        <f t="shared" si="313"/>
        <v>1.0364937238493723</v>
      </c>
      <c r="Q182" s="221">
        <f t="shared" si="314"/>
        <v>15</v>
      </c>
      <c r="R182" s="221"/>
      <c r="S182" s="176">
        <f t="shared" si="315"/>
        <v>24.739153833369844</v>
      </c>
      <c r="T182" s="550">
        <f t="shared" si="316"/>
        <v>15</v>
      </c>
      <c r="U182" s="221">
        <f t="shared" si="317"/>
        <v>2.8480635551142006</v>
      </c>
      <c r="V182" s="221">
        <f t="shared" si="318"/>
        <v>1.6613704071499502</v>
      </c>
      <c r="W182" s="221">
        <f t="shared" si="319"/>
        <v>0.83590963881758507</v>
      </c>
      <c r="X182" s="201">
        <f t="shared" si="320"/>
        <v>350</v>
      </c>
      <c r="Y182" s="451">
        <f t="shared" si="286"/>
        <v>350</v>
      </c>
      <c r="AA182" s="221">
        <f t="shared" si="321"/>
        <v>3.2584749380923919</v>
      </c>
      <c r="AB182" s="177">
        <f t="shared" si="322"/>
        <v>0.95636580992229525</v>
      </c>
      <c r="AC182" s="177">
        <f t="shared" si="323"/>
        <v>0.81802718111106087</v>
      </c>
      <c r="AD182" s="177"/>
      <c r="AE182" s="177">
        <f t="shared" si="324"/>
        <v>0.24067085953878403</v>
      </c>
      <c r="AF182" s="559">
        <f t="shared" si="325"/>
        <v>4864.4514319707669</v>
      </c>
      <c r="AG182" s="542">
        <f t="shared" si="326"/>
        <v>5.1804402515723262E-2</v>
      </c>
      <c r="AI182" s="177">
        <f t="shared" si="327"/>
        <v>3.0570093428789158</v>
      </c>
      <c r="AJ182" s="177">
        <f t="shared" si="328"/>
        <v>3.0570093428789158</v>
      </c>
      <c r="AK182" s="177">
        <f t="shared" si="329"/>
        <v>2.8570439576880862</v>
      </c>
      <c r="AM182" s="559">
        <f t="shared" si="330"/>
        <v>720</v>
      </c>
      <c r="AN182" s="469">
        <f t="shared" si="331"/>
        <v>350</v>
      </c>
      <c r="AP182">
        <f t="shared" si="332"/>
        <v>720</v>
      </c>
      <c r="AQ182">
        <f t="shared" si="333"/>
        <v>350</v>
      </c>
      <c r="AS182" s="5">
        <f t="shared" si="249"/>
        <v>2.8571428571428572</v>
      </c>
      <c r="AT182" s="5">
        <f t="shared" si="334"/>
        <v>1.7832554500127007</v>
      </c>
      <c r="AU182" s="5">
        <f t="shared" si="287"/>
        <v>1.0738874071301565</v>
      </c>
      <c r="AV182" s="5"/>
      <c r="AW182" s="177">
        <f t="shared" si="288"/>
        <v>0.62413940750444519</v>
      </c>
      <c r="AX182" s="177">
        <f t="shared" si="245"/>
        <v>11.448000000000002</v>
      </c>
      <c r="AY182" s="177">
        <f t="shared" si="246"/>
        <v>0.86175700715918702</v>
      </c>
      <c r="AZ182" s="177">
        <f t="shared" si="250"/>
        <v>13.284487279933755</v>
      </c>
      <c r="BA182" s="469">
        <f t="shared" si="335"/>
        <v>18.128571784263034</v>
      </c>
      <c r="BB182" s="469">
        <f t="shared" si="336"/>
        <v>32.400763636363649</v>
      </c>
      <c r="BC182" s="5">
        <f t="shared" si="289"/>
        <v>1.3564893563749345</v>
      </c>
      <c r="BD182" s="469">
        <f t="shared" si="337"/>
        <v>104.57880699127797</v>
      </c>
      <c r="BF182" s="177">
        <f t="shared" si="251"/>
        <v>1.3943665020614164</v>
      </c>
      <c r="BG182" s="177">
        <f t="shared" si="247"/>
        <v>1.6230832456091115</v>
      </c>
      <c r="BI182" s="542">
        <f t="shared" si="290"/>
        <v>0.21386837362780889</v>
      </c>
      <c r="BJ182" s="542">
        <f t="shared" si="291"/>
        <v>0.19178912364886602</v>
      </c>
      <c r="BK182" s="542">
        <f t="shared" si="292"/>
        <v>1.7499999999999998E-2</v>
      </c>
      <c r="BL182" s="542">
        <f t="shared" si="293"/>
        <v>0.10121127187500001</v>
      </c>
      <c r="BM182">
        <f t="shared" si="294"/>
        <v>3.48E-3</v>
      </c>
      <c r="BN182" s="469">
        <f t="shared" si="295"/>
        <v>527.84876915167501</v>
      </c>
      <c r="BO182" s="542">
        <f t="shared" si="296"/>
        <v>0.64800000000000002</v>
      </c>
      <c r="BR182" s="469">
        <f t="shared" si="297"/>
        <v>648</v>
      </c>
      <c r="BS182" s="542">
        <f t="shared" si="298"/>
        <v>0</v>
      </c>
      <c r="BT182" s="542">
        <f t="shared" si="299"/>
        <v>0</v>
      </c>
      <c r="BU182" s="542">
        <f t="shared" si="300"/>
        <v>0</v>
      </c>
      <c r="BV182" s="542">
        <f t="shared" si="301"/>
        <v>0</v>
      </c>
      <c r="BW182" s="469">
        <f t="shared" si="302"/>
        <v>0</v>
      </c>
      <c r="BX182" s="177">
        <f t="shared" si="303"/>
        <v>1.175848769151675</v>
      </c>
      <c r="BY182" s="5">
        <f t="shared" si="304"/>
        <v>10.799999999999999</v>
      </c>
      <c r="BZ182" s="177">
        <f t="shared" si="305"/>
        <v>0.90181499517758446</v>
      </c>
      <c r="CA182" s="5">
        <f t="shared" si="306"/>
        <v>90.181499517758439</v>
      </c>
      <c r="CD182" s="576">
        <f t="shared" si="338"/>
        <v>-50</v>
      </c>
      <c r="CE182">
        <f t="shared" si="339"/>
        <v>-50</v>
      </c>
    </row>
    <row r="183" spans="5:83" x14ac:dyDescent="0.25">
      <c r="E183" s="174">
        <v>73</v>
      </c>
      <c r="F183" s="221">
        <f t="shared" si="340"/>
        <v>0.73</v>
      </c>
      <c r="G183" s="221"/>
      <c r="H183" s="221">
        <f t="shared" si="307"/>
        <v>10.95</v>
      </c>
      <c r="I183" s="555">
        <f t="shared" si="308"/>
        <v>12</v>
      </c>
      <c r="J183" s="451">
        <f t="shared" si="309"/>
        <v>23.85</v>
      </c>
      <c r="K183" s="451">
        <f t="shared" si="310"/>
        <v>35.85</v>
      </c>
      <c r="L183" s="451"/>
      <c r="M183" s="221">
        <f t="shared" si="311"/>
        <v>0.66527196652719667</v>
      </c>
      <c r="N183" s="176">
        <f t="shared" si="312"/>
        <v>15.547405857740586</v>
      </c>
      <c r="O183" s="176">
        <f t="shared" si="248"/>
        <v>10.95</v>
      </c>
      <c r="P183" s="221">
        <f t="shared" si="313"/>
        <v>1.0364937238493723</v>
      </c>
      <c r="Q183" s="221">
        <f t="shared" si="314"/>
        <v>15</v>
      </c>
      <c r="R183" s="221"/>
      <c r="S183" s="176">
        <f t="shared" si="315"/>
        <v>24.299419497662047</v>
      </c>
      <c r="T183" s="550">
        <f t="shared" si="316"/>
        <v>15</v>
      </c>
      <c r="U183" s="221">
        <f t="shared" si="317"/>
        <v>2.8876199933796758</v>
      </c>
      <c r="V183" s="221">
        <f t="shared" si="318"/>
        <v>1.6844449961381442</v>
      </c>
      <c r="W183" s="221">
        <f t="shared" si="319"/>
        <v>0.84751949491227374</v>
      </c>
      <c r="X183" s="201">
        <f t="shared" si="320"/>
        <v>350</v>
      </c>
      <c r="Y183" s="451">
        <f t="shared" si="286"/>
        <v>350</v>
      </c>
      <c r="AA183" s="221">
        <f t="shared" si="321"/>
        <v>3.2584749380923919</v>
      </c>
      <c r="AB183" s="177">
        <f t="shared" si="322"/>
        <v>0.95636580992229525</v>
      </c>
      <c r="AC183" s="177">
        <f t="shared" si="323"/>
        <v>0.81802718111106087</v>
      </c>
      <c r="AD183" s="177"/>
      <c r="AE183" s="177">
        <f t="shared" si="324"/>
        <v>0.24067085953878403</v>
      </c>
      <c r="AF183" s="559">
        <f t="shared" si="325"/>
        <v>4932.0132574148047</v>
      </c>
      <c r="AG183" s="542">
        <f t="shared" si="326"/>
        <v>5.1804402515723262E-2</v>
      </c>
      <c r="AI183" s="177">
        <f t="shared" si="327"/>
        <v>3.0781653693095059</v>
      </c>
      <c r="AJ183" s="177">
        <f t="shared" si="328"/>
        <v>3.0781653693095059</v>
      </c>
      <c r="AK183" s="177">
        <f t="shared" si="329"/>
        <v>2.872715088377412</v>
      </c>
      <c r="AM183" s="559">
        <f t="shared" si="330"/>
        <v>730</v>
      </c>
      <c r="AN183" s="469">
        <f t="shared" si="331"/>
        <v>350</v>
      </c>
      <c r="AP183">
        <f t="shared" si="332"/>
        <v>730</v>
      </c>
      <c r="AQ183">
        <f t="shared" si="333"/>
        <v>350</v>
      </c>
      <c r="AS183" s="5">
        <f t="shared" si="249"/>
        <v>2.8571428571428572</v>
      </c>
      <c r="AT183" s="5">
        <f t="shared" si="334"/>
        <v>1.795596465430545</v>
      </c>
      <c r="AU183" s="5">
        <f t="shared" si="287"/>
        <v>1.0615463917123122</v>
      </c>
      <c r="AV183" s="5"/>
      <c r="AW183" s="177">
        <f t="shared" si="288"/>
        <v>0.62845876290069069</v>
      </c>
      <c r="AX183" s="177">
        <f t="shared" si="245"/>
        <v>11.606999999999998</v>
      </c>
      <c r="AY183" s="177">
        <f t="shared" si="246"/>
        <v>0.85774902698212963</v>
      </c>
      <c r="AZ183" s="177">
        <f t="shared" si="250"/>
        <v>13.531930244022087</v>
      </c>
      <c r="BA183" s="469">
        <f t="shared" si="335"/>
        <v>18.128571784263034</v>
      </c>
      <c r="BB183" s="469">
        <f t="shared" si="336"/>
        <v>33.276618329124581</v>
      </c>
      <c r="BC183" s="5">
        <f t="shared" si="289"/>
        <v>1.3595243262280488</v>
      </c>
      <c r="BD183" s="469">
        <f t="shared" si="337"/>
        <v>104.8459034144721</v>
      </c>
      <c r="BF183" s="177">
        <f t="shared" si="251"/>
        <v>1.4088660815148755</v>
      </c>
      <c r="BG183" s="177">
        <f t="shared" si="247"/>
        <v>1.624897950769622</v>
      </c>
      <c r="BI183" s="542">
        <f t="shared" si="290"/>
        <v>0.21833939992073878</v>
      </c>
      <c r="BJ183" s="542">
        <f t="shared" si="291"/>
        <v>0.19311639985705514</v>
      </c>
      <c r="BK183" s="542">
        <f t="shared" si="292"/>
        <v>1.7499999999999998E-2</v>
      </c>
      <c r="BL183" s="542">
        <f t="shared" si="293"/>
        <v>0.10121127187500001</v>
      </c>
      <c r="BM183">
        <f t="shared" si="294"/>
        <v>3.48E-3</v>
      </c>
      <c r="BN183" s="469">
        <f t="shared" si="295"/>
        <v>533.64707165279401</v>
      </c>
      <c r="BO183" s="542">
        <f t="shared" si="296"/>
        <v>0.65700000000000003</v>
      </c>
      <c r="BR183" s="469">
        <f t="shared" si="297"/>
        <v>657</v>
      </c>
      <c r="BS183" s="542">
        <f t="shared" si="298"/>
        <v>0</v>
      </c>
      <c r="BT183" s="542">
        <f t="shared" si="299"/>
        <v>0</v>
      </c>
      <c r="BU183" s="542">
        <f t="shared" si="300"/>
        <v>0</v>
      </c>
      <c r="BV183" s="542">
        <f t="shared" si="301"/>
        <v>0</v>
      </c>
      <c r="BW183" s="469">
        <f t="shared" si="302"/>
        <v>0</v>
      </c>
      <c r="BX183" s="177">
        <f t="shared" si="303"/>
        <v>1.1906470716527942</v>
      </c>
      <c r="BY183" s="5">
        <f t="shared" si="304"/>
        <v>10.95</v>
      </c>
      <c r="BZ183" s="177">
        <f t="shared" si="305"/>
        <v>0.90192886222408719</v>
      </c>
      <c r="CA183" s="5">
        <f t="shared" si="306"/>
        <v>90.192886222408717</v>
      </c>
      <c r="CD183" s="576">
        <f t="shared" si="338"/>
        <v>-50</v>
      </c>
      <c r="CE183">
        <f t="shared" si="339"/>
        <v>-50</v>
      </c>
    </row>
    <row r="184" spans="5:83" x14ac:dyDescent="0.25">
      <c r="E184" s="174">
        <v>74</v>
      </c>
      <c r="F184" s="221">
        <f t="shared" si="340"/>
        <v>0.74</v>
      </c>
      <c r="G184" s="221"/>
      <c r="H184" s="221">
        <f t="shared" si="307"/>
        <v>11.1</v>
      </c>
      <c r="I184" s="555">
        <f t="shared" si="308"/>
        <v>12</v>
      </c>
      <c r="J184" s="451">
        <f t="shared" si="309"/>
        <v>23.85</v>
      </c>
      <c r="K184" s="451">
        <f t="shared" si="310"/>
        <v>35.85</v>
      </c>
      <c r="L184" s="451"/>
      <c r="M184" s="221">
        <f t="shared" si="311"/>
        <v>0.66527196652719667</v>
      </c>
      <c r="N184" s="176">
        <f t="shared" si="312"/>
        <v>15.547405857740586</v>
      </c>
      <c r="O184" s="176">
        <f t="shared" si="248"/>
        <v>11.1</v>
      </c>
      <c r="P184" s="221">
        <f t="shared" si="313"/>
        <v>1.0364937238493723</v>
      </c>
      <c r="Q184" s="221">
        <f t="shared" si="314"/>
        <v>15</v>
      </c>
      <c r="R184" s="221"/>
      <c r="S184" s="176">
        <f t="shared" si="315"/>
        <v>23.871734925937986</v>
      </c>
      <c r="T184" s="550">
        <f t="shared" si="316"/>
        <v>15</v>
      </c>
      <c r="U184" s="221">
        <f t="shared" si="317"/>
        <v>2.927176431645151</v>
      </c>
      <c r="V184" s="221">
        <f t="shared" si="318"/>
        <v>1.7075195851263381</v>
      </c>
      <c r="W184" s="221">
        <f t="shared" si="319"/>
        <v>0.85912935100696253</v>
      </c>
      <c r="X184" s="201">
        <f t="shared" si="320"/>
        <v>350</v>
      </c>
      <c r="Y184" s="451">
        <f t="shared" si="286"/>
        <v>350</v>
      </c>
      <c r="AA184" s="221">
        <f t="shared" si="321"/>
        <v>3.2584749380923919</v>
      </c>
      <c r="AB184" s="177">
        <f t="shared" si="322"/>
        <v>0.95636580992229525</v>
      </c>
      <c r="AC184" s="177">
        <f t="shared" si="323"/>
        <v>0.81802718111106087</v>
      </c>
      <c r="AD184" s="177"/>
      <c r="AE184" s="177">
        <f t="shared" si="324"/>
        <v>0.24067085953878403</v>
      </c>
      <c r="AF184" s="559">
        <f t="shared" si="325"/>
        <v>4999.5750828588434</v>
      </c>
      <c r="AG184" s="542">
        <f t="shared" si="326"/>
        <v>5.1804402515723262E-2</v>
      </c>
      <c r="AI184" s="177">
        <f t="shared" si="327"/>
        <v>3.0991769809392422</v>
      </c>
      <c r="AJ184" s="177">
        <f t="shared" si="328"/>
        <v>3.0991769809392422</v>
      </c>
      <c r="AK184" s="177">
        <f t="shared" si="329"/>
        <v>2.8882792451401795</v>
      </c>
      <c r="AM184" s="559">
        <f t="shared" si="330"/>
        <v>740</v>
      </c>
      <c r="AN184" s="469">
        <f t="shared" si="331"/>
        <v>350</v>
      </c>
      <c r="AP184">
        <f t="shared" si="332"/>
        <v>740</v>
      </c>
      <c r="AQ184">
        <f t="shared" si="333"/>
        <v>350</v>
      </c>
      <c r="AS184" s="5">
        <f t="shared" si="249"/>
        <v>2.8571428571428572</v>
      </c>
      <c r="AT184" s="5">
        <f t="shared" si="334"/>
        <v>1.8078532388812245</v>
      </c>
      <c r="AU184" s="5">
        <f t="shared" si="287"/>
        <v>1.0492896182616327</v>
      </c>
      <c r="AV184" s="5"/>
      <c r="AW184" s="177">
        <f t="shared" si="288"/>
        <v>0.63274863360842859</v>
      </c>
      <c r="AX184" s="177">
        <f t="shared" si="245"/>
        <v>11.766000000000002</v>
      </c>
      <c r="AY184" s="177">
        <f t="shared" si="246"/>
        <v>0.85363273570443132</v>
      </c>
      <c r="AZ184" s="177">
        <f t="shared" si="250"/>
        <v>13.783445160746455</v>
      </c>
      <c r="BA184" s="469">
        <f t="shared" si="335"/>
        <v>18.128571784263034</v>
      </c>
      <c r="BB184" s="469">
        <f t="shared" si="336"/>
        <v>34.164139983164993</v>
      </c>
      <c r="BC184" s="5">
        <f t="shared" si="289"/>
        <v>1.3622356447607162</v>
      </c>
      <c r="BD184" s="469">
        <f t="shared" si="337"/>
        <v>105.08872598863267</v>
      </c>
      <c r="BF184" s="177">
        <f t="shared" si="251"/>
        <v>1.423316088063582</v>
      </c>
      <c r="BG184" s="177">
        <f t="shared" si="247"/>
        <v>1.6265174221850085</v>
      </c>
      <c r="BI184" s="542">
        <f t="shared" si="290"/>
        <v>0.22284115551946801</v>
      </c>
      <c r="BJ184" s="542">
        <f t="shared" si="291"/>
        <v>0.19443461584167573</v>
      </c>
      <c r="BK184" s="542">
        <f t="shared" si="292"/>
        <v>1.7499999999999998E-2</v>
      </c>
      <c r="BL184" s="542">
        <f t="shared" si="293"/>
        <v>0.10121127187500001</v>
      </c>
      <c r="BM184">
        <f t="shared" si="294"/>
        <v>3.48E-3</v>
      </c>
      <c r="BN184" s="469">
        <f t="shared" si="295"/>
        <v>539.46704323614381</v>
      </c>
      <c r="BO184" s="542">
        <f t="shared" si="296"/>
        <v>0.66600000000000004</v>
      </c>
      <c r="BR184" s="469">
        <f t="shared" si="297"/>
        <v>666</v>
      </c>
      <c r="BS184" s="542">
        <f t="shared" si="298"/>
        <v>0</v>
      </c>
      <c r="BT184" s="542">
        <f t="shared" si="299"/>
        <v>0</v>
      </c>
      <c r="BU184" s="542">
        <f t="shared" si="300"/>
        <v>0</v>
      </c>
      <c r="BV184" s="542">
        <f t="shared" si="301"/>
        <v>0</v>
      </c>
      <c r="BW184" s="469">
        <f t="shared" si="302"/>
        <v>0</v>
      </c>
      <c r="BX184" s="177">
        <f t="shared" si="303"/>
        <v>1.2054670432361438</v>
      </c>
      <c r="BY184" s="5">
        <f t="shared" si="304"/>
        <v>11.1</v>
      </c>
      <c r="BZ184" s="177">
        <f t="shared" si="305"/>
        <v>0.90203809095578014</v>
      </c>
      <c r="CA184" s="5">
        <f t="shared" si="306"/>
        <v>90.203809095578009</v>
      </c>
      <c r="CD184" s="576">
        <f t="shared" si="338"/>
        <v>-50</v>
      </c>
      <c r="CE184">
        <f t="shared" si="339"/>
        <v>-50</v>
      </c>
    </row>
    <row r="185" spans="5:83" x14ac:dyDescent="0.25">
      <c r="E185" s="174">
        <v>75</v>
      </c>
      <c r="F185" s="221">
        <f t="shared" si="340"/>
        <v>0.75</v>
      </c>
      <c r="G185" s="221"/>
      <c r="H185" s="221">
        <f t="shared" si="307"/>
        <v>11.25</v>
      </c>
      <c r="I185" s="555">
        <f t="shared" si="308"/>
        <v>12</v>
      </c>
      <c r="J185" s="451">
        <f t="shared" si="309"/>
        <v>23.85</v>
      </c>
      <c r="K185" s="451">
        <f t="shared" si="310"/>
        <v>35.85</v>
      </c>
      <c r="L185" s="451"/>
      <c r="M185" s="221">
        <f t="shared" si="311"/>
        <v>0.66527196652719667</v>
      </c>
      <c r="N185" s="176">
        <f t="shared" si="312"/>
        <v>15.547405857740586</v>
      </c>
      <c r="O185" s="176">
        <f t="shared" si="248"/>
        <v>11.25</v>
      </c>
      <c r="P185" s="221">
        <f t="shared" si="313"/>
        <v>1.0364937238493723</v>
      </c>
      <c r="Q185" s="221">
        <f t="shared" si="314"/>
        <v>15</v>
      </c>
      <c r="R185" s="221"/>
      <c r="S185" s="176">
        <f t="shared" si="315"/>
        <v>23.455619659879176</v>
      </c>
      <c r="T185" s="550">
        <f t="shared" si="316"/>
        <v>15</v>
      </c>
      <c r="U185" s="221">
        <f t="shared" si="317"/>
        <v>2.9667328699106257</v>
      </c>
      <c r="V185" s="221">
        <f t="shared" si="318"/>
        <v>1.7305941741145316</v>
      </c>
      <c r="W185" s="221">
        <f t="shared" si="319"/>
        <v>0.87073920710165109</v>
      </c>
      <c r="X185" s="201">
        <f t="shared" si="320"/>
        <v>350</v>
      </c>
      <c r="Y185" s="451">
        <f t="shared" si="286"/>
        <v>350</v>
      </c>
      <c r="AA185" s="221">
        <f t="shared" si="321"/>
        <v>3.2584749380923919</v>
      </c>
      <c r="AB185" s="177">
        <f t="shared" si="322"/>
        <v>0.95636580992229525</v>
      </c>
      <c r="AC185" s="177">
        <f t="shared" si="323"/>
        <v>0.81802718111106087</v>
      </c>
      <c r="AD185" s="177"/>
      <c r="AE185" s="177">
        <f t="shared" si="324"/>
        <v>0.24067085953878403</v>
      </c>
      <c r="AF185" s="559">
        <f t="shared" si="325"/>
        <v>5067.1369083028821</v>
      </c>
      <c r="AG185" s="542">
        <f t="shared" si="326"/>
        <v>5.1804402515723262E-2</v>
      </c>
      <c r="AI185" s="177">
        <f t="shared" si="327"/>
        <v>3.1200470954059365</v>
      </c>
      <c r="AJ185" s="177">
        <f t="shared" si="328"/>
        <v>3.1200470954059365</v>
      </c>
      <c r="AK185" s="177">
        <f t="shared" si="329"/>
        <v>2.9037385891895831</v>
      </c>
      <c r="AM185" s="559">
        <f t="shared" si="330"/>
        <v>750</v>
      </c>
      <c r="AN185" s="469">
        <f t="shared" si="331"/>
        <v>350</v>
      </c>
      <c r="AP185">
        <f t="shared" si="332"/>
        <v>750</v>
      </c>
      <c r="AQ185">
        <f t="shared" si="333"/>
        <v>350</v>
      </c>
      <c r="AS185" s="5">
        <f t="shared" si="249"/>
        <v>2.8571428571428572</v>
      </c>
      <c r="AT185" s="5">
        <f t="shared" si="334"/>
        <v>1.8200274723201295</v>
      </c>
      <c r="AU185" s="5">
        <f t="shared" si="287"/>
        <v>1.0371153848227277</v>
      </c>
      <c r="AV185" s="5"/>
      <c r="AW185" s="177">
        <f t="shared" si="288"/>
        <v>0.63700961531204536</v>
      </c>
      <c r="AX185" s="177">
        <f t="shared" si="245"/>
        <v>11.925000000000001</v>
      </c>
      <c r="AY185" s="177">
        <f t="shared" si="246"/>
        <v>0.84941032155445229</v>
      </c>
      <c r="AZ185" s="177">
        <f t="shared" si="250"/>
        <v>14.039151276354648</v>
      </c>
      <c r="BA185" s="469">
        <f t="shared" si="335"/>
        <v>18.128571784263034</v>
      </c>
      <c r="BB185" s="469">
        <f t="shared" si="336"/>
        <v>35.063328598484858</v>
      </c>
      <c r="BC185" s="5">
        <f t="shared" si="289"/>
        <v>1.3646255063456945</v>
      </c>
      <c r="BD185" s="469">
        <f t="shared" si="337"/>
        <v>105.30743929171656</v>
      </c>
      <c r="BF185" s="177">
        <f t="shared" si="251"/>
        <v>1.4377173577259312</v>
      </c>
      <c r="BG185" s="177">
        <f t="shared" si="247"/>
        <v>1.6279435514088905</v>
      </c>
      <c r="BI185" s="542">
        <f t="shared" si="290"/>
        <v>0.22737343207770766</v>
      </c>
      <c r="BJ185" s="542">
        <f t="shared" si="291"/>
        <v>0.19574395464802999</v>
      </c>
      <c r="BK185" s="542">
        <f t="shared" si="292"/>
        <v>1.7499999999999998E-2</v>
      </c>
      <c r="BL185" s="542">
        <f t="shared" si="293"/>
        <v>0.10121127187500001</v>
      </c>
      <c r="BM185">
        <f t="shared" si="294"/>
        <v>3.48E-3</v>
      </c>
      <c r="BN185" s="469">
        <f t="shared" si="295"/>
        <v>545.30865860073777</v>
      </c>
      <c r="BO185" s="542">
        <f t="shared" si="296"/>
        <v>0.67500000000000004</v>
      </c>
      <c r="BR185" s="469">
        <f t="shared" si="297"/>
        <v>675</v>
      </c>
      <c r="BS185" s="542">
        <f t="shared" si="298"/>
        <v>0</v>
      </c>
      <c r="BT185" s="542">
        <f t="shared" si="299"/>
        <v>0</v>
      </c>
      <c r="BU185" s="542">
        <f t="shared" si="300"/>
        <v>0</v>
      </c>
      <c r="BV185" s="542">
        <f t="shared" si="301"/>
        <v>0</v>
      </c>
      <c r="BW185" s="469">
        <f t="shared" si="302"/>
        <v>0</v>
      </c>
      <c r="BX185" s="177">
        <f t="shared" si="303"/>
        <v>1.2203086586007377</v>
      </c>
      <c r="BY185" s="5">
        <f t="shared" si="304"/>
        <v>11.25</v>
      </c>
      <c r="BZ185" s="177">
        <f t="shared" si="305"/>
        <v>0.90214286654732523</v>
      </c>
      <c r="CA185" s="5">
        <f t="shared" si="306"/>
        <v>90.214286654732518</v>
      </c>
      <c r="CD185" s="576">
        <f t="shared" si="338"/>
        <v>-50</v>
      </c>
      <c r="CE185">
        <f t="shared" si="339"/>
        <v>-50</v>
      </c>
    </row>
    <row r="186" spans="5:83" x14ac:dyDescent="0.25">
      <c r="E186" s="174">
        <v>76</v>
      </c>
      <c r="F186" s="221">
        <f t="shared" si="340"/>
        <v>0.76</v>
      </c>
      <c r="G186" s="221"/>
      <c r="H186" s="221">
        <f t="shared" si="307"/>
        <v>11.4</v>
      </c>
      <c r="I186" s="555">
        <f t="shared" si="308"/>
        <v>12</v>
      </c>
      <c r="J186" s="451">
        <f t="shared" si="309"/>
        <v>23.85</v>
      </c>
      <c r="K186" s="451">
        <f t="shared" si="310"/>
        <v>35.85</v>
      </c>
      <c r="L186" s="451"/>
      <c r="M186" s="221">
        <f t="shared" si="311"/>
        <v>0.66527196652719667</v>
      </c>
      <c r="N186" s="176">
        <f t="shared" si="312"/>
        <v>15.547405857740586</v>
      </c>
      <c r="O186" s="176">
        <f t="shared" si="248"/>
        <v>11.4</v>
      </c>
      <c r="P186" s="221">
        <f t="shared" si="313"/>
        <v>1.0364937238493723</v>
      </c>
      <c r="Q186" s="221">
        <f t="shared" si="314"/>
        <v>15</v>
      </c>
      <c r="R186" s="221"/>
      <c r="S186" s="176">
        <f t="shared" si="315"/>
        <v>23.050618540923995</v>
      </c>
      <c r="T186" s="550">
        <f t="shared" si="316"/>
        <v>15</v>
      </c>
      <c r="U186" s="221">
        <f t="shared" si="317"/>
        <v>3.0062893081761008</v>
      </c>
      <c r="V186" s="221">
        <f t="shared" si="318"/>
        <v>1.7536687631027255</v>
      </c>
      <c r="W186" s="221">
        <f t="shared" si="319"/>
        <v>0.88234906319633977</v>
      </c>
      <c r="X186" s="201">
        <f t="shared" si="320"/>
        <v>350</v>
      </c>
      <c r="Y186" s="451">
        <f t="shared" si="286"/>
        <v>350</v>
      </c>
      <c r="AA186" s="221">
        <f t="shared" si="321"/>
        <v>3.2584749380923919</v>
      </c>
      <c r="AB186" s="177">
        <f t="shared" si="322"/>
        <v>0.95636580992229525</v>
      </c>
      <c r="AC186" s="177">
        <f t="shared" si="323"/>
        <v>0.81802718111106087</v>
      </c>
      <c r="AD186" s="177"/>
      <c r="AE186" s="177">
        <f t="shared" si="324"/>
        <v>0.24067085953878403</v>
      </c>
      <c r="AF186" s="559">
        <f t="shared" si="325"/>
        <v>5134.6987337469209</v>
      </c>
      <c r="AG186" s="542">
        <f t="shared" si="326"/>
        <v>5.1804402515723262E-2</v>
      </c>
      <c r="AI186" s="177">
        <f t="shared" si="327"/>
        <v>3.1407785334082967</v>
      </c>
      <c r="AJ186" s="177">
        <f t="shared" si="328"/>
        <v>3.1407785334082967</v>
      </c>
      <c r="AK186" s="177">
        <f t="shared" si="329"/>
        <v>2.9190952099320722</v>
      </c>
      <c r="AM186" s="559">
        <f t="shared" si="330"/>
        <v>760</v>
      </c>
      <c r="AN186" s="469">
        <f t="shared" si="331"/>
        <v>350</v>
      </c>
      <c r="AP186">
        <f t="shared" si="332"/>
        <v>760</v>
      </c>
      <c r="AQ186">
        <f t="shared" si="333"/>
        <v>350</v>
      </c>
      <c r="AS186" s="5">
        <f t="shared" si="249"/>
        <v>2.8571428571428572</v>
      </c>
      <c r="AT186" s="5">
        <f t="shared" si="334"/>
        <v>1.8321208111548395</v>
      </c>
      <c r="AU186" s="5">
        <f t="shared" si="287"/>
        <v>1.0250220459880177</v>
      </c>
      <c r="AV186" s="5"/>
      <c r="AW186" s="177">
        <f t="shared" si="288"/>
        <v>0.6412422839041938</v>
      </c>
      <c r="AX186" s="177">
        <f t="shared" si="245"/>
        <v>12.084000000000007</v>
      </c>
      <c r="AY186" s="177">
        <f t="shared" si="246"/>
        <v>0.84508390005622225</v>
      </c>
      <c r="AZ186" s="177">
        <f t="shared" si="250"/>
        <v>14.299171951088022</v>
      </c>
      <c r="BA186" s="469">
        <f t="shared" si="335"/>
        <v>18.128571784263034</v>
      </c>
      <c r="BB186" s="469">
        <f t="shared" si="336"/>
        <v>35.974184175084183</v>
      </c>
      <c r="BC186" s="5">
        <f t="shared" si="289"/>
        <v>1.3666960613173573</v>
      </c>
      <c r="BD186" s="469">
        <f t="shared" si="337"/>
        <v>105.5022045988018</v>
      </c>
      <c r="BF186" s="177">
        <f t="shared" si="251"/>
        <v>1.4520707014793632</v>
      </c>
      <c r="BG186" s="177">
        <f t="shared" si="247"/>
        <v>1.6291781278379434</v>
      </c>
      <c r="BI186" s="542">
        <f t="shared" si="290"/>
        <v>0.23193602543042471</v>
      </c>
      <c r="BJ186" s="542">
        <f t="shared" si="291"/>
        <v>0.19704459323970303</v>
      </c>
      <c r="BK186" s="542">
        <f t="shared" si="292"/>
        <v>1.7499999999999998E-2</v>
      </c>
      <c r="BL186" s="542">
        <f t="shared" si="293"/>
        <v>0.10121127187500001</v>
      </c>
      <c r="BM186">
        <f t="shared" si="294"/>
        <v>3.48E-3</v>
      </c>
      <c r="BN186" s="469">
        <f t="shared" si="295"/>
        <v>551.17189054512778</v>
      </c>
      <c r="BO186" s="542">
        <f t="shared" si="296"/>
        <v>0.68400000000000005</v>
      </c>
      <c r="BR186" s="469">
        <f t="shared" si="297"/>
        <v>684</v>
      </c>
      <c r="BS186" s="542">
        <f t="shared" si="298"/>
        <v>0</v>
      </c>
      <c r="BT186" s="542">
        <f t="shared" si="299"/>
        <v>0</v>
      </c>
      <c r="BU186" s="542">
        <f t="shared" si="300"/>
        <v>0</v>
      </c>
      <c r="BV186" s="542">
        <f t="shared" si="301"/>
        <v>0</v>
      </c>
      <c r="BW186" s="469">
        <f t="shared" si="302"/>
        <v>0</v>
      </c>
      <c r="BX186" s="177">
        <f t="shared" si="303"/>
        <v>1.2351718905451279</v>
      </c>
      <c r="BY186" s="5">
        <f t="shared" si="304"/>
        <v>11.4</v>
      </c>
      <c r="BZ186" s="177">
        <f t="shared" si="305"/>
        <v>0.90224336469301181</v>
      </c>
      <c r="CA186" s="5">
        <f t="shared" si="306"/>
        <v>90.224336469301178</v>
      </c>
      <c r="CD186" s="576">
        <f t="shared" si="338"/>
        <v>-50</v>
      </c>
      <c r="CE186">
        <f t="shared" si="339"/>
        <v>-50</v>
      </c>
    </row>
    <row r="187" spans="5:83" x14ac:dyDescent="0.25">
      <c r="E187" s="174">
        <v>77</v>
      </c>
      <c r="F187" s="221">
        <f t="shared" si="340"/>
        <v>0.77</v>
      </c>
      <c r="G187" s="221"/>
      <c r="H187" s="221">
        <f t="shared" si="307"/>
        <v>11.55</v>
      </c>
      <c r="I187" s="555">
        <f t="shared" si="308"/>
        <v>12</v>
      </c>
      <c r="J187" s="451">
        <f t="shared" si="309"/>
        <v>23.85</v>
      </c>
      <c r="K187" s="451">
        <f t="shared" si="310"/>
        <v>35.85</v>
      </c>
      <c r="L187" s="451"/>
      <c r="M187" s="221">
        <f t="shared" si="311"/>
        <v>0.66527196652719667</v>
      </c>
      <c r="N187" s="176">
        <f t="shared" si="312"/>
        <v>15.547405857740586</v>
      </c>
      <c r="O187" s="176">
        <f t="shared" si="248"/>
        <v>11.55</v>
      </c>
      <c r="P187" s="221">
        <f t="shared" si="313"/>
        <v>1.0364937238493723</v>
      </c>
      <c r="Q187" s="221">
        <f t="shared" si="314"/>
        <v>15</v>
      </c>
      <c r="R187" s="221"/>
      <c r="S187" s="176">
        <f t="shared" si="315"/>
        <v>22.656300067417007</v>
      </c>
      <c r="T187" s="550">
        <f t="shared" si="316"/>
        <v>15</v>
      </c>
      <c r="U187" s="221">
        <f t="shared" si="317"/>
        <v>3.045845746441576</v>
      </c>
      <c r="V187" s="221">
        <f t="shared" si="318"/>
        <v>1.7767433520909195</v>
      </c>
      <c r="W187" s="221">
        <f t="shared" si="319"/>
        <v>0.89395891929102855</v>
      </c>
      <c r="X187" s="201">
        <f t="shared" si="320"/>
        <v>350</v>
      </c>
      <c r="Y187" s="451">
        <f t="shared" si="286"/>
        <v>350</v>
      </c>
      <c r="AA187" s="221">
        <f t="shared" si="321"/>
        <v>3.2584749380923919</v>
      </c>
      <c r="AB187" s="177">
        <f t="shared" si="322"/>
        <v>0.95636580992229525</v>
      </c>
      <c r="AC187" s="177">
        <f t="shared" si="323"/>
        <v>0.81802718111106087</v>
      </c>
      <c r="AD187" s="177"/>
      <c r="AE187" s="177">
        <f t="shared" si="324"/>
        <v>0.24067085953878403</v>
      </c>
      <c r="AF187" s="559">
        <f t="shared" si="325"/>
        <v>5202.2605591909587</v>
      </c>
      <c r="AG187" s="542">
        <f t="shared" si="326"/>
        <v>5.1804402515723262E-2</v>
      </c>
      <c r="AI187" s="177">
        <f t="shared" si="327"/>
        <v>3.1613740231560259</v>
      </c>
      <c r="AJ187" s="177">
        <f t="shared" si="328"/>
        <v>3.1613740231560259</v>
      </c>
      <c r="AK187" s="177">
        <f t="shared" si="329"/>
        <v>2.9343511282637231</v>
      </c>
      <c r="AM187" s="559">
        <f t="shared" si="330"/>
        <v>770</v>
      </c>
      <c r="AN187" s="469">
        <f t="shared" si="331"/>
        <v>350</v>
      </c>
      <c r="AP187">
        <f t="shared" si="332"/>
        <v>770</v>
      </c>
      <c r="AQ187">
        <f t="shared" si="333"/>
        <v>350</v>
      </c>
      <c r="AS187" s="5">
        <f t="shared" si="249"/>
        <v>2.8571428571428572</v>
      </c>
      <c r="AT187" s="5">
        <f t="shared" si="334"/>
        <v>1.844134846841015</v>
      </c>
      <c r="AU187" s="5">
        <f t="shared" si="287"/>
        <v>1.0130080103018422</v>
      </c>
      <c r="AV187" s="5"/>
      <c r="AW187" s="177">
        <f t="shared" si="288"/>
        <v>0.64544719639435522</v>
      </c>
      <c r="AX187" s="177">
        <f t="shared" si="245"/>
        <v>12.243000000000002</v>
      </c>
      <c r="AY187" s="177">
        <f t="shared" si="246"/>
        <v>0.84065551736701927</v>
      </c>
      <c r="AZ187" s="177">
        <f t="shared" si="250"/>
        <v>14.563634862405676</v>
      </c>
      <c r="BA187" s="469">
        <f t="shared" si="335"/>
        <v>18.128571784263034</v>
      </c>
      <c r="BB187" s="469">
        <f t="shared" si="336"/>
        <v>36.896706712962974</v>
      </c>
      <c r="BC187" s="5">
        <f t="shared" si="289"/>
        <v>1.3684494174252959</v>
      </c>
      <c r="BD187" s="469">
        <f t="shared" si="337"/>
        <v>105.67317999110772</v>
      </c>
      <c r="BF187" s="177">
        <f t="shared" si="251"/>
        <v>1.4663769063295506</v>
      </c>
      <c r="BG187" s="177">
        <f t="shared" si="247"/>
        <v>1.6302228421375049</v>
      </c>
      <c r="BI187" s="542">
        <f t="shared" si="290"/>
        <v>0.23652873545582859</v>
      </c>
      <c r="BJ187" s="542">
        <f t="shared" si="291"/>
        <v>0.1983367027777512</v>
      </c>
      <c r="BK187" s="542">
        <f t="shared" si="292"/>
        <v>1.7499999999999998E-2</v>
      </c>
      <c r="BL187" s="542">
        <f t="shared" si="293"/>
        <v>0.10121127187500001</v>
      </c>
      <c r="BM187">
        <f t="shared" si="294"/>
        <v>3.48E-3</v>
      </c>
      <c r="BN187" s="469">
        <f t="shared" si="295"/>
        <v>557.05671010857986</v>
      </c>
      <c r="BO187" s="542">
        <f t="shared" si="296"/>
        <v>0.69300000000000006</v>
      </c>
      <c r="BR187" s="469">
        <f t="shared" si="297"/>
        <v>693.00000000000011</v>
      </c>
      <c r="BS187" s="542">
        <f t="shared" si="298"/>
        <v>0</v>
      </c>
      <c r="BT187" s="542">
        <f t="shared" si="299"/>
        <v>0</v>
      </c>
      <c r="BU187" s="542">
        <f t="shared" si="300"/>
        <v>0</v>
      </c>
      <c r="BV187" s="542">
        <f t="shared" si="301"/>
        <v>0</v>
      </c>
      <c r="BW187" s="469">
        <f t="shared" si="302"/>
        <v>0</v>
      </c>
      <c r="BX187" s="177">
        <f t="shared" si="303"/>
        <v>1.2500567101085798</v>
      </c>
      <c r="BY187" s="5">
        <f t="shared" si="304"/>
        <v>11.55</v>
      </c>
      <c r="BZ187" s="177">
        <f t="shared" si="305"/>
        <v>0.90233975220427154</v>
      </c>
      <c r="CA187" s="5">
        <f t="shared" si="306"/>
        <v>90.233975220427155</v>
      </c>
      <c r="CD187" s="576">
        <f t="shared" si="338"/>
        <v>-50</v>
      </c>
      <c r="CE187">
        <f t="shared" si="339"/>
        <v>-50</v>
      </c>
    </row>
    <row r="188" spans="5:83" x14ac:dyDescent="0.25">
      <c r="E188" s="174">
        <v>78</v>
      </c>
      <c r="F188" s="221">
        <f t="shared" si="340"/>
        <v>0.78</v>
      </c>
      <c r="G188" s="221"/>
      <c r="H188" s="221">
        <f t="shared" si="307"/>
        <v>11.700000000000001</v>
      </c>
      <c r="I188" s="555">
        <f t="shared" si="308"/>
        <v>12</v>
      </c>
      <c r="J188" s="451">
        <f t="shared" si="309"/>
        <v>23.85</v>
      </c>
      <c r="K188" s="451">
        <f t="shared" si="310"/>
        <v>35.85</v>
      </c>
      <c r="L188" s="451"/>
      <c r="M188" s="221">
        <f t="shared" si="311"/>
        <v>0.66527196652719667</v>
      </c>
      <c r="N188" s="176">
        <f t="shared" si="312"/>
        <v>15.547405857740586</v>
      </c>
      <c r="O188" s="176">
        <f t="shared" si="248"/>
        <v>11.700000000000001</v>
      </c>
      <c r="P188" s="221">
        <f t="shared" si="313"/>
        <v>1.0364937238493723</v>
      </c>
      <c r="Q188" s="221">
        <f t="shared" si="314"/>
        <v>15</v>
      </c>
      <c r="R188" s="221"/>
      <c r="S188" s="176">
        <f t="shared" si="315"/>
        <v>22.272254878126656</v>
      </c>
      <c r="T188" s="550">
        <f t="shared" si="316"/>
        <v>15</v>
      </c>
      <c r="U188" s="221">
        <f t="shared" si="317"/>
        <v>3.0854021847070512</v>
      </c>
      <c r="V188" s="221">
        <f t="shared" si="318"/>
        <v>1.7998179410791129</v>
      </c>
      <c r="W188" s="221">
        <f t="shared" si="319"/>
        <v>0.90556877538571723</v>
      </c>
      <c r="X188" s="201">
        <f t="shared" si="320"/>
        <v>350</v>
      </c>
      <c r="Y188" s="451">
        <f t="shared" si="286"/>
        <v>350</v>
      </c>
      <c r="AA188" s="221">
        <f t="shared" si="321"/>
        <v>3.2584749380923919</v>
      </c>
      <c r="AB188" s="177">
        <f t="shared" si="322"/>
        <v>0.95636580992229525</v>
      </c>
      <c r="AC188" s="177">
        <f t="shared" si="323"/>
        <v>0.81802718111106087</v>
      </c>
      <c r="AD188" s="177"/>
      <c r="AE188" s="177">
        <f t="shared" si="324"/>
        <v>0.24067085953878403</v>
      </c>
      <c r="AF188" s="559">
        <f t="shared" si="325"/>
        <v>5269.8223846349974</v>
      </c>
      <c r="AG188" s="542">
        <f t="shared" si="326"/>
        <v>5.1804402515723262E-2</v>
      </c>
      <c r="AI188" s="177">
        <f t="shared" si="327"/>
        <v>3.1818362045606725</v>
      </c>
      <c r="AJ188" s="177">
        <f t="shared" si="328"/>
        <v>3.1818362045606725</v>
      </c>
      <c r="AK188" s="177">
        <f t="shared" si="329"/>
        <v>2.9495082996745721</v>
      </c>
      <c r="AM188" s="559">
        <f t="shared" si="330"/>
        <v>780</v>
      </c>
      <c r="AN188" s="469">
        <f t="shared" si="331"/>
        <v>350</v>
      </c>
      <c r="AP188">
        <f t="shared" si="332"/>
        <v>780</v>
      </c>
      <c r="AQ188">
        <f t="shared" si="333"/>
        <v>350</v>
      </c>
      <c r="AS188" s="5">
        <f t="shared" si="249"/>
        <v>2.8571428571428572</v>
      </c>
      <c r="AT188" s="5">
        <f t="shared" si="334"/>
        <v>1.8560711193270589</v>
      </c>
      <c r="AU188" s="5">
        <f t="shared" si="287"/>
        <v>1.0010717378157983</v>
      </c>
      <c r="AV188" s="5"/>
      <c r="AW188" s="177">
        <f t="shared" si="288"/>
        <v>0.64962489176447058</v>
      </c>
      <c r="AX188" s="177">
        <f t="shared" si="245"/>
        <v>12.402000000000006</v>
      </c>
      <c r="AY188" s="177">
        <f t="shared" si="246"/>
        <v>0.83612715342050381</v>
      </c>
      <c r="AZ188" s="177">
        <f t="shared" si="250"/>
        <v>14.832672218890147</v>
      </c>
      <c r="BA188" s="469">
        <f t="shared" si="335"/>
        <v>18.128571784263034</v>
      </c>
      <c r="BB188" s="469">
        <f t="shared" si="336"/>
        <v>37.830896212121232</v>
      </c>
      <c r="BC188" s="5">
        <f t="shared" si="289"/>
        <v>1.369887641221619</v>
      </c>
      <c r="BD188" s="469">
        <f t="shared" si="337"/>
        <v>105.82052046004247</v>
      </c>
      <c r="BF188" s="177">
        <f t="shared" si="251"/>
        <v>1.4806367363206629</v>
      </c>
      <c r="BG188" s="177">
        <f t="shared" si="247"/>
        <v>1.6310792894183945</v>
      </c>
      <c r="BI188" s="542">
        <f t="shared" si="290"/>
        <v>0.2411513659436535</v>
      </c>
      <c r="BJ188" s="542">
        <f t="shared" si="291"/>
        <v>0.19962044888362521</v>
      </c>
      <c r="BK188" s="542">
        <f t="shared" si="292"/>
        <v>1.7499999999999998E-2</v>
      </c>
      <c r="BL188" s="542">
        <f t="shared" si="293"/>
        <v>0.10121127187500001</v>
      </c>
      <c r="BM188">
        <f t="shared" si="294"/>
        <v>3.48E-3</v>
      </c>
      <c r="BN188" s="469">
        <f t="shared" si="295"/>
        <v>562.9630867022787</v>
      </c>
      <c r="BO188" s="542">
        <f t="shared" si="296"/>
        <v>0.70200000000000007</v>
      </c>
      <c r="BR188" s="469">
        <f t="shared" si="297"/>
        <v>702.00000000000011</v>
      </c>
      <c r="BS188" s="542">
        <f t="shared" si="298"/>
        <v>0</v>
      </c>
      <c r="BT188" s="542">
        <f t="shared" si="299"/>
        <v>0</v>
      </c>
      <c r="BU188" s="542">
        <f t="shared" si="300"/>
        <v>0</v>
      </c>
      <c r="BV188" s="542">
        <f t="shared" si="301"/>
        <v>0</v>
      </c>
      <c r="BW188" s="469">
        <f t="shared" si="302"/>
        <v>0</v>
      </c>
      <c r="BX188" s="177">
        <f t="shared" si="303"/>
        <v>1.2649630867022787</v>
      </c>
      <c r="BY188" s="5">
        <f t="shared" si="304"/>
        <v>11.700000000000001</v>
      </c>
      <c r="BZ188" s="177">
        <f t="shared" si="305"/>
        <v>0.90243218756251542</v>
      </c>
      <c r="CA188" s="5">
        <f t="shared" si="306"/>
        <v>90.243218756251537</v>
      </c>
      <c r="CD188" s="576">
        <f t="shared" si="338"/>
        <v>-50</v>
      </c>
      <c r="CE188">
        <f t="shared" si="339"/>
        <v>-50</v>
      </c>
    </row>
    <row r="189" spans="5:83" x14ac:dyDescent="0.25">
      <c r="E189" s="174">
        <v>79</v>
      </c>
      <c r="F189" s="221">
        <f t="shared" si="340"/>
        <v>0.79</v>
      </c>
      <c r="G189" s="221"/>
      <c r="H189" s="221">
        <f t="shared" si="307"/>
        <v>11.850000000000001</v>
      </c>
      <c r="I189" s="555">
        <f t="shared" si="308"/>
        <v>12</v>
      </c>
      <c r="J189" s="451">
        <f t="shared" si="309"/>
        <v>23.85</v>
      </c>
      <c r="K189" s="451">
        <f t="shared" si="310"/>
        <v>35.85</v>
      </c>
      <c r="L189" s="451"/>
      <c r="M189" s="221">
        <f t="shared" si="311"/>
        <v>0.66527196652719667</v>
      </c>
      <c r="N189" s="176">
        <f t="shared" si="312"/>
        <v>15.547405857740586</v>
      </c>
      <c r="O189" s="176">
        <f t="shared" si="248"/>
        <v>11.850000000000001</v>
      </c>
      <c r="P189" s="221">
        <f t="shared" si="313"/>
        <v>1.0364937238493723</v>
      </c>
      <c r="Q189" s="221">
        <f t="shared" si="314"/>
        <v>15</v>
      </c>
      <c r="R189" s="221"/>
      <c r="S189" s="176">
        <f t="shared" si="315"/>
        <v>21.898094350934471</v>
      </c>
      <c r="T189" s="550">
        <f t="shared" si="316"/>
        <v>15</v>
      </c>
      <c r="U189" s="221">
        <f t="shared" si="317"/>
        <v>3.1249586229725264</v>
      </c>
      <c r="V189" s="221">
        <f t="shared" si="318"/>
        <v>1.8228925300673069</v>
      </c>
      <c r="W189" s="221">
        <f t="shared" si="319"/>
        <v>0.9171786314804059</v>
      </c>
      <c r="X189" s="201">
        <f t="shared" si="320"/>
        <v>350</v>
      </c>
      <c r="Y189" s="451">
        <f t="shared" si="286"/>
        <v>350</v>
      </c>
      <c r="AA189" s="221">
        <f t="shared" si="321"/>
        <v>3.2584749380923919</v>
      </c>
      <c r="AB189" s="177">
        <f t="shared" si="322"/>
        <v>0.95636580992229525</v>
      </c>
      <c r="AC189" s="177">
        <f t="shared" si="323"/>
        <v>0.81802718111106087</v>
      </c>
      <c r="AD189" s="177"/>
      <c r="AE189" s="177">
        <f t="shared" si="324"/>
        <v>0.24067085953878403</v>
      </c>
      <c r="AF189" s="559">
        <f t="shared" si="325"/>
        <v>5337.3842100790362</v>
      </c>
      <c r="AG189" s="542">
        <f t="shared" si="326"/>
        <v>5.1804402515723262E-2</v>
      </c>
      <c r="AI189" s="177">
        <f t="shared" si="327"/>
        <v>3.202167633185435</v>
      </c>
      <c r="AJ189" s="177">
        <f t="shared" si="328"/>
        <v>3.202167633185435</v>
      </c>
      <c r="AK189" s="177">
        <f t="shared" si="329"/>
        <v>2.9645686171743968</v>
      </c>
      <c r="AM189" s="559">
        <f t="shared" si="330"/>
        <v>790</v>
      </c>
      <c r="AN189" s="469">
        <f t="shared" si="331"/>
        <v>350</v>
      </c>
      <c r="AP189">
        <f t="shared" si="332"/>
        <v>790</v>
      </c>
      <c r="AQ189">
        <f t="shared" si="333"/>
        <v>350</v>
      </c>
      <c r="AS189" s="5">
        <f t="shared" si="249"/>
        <v>2.8571428571428572</v>
      </c>
      <c r="AT189" s="5">
        <f t="shared" si="334"/>
        <v>1.8679311193581705</v>
      </c>
      <c r="AU189" s="5">
        <f t="shared" si="287"/>
        <v>0.98921173778468674</v>
      </c>
      <c r="AV189" s="5"/>
      <c r="AW189" s="177">
        <f t="shared" si="288"/>
        <v>0.65377589177535966</v>
      </c>
      <c r="AX189" s="177">
        <f t="shared" si="245"/>
        <v>12.561000000000003</v>
      </c>
      <c r="AY189" s="177">
        <f t="shared" si="246"/>
        <v>0.83150072488907578</v>
      </c>
      <c r="AZ189" s="177">
        <f t="shared" si="250"/>
        <v>15.106420985592852</v>
      </c>
      <c r="BA189" s="469">
        <f t="shared" si="335"/>
        <v>18.128571784263034</v>
      </c>
      <c r="BB189" s="469">
        <f t="shared" si="336"/>
        <v>38.776752672558935</v>
      </c>
      <c r="BC189" s="5">
        <f t="shared" si="289"/>
        <v>1.3710127593857944</v>
      </c>
      <c r="BD189" s="469">
        <f t="shared" si="337"/>
        <v>105.94437800656614</v>
      </c>
      <c r="BF189" s="177">
        <f t="shared" si="251"/>
        <v>1.4948509334906619</v>
      </c>
      <c r="BG189" s="177">
        <f t="shared" si="247"/>
        <v>1.6317489721798586</v>
      </c>
      <c r="BI189" s="542">
        <f t="shared" si="290"/>
        <v>0.24580372446936935</v>
      </c>
      <c r="BJ189" s="542">
        <f t="shared" si="291"/>
        <v>0.20089599188697127</v>
      </c>
      <c r="BK189" s="542">
        <f t="shared" si="292"/>
        <v>1.7499999999999998E-2</v>
      </c>
      <c r="BL189" s="542">
        <f t="shared" si="293"/>
        <v>0.10121127187500001</v>
      </c>
      <c r="BM189">
        <f t="shared" si="294"/>
        <v>3.48E-3</v>
      </c>
      <c r="BN189" s="469">
        <f t="shared" si="295"/>
        <v>568.89098823134077</v>
      </c>
      <c r="BO189" s="542">
        <f t="shared" si="296"/>
        <v>0.71100000000000008</v>
      </c>
      <c r="BR189" s="469">
        <f t="shared" si="297"/>
        <v>711.00000000000011</v>
      </c>
      <c r="BS189" s="542">
        <f t="shared" si="298"/>
        <v>0</v>
      </c>
      <c r="BT189" s="542">
        <f t="shared" si="299"/>
        <v>0</v>
      </c>
      <c r="BU189" s="542">
        <f t="shared" si="300"/>
        <v>0</v>
      </c>
      <c r="BV189" s="542">
        <f t="shared" si="301"/>
        <v>0</v>
      </c>
      <c r="BW189" s="469">
        <f t="shared" si="302"/>
        <v>0</v>
      </c>
      <c r="BX189" s="177">
        <f t="shared" si="303"/>
        <v>1.2798909882313407</v>
      </c>
      <c r="BY189" s="5">
        <f t="shared" si="304"/>
        <v>11.850000000000001</v>
      </c>
      <c r="BZ189" s="177">
        <f t="shared" si="305"/>
        <v>0.90252082143114976</v>
      </c>
      <c r="CA189" s="5">
        <f t="shared" si="306"/>
        <v>90.252082143114976</v>
      </c>
      <c r="CD189" s="576">
        <f t="shared" si="338"/>
        <v>-50</v>
      </c>
      <c r="CE189">
        <f t="shared" si="339"/>
        <v>-50</v>
      </c>
    </row>
    <row r="190" spans="5:83" x14ac:dyDescent="0.25">
      <c r="E190" s="174">
        <v>80</v>
      </c>
      <c r="F190" s="221">
        <f t="shared" si="340"/>
        <v>0.8</v>
      </c>
      <c r="G190" s="221"/>
      <c r="H190" s="221">
        <f t="shared" si="307"/>
        <v>12</v>
      </c>
      <c r="I190" s="555">
        <f t="shared" si="308"/>
        <v>12</v>
      </c>
      <c r="J190" s="451">
        <f t="shared" si="309"/>
        <v>23.85</v>
      </c>
      <c r="K190" s="451">
        <f t="shared" si="310"/>
        <v>35.85</v>
      </c>
      <c r="L190" s="451"/>
      <c r="M190" s="221">
        <f t="shared" si="311"/>
        <v>0.66527196652719667</v>
      </c>
      <c r="N190" s="176">
        <f t="shared" si="312"/>
        <v>15.547405857740586</v>
      </c>
      <c r="O190" s="176">
        <f t="shared" si="248"/>
        <v>12</v>
      </c>
      <c r="P190" s="221">
        <f t="shared" si="313"/>
        <v>1.0364937238493723</v>
      </c>
      <c r="Q190" s="221">
        <f t="shared" si="314"/>
        <v>15</v>
      </c>
      <c r="R190" s="221"/>
      <c r="S190" s="176">
        <f t="shared" si="315"/>
        <v>21.533449306617598</v>
      </c>
      <c r="T190" s="550">
        <f t="shared" si="316"/>
        <v>15</v>
      </c>
      <c r="U190" s="221">
        <f t="shared" si="317"/>
        <v>3.1645150612380011</v>
      </c>
      <c r="V190" s="221">
        <f t="shared" si="318"/>
        <v>1.8459671190555007</v>
      </c>
      <c r="W190" s="221">
        <f t="shared" si="319"/>
        <v>0.92878848757509458</v>
      </c>
      <c r="X190" s="201">
        <f t="shared" si="320"/>
        <v>350</v>
      </c>
      <c r="Y190" s="451">
        <f t="shared" si="286"/>
        <v>350</v>
      </c>
      <c r="AA190" s="221">
        <f t="shared" si="321"/>
        <v>3.2584749380923919</v>
      </c>
      <c r="AB190" s="177">
        <f t="shared" si="322"/>
        <v>0.95636580992229525</v>
      </c>
      <c r="AC190" s="177">
        <f t="shared" si="323"/>
        <v>0.81802718111106087</v>
      </c>
      <c r="AD190" s="177"/>
      <c r="AE190" s="177">
        <f t="shared" si="324"/>
        <v>0.24067085953878403</v>
      </c>
      <c r="AF190" s="559">
        <f t="shared" si="325"/>
        <v>5404.9460355230749</v>
      </c>
      <c r="AG190" s="542">
        <f t="shared" si="326"/>
        <v>5.1804402515723262E-2</v>
      </c>
      <c r="AI190" s="177">
        <f t="shared" si="327"/>
        <v>3.2223707839706712</v>
      </c>
      <c r="AJ190" s="177">
        <f t="shared" si="328"/>
        <v>3.2223707839706712</v>
      </c>
      <c r="AK190" s="177">
        <f t="shared" si="329"/>
        <v>2.9795339140523494</v>
      </c>
      <c r="AM190" s="559">
        <f t="shared" si="330"/>
        <v>800</v>
      </c>
      <c r="AN190" s="469">
        <f t="shared" si="331"/>
        <v>350</v>
      </c>
      <c r="AP190">
        <f t="shared" si="332"/>
        <v>800</v>
      </c>
      <c r="AQ190">
        <f t="shared" si="333"/>
        <v>350</v>
      </c>
      <c r="AS190" s="5">
        <f t="shared" si="249"/>
        <v>2.8571428571428572</v>
      </c>
      <c r="AT190" s="5">
        <f t="shared" si="334"/>
        <v>1.8797162906495579</v>
      </c>
      <c r="AU190" s="5">
        <f t="shared" si="287"/>
        <v>0.97742656649329929</v>
      </c>
      <c r="AV190" s="5"/>
      <c r="AW190" s="177">
        <f t="shared" si="288"/>
        <v>0.65790070172734527</v>
      </c>
      <c r="AX190" s="177">
        <f t="shared" si="245"/>
        <v>12.720000000000006</v>
      </c>
      <c r="AY190" s="177">
        <f t="shared" si="246"/>
        <v>0.82677808797800323</v>
      </c>
      <c r="AZ190" s="177">
        <f t="shared" si="250"/>
        <v>15.385023121631674</v>
      </c>
      <c r="BA190" s="469">
        <f t="shared" si="335"/>
        <v>18.128571784263034</v>
      </c>
      <c r="BB190" s="469">
        <f t="shared" si="336"/>
        <v>39.734276094276112</v>
      </c>
      <c r="BC190" s="5">
        <f t="shared" si="289"/>
        <v>1.3718267599905953</v>
      </c>
      <c r="BD190" s="469">
        <f t="shared" si="337"/>
        <v>106.04490173613677</v>
      </c>
      <c r="BF190" s="177">
        <f t="shared" si="251"/>
        <v>1.5090202187752848</v>
      </c>
      <c r="BG190" s="177">
        <f t="shared" si="247"/>
        <v>1.632233303032214</v>
      </c>
      <c r="BI190" s="542">
        <f t="shared" si="290"/>
        <v>0.25048562227398696</v>
      </c>
      <c r="BJ190" s="542">
        <f t="shared" si="291"/>
        <v>0.20216348705935999</v>
      </c>
      <c r="BK190" s="542">
        <f t="shared" si="292"/>
        <v>1.7499999999999998E-2</v>
      </c>
      <c r="BL190" s="542">
        <f t="shared" si="293"/>
        <v>0.10121127187500001</v>
      </c>
      <c r="BM190">
        <f t="shared" si="294"/>
        <v>3.48E-3</v>
      </c>
      <c r="BN190" s="469">
        <f t="shared" si="295"/>
        <v>574.84038120834703</v>
      </c>
      <c r="BO190" s="542">
        <f t="shared" si="296"/>
        <v>0.72000000000000008</v>
      </c>
      <c r="BR190" s="469">
        <f t="shared" si="297"/>
        <v>720.00000000000011</v>
      </c>
      <c r="BS190" s="542">
        <f t="shared" si="298"/>
        <v>0</v>
      </c>
      <c r="BT190" s="542">
        <f t="shared" si="299"/>
        <v>0</v>
      </c>
      <c r="BU190" s="542">
        <f t="shared" si="300"/>
        <v>0</v>
      </c>
      <c r="BV190" s="542">
        <f t="shared" si="301"/>
        <v>0</v>
      </c>
      <c r="BW190" s="469">
        <f t="shared" si="302"/>
        <v>0</v>
      </c>
      <c r="BX190" s="177">
        <f t="shared" si="303"/>
        <v>1.2948403812083471</v>
      </c>
      <c r="BY190" s="5">
        <f t="shared" si="304"/>
        <v>12</v>
      </c>
      <c r="BZ190" s="177">
        <f t="shared" si="305"/>
        <v>0.90260579713025024</v>
      </c>
      <c r="CA190" s="5">
        <f t="shared" si="306"/>
        <v>90.260579713025024</v>
      </c>
      <c r="CD190" s="576">
        <f t="shared" si="338"/>
        <v>-50</v>
      </c>
      <c r="CE190">
        <f t="shared" si="339"/>
        <v>-50</v>
      </c>
    </row>
    <row r="191" spans="5:83" x14ac:dyDescent="0.25">
      <c r="E191" s="174">
        <v>81</v>
      </c>
      <c r="F191" s="221">
        <f t="shared" si="340"/>
        <v>0.81</v>
      </c>
      <c r="G191" s="221"/>
      <c r="H191" s="221">
        <f t="shared" si="307"/>
        <v>12.15</v>
      </c>
      <c r="I191" s="555">
        <f t="shared" si="308"/>
        <v>12</v>
      </c>
      <c r="J191" s="451">
        <f t="shared" si="309"/>
        <v>23.85</v>
      </c>
      <c r="K191" s="451">
        <f t="shared" si="310"/>
        <v>35.85</v>
      </c>
      <c r="L191" s="451"/>
      <c r="M191" s="221">
        <f t="shared" si="311"/>
        <v>0.66527196652719667</v>
      </c>
      <c r="N191" s="176">
        <f t="shared" si="312"/>
        <v>15.547405857740586</v>
      </c>
      <c r="O191" s="176">
        <f t="shared" si="248"/>
        <v>12.15</v>
      </c>
      <c r="P191" s="221">
        <f t="shared" si="313"/>
        <v>1.0364937238493723</v>
      </c>
      <c r="Q191" s="221">
        <f t="shared" si="314"/>
        <v>15</v>
      </c>
      <c r="R191" s="221"/>
      <c r="S191" s="176">
        <f t="shared" si="315"/>
        <v>21.177968808642792</v>
      </c>
      <c r="T191" s="550">
        <f t="shared" si="316"/>
        <v>15</v>
      </c>
      <c r="U191" s="221">
        <f t="shared" si="317"/>
        <v>3.2040714995034763</v>
      </c>
      <c r="V191" s="221">
        <f t="shared" si="318"/>
        <v>1.8690417080436945</v>
      </c>
      <c r="W191" s="221">
        <f t="shared" si="319"/>
        <v>0.94039834366978337</v>
      </c>
      <c r="X191" s="201">
        <f t="shared" si="320"/>
        <v>350</v>
      </c>
      <c r="Y191" s="451">
        <f t="shared" si="286"/>
        <v>350</v>
      </c>
      <c r="AA191" s="221">
        <f t="shared" si="321"/>
        <v>3.2584749380923919</v>
      </c>
      <c r="AB191" s="177">
        <f t="shared" si="322"/>
        <v>0.95636580992229525</v>
      </c>
      <c r="AC191" s="177">
        <f t="shared" si="323"/>
        <v>0.81802718111106087</v>
      </c>
      <c r="AD191" s="177"/>
      <c r="AE191" s="177">
        <f t="shared" si="324"/>
        <v>0.24067085953878403</v>
      </c>
      <c r="AF191" s="559">
        <f t="shared" si="325"/>
        <v>5472.5078609671127</v>
      </c>
      <c r="AG191" s="542">
        <f t="shared" si="326"/>
        <v>5.1804402515723262E-2</v>
      </c>
      <c r="AI191" s="177">
        <f t="shared" si="327"/>
        <v>3.2424480547504699</v>
      </c>
      <c r="AJ191" s="177">
        <f t="shared" si="328"/>
        <v>3.2424480547504699</v>
      </c>
      <c r="AK191" s="177">
        <f t="shared" si="329"/>
        <v>2.9944059664818301</v>
      </c>
      <c r="AM191" s="559">
        <f t="shared" si="330"/>
        <v>810</v>
      </c>
      <c r="AN191" s="469">
        <f t="shared" si="331"/>
        <v>350</v>
      </c>
      <c r="AP191">
        <f t="shared" si="332"/>
        <v>810</v>
      </c>
      <c r="AQ191">
        <f t="shared" si="333"/>
        <v>350</v>
      </c>
      <c r="AS191" s="5">
        <f t="shared" si="249"/>
        <v>2.8571428571428572</v>
      </c>
      <c r="AT191" s="5">
        <f t="shared" si="334"/>
        <v>1.8914280319377741</v>
      </c>
      <c r="AU191" s="5">
        <f t="shared" si="287"/>
        <v>0.96571482520508312</v>
      </c>
      <c r="AV191" s="5"/>
      <c r="AW191" s="177">
        <f t="shared" si="288"/>
        <v>0.66199981117822093</v>
      </c>
      <c r="AX191" s="177">
        <f t="shared" si="245"/>
        <v>12.879000000000005</v>
      </c>
      <c r="AY191" s="177">
        <f t="shared" si="246"/>
        <v>0.82196104106285173</v>
      </c>
      <c r="AZ191" s="177">
        <f t="shared" si="250"/>
        <v>15.668625830911132</v>
      </c>
      <c r="BA191" s="469">
        <f t="shared" si="335"/>
        <v>18.128571784263034</v>
      </c>
      <c r="BB191" s="469">
        <f t="shared" si="336"/>
        <v>40.703466477272741</v>
      </c>
      <c r="BC191" s="5">
        <f t="shared" si="289"/>
        <v>1.3723315937124865</v>
      </c>
      <c r="BD191" s="469">
        <f t="shared" si="337"/>
        <v>106.12223794948912</v>
      </c>
      <c r="BF191" s="177">
        <f t="shared" si="251"/>
        <v>1.5231452928640663</v>
      </c>
      <c r="BG191" s="177">
        <f t="shared" si="247"/>
        <v>1.6325336072114762</v>
      </c>
      <c r="BI191" s="542">
        <f t="shared" si="290"/>
        <v>0.25519687414913583</v>
      </c>
      <c r="BJ191" s="542">
        <f t="shared" si="291"/>
        <v>0.20342308483490765</v>
      </c>
      <c r="BK191" s="542">
        <f t="shared" si="292"/>
        <v>1.7499999999999998E-2</v>
      </c>
      <c r="BL191" s="542">
        <f t="shared" si="293"/>
        <v>0.10121127187500001</v>
      </c>
      <c r="BM191">
        <f t="shared" si="294"/>
        <v>3.48E-3</v>
      </c>
      <c r="BN191" s="469">
        <f t="shared" si="295"/>
        <v>580.81123085904346</v>
      </c>
      <c r="BO191" s="542">
        <f t="shared" si="296"/>
        <v>0.72900000000000009</v>
      </c>
      <c r="BR191" s="469">
        <f t="shared" si="297"/>
        <v>729.00000000000011</v>
      </c>
      <c r="BS191" s="542">
        <f t="shared" si="298"/>
        <v>0</v>
      </c>
      <c r="BT191" s="542">
        <f t="shared" si="299"/>
        <v>0</v>
      </c>
      <c r="BU191" s="542">
        <f t="shared" si="300"/>
        <v>0</v>
      </c>
      <c r="BV191" s="542">
        <f t="shared" si="301"/>
        <v>0</v>
      </c>
      <c r="BW191" s="469">
        <f t="shared" si="302"/>
        <v>0</v>
      </c>
      <c r="BX191" s="177">
        <f t="shared" si="303"/>
        <v>1.3098112308590437</v>
      </c>
      <c r="BY191" s="5">
        <f t="shared" si="304"/>
        <v>12.15</v>
      </c>
      <c r="BZ191" s="177">
        <f t="shared" si="305"/>
        <v>0.90268725107703851</v>
      </c>
      <c r="CA191" s="5">
        <f t="shared" si="306"/>
        <v>90.268725107703858</v>
      </c>
      <c r="CD191" s="576">
        <f t="shared" si="338"/>
        <v>-50</v>
      </c>
      <c r="CE191">
        <f t="shared" si="339"/>
        <v>-50</v>
      </c>
    </row>
    <row r="192" spans="5:83" x14ac:dyDescent="0.25">
      <c r="E192" s="174">
        <v>82</v>
      </c>
      <c r="F192" s="221">
        <f t="shared" si="340"/>
        <v>0.82</v>
      </c>
      <c r="G192" s="221"/>
      <c r="H192" s="221">
        <f t="shared" si="307"/>
        <v>12.299999999999999</v>
      </c>
      <c r="I192" s="555">
        <f t="shared" si="308"/>
        <v>12</v>
      </c>
      <c r="J192" s="451">
        <f t="shared" si="309"/>
        <v>23.85</v>
      </c>
      <c r="K192" s="451">
        <f t="shared" si="310"/>
        <v>35.85</v>
      </c>
      <c r="L192" s="451"/>
      <c r="M192" s="221">
        <f t="shared" si="311"/>
        <v>0.66527196652719667</v>
      </c>
      <c r="N192" s="176">
        <f t="shared" si="312"/>
        <v>15.547405857740586</v>
      </c>
      <c r="O192" s="176">
        <f t="shared" si="248"/>
        <v>12.299999999999999</v>
      </c>
      <c r="P192" s="221">
        <f t="shared" si="313"/>
        <v>1.0364937238493723</v>
      </c>
      <c r="Q192" s="221">
        <f t="shared" si="314"/>
        <v>15</v>
      </c>
      <c r="R192" s="221"/>
      <c r="S192" s="176">
        <f t="shared" si="315"/>
        <v>20.831319050775384</v>
      </c>
      <c r="T192" s="550">
        <f t="shared" si="316"/>
        <v>15</v>
      </c>
      <c r="U192" s="221">
        <f t="shared" si="317"/>
        <v>3.2436279377689505</v>
      </c>
      <c r="V192" s="221">
        <f t="shared" si="318"/>
        <v>1.8921162970318879</v>
      </c>
      <c r="W192" s="221">
        <f t="shared" si="319"/>
        <v>0.95200819976447182</v>
      </c>
      <c r="X192" s="201">
        <f t="shared" si="320"/>
        <v>350</v>
      </c>
      <c r="Y192" s="451">
        <f t="shared" si="286"/>
        <v>350</v>
      </c>
      <c r="AA192" s="221">
        <f t="shared" si="321"/>
        <v>3.2584749380923919</v>
      </c>
      <c r="AB192" s="177">
        <f t="shared" si="322"/>
        <v>0.95636580992229525</v>
      </c>
      <c r="AC192" s="177">
        <f t="shared" si="323"/>
        <v>0.81802718111106087</v>
      </c>
      <c r="AD192" s="177"/>
      <c r="AE192" s="177">
        <f t="shared" si="324"/>
        <v>0.24067085953878403</v>
      </c>
      <c r="AF192" s="559">
        <f t="shared" si="325"/>
        <v>5540.0696864111505</v>
      </c>
      <c r="AG192" s="542">
        <f t="shared" si="326"/>
        <v>5.1804402515723262E-2</v>
      </c>
      <c r="AI192" s="177">
        <f t="shared" si="327"/>
        <v>3.2624017695744421</v>
      </c>
      <c r="AJ192" s="177">
        <f t="shared" si="328"/>
        <v>3.2436279377689505</v>
      </c>
      <c r="AK192" s="177">
        <f t="shared" si="329"/>
        <v>2.9952799539029265</v>
      </c>
      <c r="AM192" s="559">
        <f t="shared" si="330"/>
        <v>820</v>
      </c>
      <c r="AN192" s="469">
        <f t="shared" si="331"/>
        <v>350</v>
      </c>
      <c r="AP192">
        <f t="shared" si="332"/>
        <v>820</v>
      </c>
      <c r="AQ192">
        <f t="shared" si="333"/>
        <v>350</v>
      </c>
      <c r="AS192" s="5">
        <f t="shared" si="249"/>
        <v>2.8571428571428572</v>
      </c>
      <c r="AT192" s="5">
        <f t="shared" si="334"/>
        <v>1.8921162970318879</v>
      </c>
      <c r="AU192" s="5">
        <f t="shared" si="287"/>
        <v>0.96502656011096932</v>
      </c>
      <c r="AV192" s="5"/>
      <c r="AW192" s="177">
        <f t="shared" si="288"/>
        <v>0.66224070396116075</v>
      </c>
      <c r="AX192" s="177">
        <f t="shared" si="245"/>
        <v>12.888374693377187</v>
      </c>
      <c r="AY192" s="177">
        <f t="shared" si="246"/>
        <v>0.82167411665456447</v>
      </c>
      <c r="AZ192" s="177">
        <f t="shared" si="250"/>
        <v>15.685506494779267</v>
      </c>
      <c r="BA192" s="469">
        <f t="shared" si="335"/>
        <v>18.128571784263034</v>
      </c>
      <c r="BB192" s="469">
        <f t="shared" si="336"/>
        <v>41.68432382154883</v>
      </c>
      <c r="BC192" s="5">
        <f t="shared" si="289"/>
        <v>1.3882838233175347</v>
      </c>
      <c r="BD192" s="469">
        <f t="shared" si="337"/>
        <v>107.35812885407827</v>
      </c>
      <c r="BF192" s="177">
        <f t="shared" si="251"/>
        <v>1.5239767464665261</v>
      </c>
      <c r="BG192" s="177">
        <f t="shared" si="247"/>
        <v>1.6325455952353578</v>
      </c>
      <c r="BI192" s="542">
        <f t="shared" si="290"/>
        <v>0.25547556361477686</v>
      </c>
      <c r="BJ192" s="542">
        <f t="shared" si="291"/>
        <v>0.20349710774577953</v>
      </c>
      <c r="BK192" s="542">
        <f t="shared" si="292"/>
        <v>1.7499999999999998E-2</v>
      </c>
      <c r="BL192" s="542">
        <f t="shared" si="293"/>
        <v>0.10121127187500001</v>
      </c>
      <c r="BM192">
        <f t="shared" si="294"/>
        <v>3.48E-3</v>
      </c>
      <c r="BN192" s="469">
        <f t="shared" si="295"/>
        <v>581.16394323555653</v>
      </c>
      <c r="BO192" s="542">
        <f t="shared" si="296"/>
        <v>0.73799999999999999</v>
      </c>
      <c r="BR192" s="469">
        <f t="shared" si="297"/>
        <v>738</v>
      </c>
      <c r="BS192" s="542">
        <f t="shared" si="298"/>
        <v>0</v>
      </c>
      <c r="BT192" s="542">
        <f t="shared" si="299"/>
        <v>0</v>
      </c>
      <c r="BU192" s="542">
        <f t="shared" si="300"/>
        <v>0</v>
      </c>
      <c r="BV192" s="542">
        <f t="shared" si="301"/>
        <v>0</v>
      </c>
      <c r="BW192" s="469">
        <f t="shared" si="302"/>
        <v>0</v>
      </c>
      <c r="BX192" s="177">
        <f t="shared" si="303"/>
        <v>1.3191639432355564</v>
      </c>
      <c r="BY192" s="5">
        <f t="shared" si="304"/>
        <v>12.299999999999999</v>
      </c>
      <c r="BZ192" s="177">
        <f t="shared" si="305"/>
        <v>0.90313913917669175</v>
      </c>
      <c r="CA192" s="5">
        <f t="shared" si="306"/>
        <v>90.313913917669169</v>
      </c>
      <c r="CD192" s="576">
        <f t="shared" si="338"/>
        <v>-50</v>
      </c>
      <c r="CE192">
        <f t="shared" si="339"/>
        <v>-50</v>
      </c>
    </row>
    <row r="193" spans="5:83" x14ac:dyDescent="0.25">
      <c r="E193" s="174">
        <v>83</v>
      </c>
      <c r="F193" s="221">
        <f t="shared" si="340"/>
        <v>0.83</v>
      </c>
      <c r="G193" s="221"/>
      <c r="H193" s="221">
        <f t="shared" si="307"/>
        <v>12.45</v>
      </c>
      <c r="I193" s="555">
        <f t="shared" si="308"/>
        <v>12</v>
      </c>
      <c r="J193" s="451">
        <f t="shared" si="309"/>
        <v>23.85</v>
      </c>
      <c r="K193" s="451">
        <f t="shared" si="310"/>
        <v>35.85</v>
      </c>
      <c r="L193" s="451"/>
      <c r="M193" s="221">
        <f t="shared" si="311"/>
        <v>0.66527196652719667</v>
      </c>
      <c r="N193" s="176">
        <f t="shared" si="312"/>
        <v>15.547405857740586</v>
      </c>
      <c r="O193" s="176">
        <f t="shared" si="248"/>
        <v>12.45</v>
      </c>
      <c r="P193" s="221">
        <f t="shared" si="313"/>
        <v>1.0364937238493723</v>
      </c>
      <c r="Q193" s="221">
        <f t="shared" si="314"/>
        <v>15</v>
      </c>
      <c r="R193" s="221"/>
      <c r="S193" s="176">
        <f t="shared" si="315"/>
        <v>20.493182325097045</v>
      </c>
      <c r="T193" s="550">
        <f t="shared" si="316"/>
        <v>15</v>
      </c>
      <c r="U193" s="221">
        <f t="shared" si="317"/>
        <v>3.2831843760344257</v>
      </c>
      <c r="V193" s="221">
        <f t="shared" si="318"/>
        <v>1.9151908860200815</v>
      </c>
      <c r="W193" s="221">
        <f t="shared" si="319"/>
        <v>0.96361805585916049</v>
      </c>
      <c r="X193" s="201">
        <f t="shared" si="320"/>
        <v>350</v>
      </c>
      <c r="Y193" s="451">
        <f t="shared" si="286"/>
        <v>347.36587949710048</v>
      </c>
      <c r="AA193" s="221">
        <f t="shared" si="321"/>
        <v>3.2584749380923919</v>
      </c>
      <c r="AB193" s="177">
        <f t="shared" si="322"/>
        <v>0.95636580992229525</v>
      </c>
      <c r="AC193" s="177">
        <f t="shared" si="323"/>
        <v>0.81802718111106087</v>
      </c>
      <c r="AD193" s="177"/>
      <c r="AE193" s="177">
        <f t="shared" si="324"/>
        <v>0.24067085953878403</v>
      </c>
      <c r="AF193" s="559">
        <f t="shared" si="325"/>
        <v>5607.6315118551884</v>
      </c>
      <c r="AG193" s="542">
        <f t="shared" si="326"/>
        <v>5.1804402515723262E-2</v>
      </c>
      <c r="AI193" s="177">
        <f t="shared" si="327"/>
        <v>3.2822341818477545</v>
      </c>
      <c r="AJ193" s="177">
        <f t="shared" si="328"/>
        <v>3.2831843760344257</v>
      </c>
      <c r="AK193" s="177">
        <f t="shared" si="329"/>
        <v>3.02458101928476</v>
      </c>
      <c r="AM193" s="559">
        <f t="shared" si="330"/>
        <v>830</v>
      </c>
      <c r="AN193" s="469">
        <f t="shared" si="331"/>
        <v>347.36587949710048</v>
      </c>
      <c r="AP193">
        <f t="shared" si="332"/>
        <v>830</v>
      </c>
      <c r="AQ193">
        <f t="shared" si="333"/>
        <v>347.36587949710048</v>
      </c>
      <c r="AS193" s="5">
        <f t="shared" si="249"/>
        <v>2.878808941879242</v>
      </c>
      <c r="AT193" s="5">
        <f t="shared" si="334"/>
        <v>1.9151908860200815</v>
      </c>
      <c r="AU193" s="5">
        <f t="shared" si="287"/>
        <v>0.96361805585916049</v>
      </c>
      <c r="AV193" s="5"/>
      <c r="AW193" s="177">
        <f t="shared" si="288"/>
        <v>0.66527196652719667</v>
      </c>
      <c r="AX193" s="177">
        <f t="shared" si="245"/>
        <v>13.10526315789474</v>
      </c>
      <c r="AY193" s="177">
        <f t="shared" si="246"/>
        <v>0.82423038728897713</v>
      </c>
      <c r="AZ193" s="177">
        <f t="shared" si="250"/>
        <v>15.900000000000004</v>
      </c>
      <c r="BA193" s="469">
        <f t="shared" si="335"/>
        <v>18.128571784263034</v>
      </c>
      <c r="BB193" s="469">
        <f t="shared" si="336"/>
        <v>42.676848127104385</v>
      </c>
      <c r="BC193" s="5">
        <f t="shared" si="289"/>
        <v>1.4031631339703565</v>
      </c>
      <c r="BD193" s="469">
        <f t="shared" si="337"/>
        <v>108.51355083725042</v>
      </c>
      <c r="BF193" s="177">
        <f t="shared" si="251"/>
        <v>1.5460881684615024</v>
      </c>
      <c r="BG193" s="177">
        <f t="shared" si="247"/>
        <v>1.6450228964363911</v>
      </c>
      <c r="BI193" s="542">
        <f t="shared" si="290"/>
        <v>0.26294274871223072</v>
      </c>
      <c r="BJ193" s="542">
        <f t="shared" si="291"/>
        <v>0.20442857142857146</v>
      </c>
      <c r="BK193" s="542">
        <f t="shared" si="292"/>
        <v>1.7368293974855023E-2</v>
      </c>
      <c r="BL193" s="542">
        <f t="shared" si="293"/>
        <v>0.10044954991394152</v>
      </c>
      <c r="BM193">
        <f t="shared" si="294"/>
        <v>3.48E-3</v>
      </c>
      <c r="BN193" s="469">
        <f t="shared" si="295"/>
        <v>588.66916402959885</v>
      </c>
      <c r="BO193" s="542">
        <f t="shared" si="296"/>
        <v>0.747</v>
      </c>
      <c r="BR193" s="469">
        <f t="shared" si="297"/>
        <v>747</v>
      </c>
      <c r="BS193" s="542">
        <f t="shared" si="298"/>
        <v>0</v>
      </c>
      <c r="BT193" s="542">
        <f t="shared" si="299"/>
        <v>0</v>
      </c>
      <c r="BU193" s="542">
        <f t="shared" si="300"/>
        <v>0</v>
      </c>
      <c r="BV193" s="542">
        <f t="shared" si="301"/>
        <v>0</v>
      </c>
      <c r="BW193" s="469">
        <f t="shared" si="302"/>
        <v>0</v>
      </c>
      <c r="BX193" s="177">
        <f t="shared" si="303"/>
        <v>1.3356691640295988</v>
      </c>
      <c r="BY193" s="5">
        <f t="shared" si="304"/>
        <v>12.45</v>
      </c>
      <c r="BZ193" s="177">
        <f t="shared" si="305"/>
        <v>0.90311176424321082</v>
      </c>
      <c r="CA193" s="5">
        <f t="shared" si="306"/>
        <v>90.311176424321076</v>
      </c>
      <c r="CD193" s="576">
        <f t="shared" si="338"/>
        <v>-50</v>
      </c>
      <c r="CE193">
        <f t="shared" si="339"/>
        <v>-50</v>
      </c>
    </row>
    <row r="194" spans="5:83" x14ac:dyDescent="0.25">
      <c r="E194" s="174">
        <v>84</v>
      </c>
      <c r="F194" s="221">
        <f t="shared" si="340"/>
        <v>0.84</v>
      </c>
      <c r="G194" s="221"/>
      <c r="H194" s="221">
        <f t="shared" si="307"/>
        <v>12.6</v>
      </c>
      <c r="I194" s="555">
        <f t="shared" si="308"/>
        <v>12</v>
      </c>
      <c r="J194" s="451">
        <f t="shared" si="309"/>
        <v>23.85</v>
      </c>
      <c r="K194" s="451">
        <f t="shared" si="310"/>
        <v>35.85</v>
      </c>
      <c r="L194" s="451"/>
      <c r="M194" s="221">
        <f t="shared" si="311"/>
        <v>0.66527196652719667</v>
      </c>
      <c r="N194" s="176">
        <f t="shared" si="312"/>
        <v>15.547405857740586</v>
      </c>
      <c r="O194" s="176">
        <f t="shared" si="248"/>
        <v>12.6</v>
      </c>
      <c r="P194" s="221">
        <f t="shared" si="313"/>
        <v>1.0364937238493723</v>
      </c>
      <c r="Q194" s="221">
        <f t="shared" si="314"/>
        <v>15</v>
      </c>
      <c r="R194" s="221"/>
      <c r="S194" s="176">
        <f t="shared" si="315"/>
        <v>20.163256063731509</v>
      </c>
      <c r="T194" s="550">
        <f t="shared" si="316"/>
        <v>15</v>
      </c>
      <c r="U194" s="221">
        <f t="shared" si="317"/>
        <v>3.3227408142999009</v>
      </c>
      <c r="V194" s="221">
        <f t="shared" si="318"/>
        <v>1.9382654750082755</v>
      </c>
      <c r="W194" s="221">
        <f t="shared" si="319"/>
        <v>0.97522791195384928</v>
      </c>
      <c r="X194" s="201">
        <f t="shared" si="320"/>
        <v>350</v>
      </c>
      <c r="Y194" s="451">
        <f t="shared" si="286"/>
        <v>343.2305714078492</v>
      </c>
      <c r="AA194" s="221">
        <f t="shared" si="321"/>
        <v>3.2584749380923919</v>
      </c>
      <c r="AB194" s="177">
        <f t="shared" si="322"/>
        <v>0.95636580992229525</v>
      </c>
      <c r="AC194" s="177">
        <f t="shared" si="323"/>
        <v>0.81802718111106087</v>
      </c>
      <c r="AD194" s="177"/>
      <c r="AE194" s="177">
        <f t="shared" si="324"/>
        <v>0.24067085953878403</v>
      </c>
      <c r="AF194" s="559">
        <f t="shared" si="325"/>
        <v>5675.193337299228</v>
      </c>
      <c r="AG194" s="542">
        <f t="shared" si="326"/>
        <v>5.1804402515723262E-2</v>
      </c>
      <c r="AI194" s="177">
        <f t="shared" si="327"/>
        <v>3.3019474773014101</v>
      </c>
      <c r="AJ194" s="177">
        <f t="shared" si="328"/>
        <v>3.3227408142999009</v>
      </c>
      <c r="AK194" s="177">
        <f t="shared" si="329"/>
        <v>3.0538820846665935</v>
      </c>
      <c r="AM194" s="559">
        <f t="shared" si="330"/>
        <v>840</v>
      </c>
      <c r="AN194" s="469">
        <f t="shared" si="331"/>
        <v>343.2305714078492</v>
      </c>
      <c r="AP194">
        <f t="shared" si="332"/>
        <v>840</v>
      </c>
      <c r="AQ194">
        <f t="shared" si="333"/>
        <v>343.2305714078492</v>
      </c>
      <c r="AS194" s="5">
        <f t="shared" si="249"/>
        <v>2.9134933869621249</v>
      </c>
      <c r="AT194" s="5">
        <f t="shared" si="334"/>
        <v>1.9382654750082755</v>
      </c>
      <c r="AU194" s="5">
        <f t="shared" si="287"/>
        <v>0.97522791195384939</v>
      </c>
      <c r="AV194" s="5"/>
      <c r="AW194" s="177">
        <f t="shared" si="288"/>
        <v>0.66527196652719667</v>
      </c>
      <c r="AX194" s="177">
        <f t="shared" si="245"/>
        <v>13.263157894736841</v>
      </c>
      <c r="AY194" s="177">
        <f t="shared" si="246"/>
        <v>0.83416087388282023</v>
      </c>
      <c r="AZ194" s="177">
        <f t="shared" si="250"/>
        <v>15.899999999999999</v>
      </c>
      <c r="BA194" s="469">
        <f t="shared" si="335"/>
        <v>18.128571784263034</v>
      </c>
      <c r="BB194" s="469">
        <f t="shared" si="336"/>
        <v>43.6810393939394</v>
      </c>
      <c r="BC194" s="5">
        <f t="shared" si="289"/>
        <v>1.4371779755109362</v>
      </c>
      <c r="BD194" s="469">
        <f t="shared" si="337"/>
        <v>111.10413763700443</v>
      </c>
      <c r="BF194" s="177">
        <f t="shared" si="251"/>
        <v>1.5647157367562194</v>
      </c>
      <c r="BG194" s="177">
        <f t="shared" si="247"/>
        <v>1.6648424494055041</v>
      </c>
      <c r="BI194" s="542">
        <f t="shared" si="290"/>
        <v>0.26931688705378143</v>
      </c>
      <c r="BJ194" s="542">
        <f t="shared" si="291"/>
        <v>0.20442857142857146</v>
      </c>
      <c r="BK194" s="542">
        <f t="shared" si="292"/>
        <v>1.7161528570392458E-2</v>
      </c>
      <c r="BL194" s="542">
        <f t="shared" si="293"/>
        <v>9.9253721938775519E-2</v>
      </c>
      <c r="BM194">
        <f t="shared" si="294"/>
        <v>3.48E-3</v>
      </c>
      <c r="BN194" s="469">
        <f t="shared" si="295"/>
        <v>593.64070899152091</v>
      </c>
      <c r="BO194" s="542">
        <f t="shared" si="296"/>
        <v>0.75600000000000001</v>
      </c>
      <c r="BR194" s="469">
        <f t="shared" si="297"/>
        <v>756</v>
      </c>
      <c r="BS194" s="542">
        <f t="shared" si="298"/>
        <v>0</v>
      </c>
      <c r="BT194" s="542">
        <f t="shared" si="299"/>
        <v>0</v>
      </c>
      <c r="BU194" s="542">
        <f t="shared" si="300"/>
        <v>0</v>
      </c>
      <c r="BV194" s="542">
        <f t="shared" si="301"/>
        <v>0</v>
      </c>
      <c r="BW194" s="469">
        <f t="shared" si="302"/>
        <v>0</v>
      </c>
      <c r="BX194" s="177">
        <f t="shared" si="303"/>
        <v>1.349640708991521</v>
      </c>
      <c r="BY194" s="5">
        <f t="shared" si="304"/>
        <v>12.6</v>
      </c>
      <c r="BZ194" s="177">
        <f t="shared" si="305"/>
        <v>0.90324907019851897</v>
      </c>
      <c r="CA194" s="5">
        <f t="shared" si="306"/>
        <v>90.324907019851892</v>
      </c>
      <c r="CD194" s="576">
        <f t="shared" si="338"/>
        <v>-50</v>
      </c>
      <c r="CE194">
        <f t="shared" si="339"/>
        <v>-50</v>
      </c>
    </row>
    <row r="195" spans="5:83" x14ac:dyDescent="0.25">
      <c r="E195" s="174">
        <v>85</v>
      </c>
      <c r="F195" s="221">
        <f t="shared" si="340"/>
        <v>0.85</v>
      </c>
      <c r="G195" s="221"/>
      <c r="H195" s="221">
        <f t="shared" si="307"/>
        <v>12.75</v>
      </c>
      <c r="I195" s="555">
        <f t="shared" si="308"/>
        <v>12</v>
      </c>
      <c r="J195" s="451">
        <f t="shared" si="309"/>
        <v>23.85</v>
      </c>
      <c r="K195" s="451">
        <f t="shared" si="310"/>
        <v>35.85</v>
      </c>
      <c r="L195" s="451"/>
      <c r="M195" s="221">
        <f t="shared" si="311"/>
        <v>0.66527196652719667</v>
      </c>
      <c r="N195" s="176">
        <f t="shared" si="312"/>
        <v>15.547405857740586</v>
      </c>
      <c r="O195" s="176">
        <f t="shared" si="248"/>
        <v>12.75</v>
      </c>
      <c r="P195" s="221">
        <f t="shared" si="313"/>
        <v>1.0364937238493723</v>
      </c>
      <c r="Q195" s="221">
        <f t="shared" si="314"/>
        <v>15</v>
      </c>
      <c r="R195" s="221"/>
      <c r="S195" s="176">
        <f t="shared" si="315"/>
        <v>19.84125194820799</v>
      </c>
      <c r="T195" s="550">
        <f t="shared" si="316"/>
        <v>15</v>
      </c>
      <c r="U195" s="221">
        <f t="shared" si="317"/>
        <v>3.362297252565376</v>
      </c>
      <c r="V195" s="221">
        <f t="shared" si="318"/>
        <v>1.9613400639964693</v>
      </c>
      <c r="W195" s="221">
        <f t="shared" si="319"/>
        <v>0.98683776804853796</v>
      </c>
      <c r="X195" s="201">
        <f t="shared" si="320"/>
        <v>350</v>
      </c>
      <c r="Y195" s="451">
        <f t="shared" si="286"/>
        <v>339.19256468540385</v>
      </c>
      <c r="AA195" s="221">
        <f t="shared" si="321"/>
        <v>3.2584749380923919</v>
      </c>
      <c r="AB195" s="177">
        <f t="shared" si="322"/>
        <v>0.95636580992229525</v>
      </c>
      <c r="AC195" s="177">
        <f t="shared" si="323"/>
        <v>0.81802718111106087</v>
      </c>
      <c r="AD195" s="177"/>
      <c r="AE195" s="177">
        <f t="shared" si="324"/>
        <v>0.24067085953878403</v>
      </c>
      <c r="AF195" s="559">
        <f t="shared" si="325"/>
        <v>5742.7551627432658</v>
      </c>
      <c r="AG195" s="542">
        <f t="shared" si="326"/>
        <v>5.1804402515723262E-2</v>
      </c>
      <c r="AI195" s="177">
        <f t="shared" si="327"/>
        <v>3.3215437768038663</v>
      </c>
      <c r="AJ195" s="177">
        <f t="shared" si="328"/>
        <v>3.362297252565376</v>
      </c>
      <c r="AK195" s="177">
        <f t="shared" si="329"/>
        <v>3.083183150048427</v>
      </c>
      <c r="AM195" s="559">
        <f t="shared" si="330"/>
        <v>850</v>
      </c>
      <c r="AN195" s="469">
        <f t="shared" si="331"/>
        <v>339.19256468540385</v>
      </c>
      <c r="AP195">
        <f t="shared" si="332"/>
        <v>850</v>
      </c>
      <c r="AQ195">
        <f t="shared" si="333"/>
        <v>339.19256468540385</v>
      </c>
      <c r="AS195" s="5">
        <f t="shared" si="249"/>
        <v>2.9481778320450078</v>
      </c>
      <c r="AT195" s="5">
        <f t="shared" si="334"/>
        <v>1.9613400639964693</v>
      </c>
      <c r="AU195" s="5">
        <f t="shared" si="287"/>
        <v>0.98683776804853851</v>
      </c>
      <c r="AV195" s="5"/>
      <c r="AW195" s="177">
        <f t="shared" si="288"/>
        <v>0.66527196652719656</v>
      </c>
      <c r="AX195" s="177">
        <f t="shared" si="245"/>
        <v>13.421052631578945</v>
      </c>
      <c r="AY195" s="177">
        <f t="shared" si="246"/>
        <v>0.84409136047666367</v>
      </c>
      <c r="AZ195" s="177">
        <f t="shared" si="250"/>
        <v>15.899999999999991</v>
      </c>
      <c r="BA195" s="469">
        <f t="shared" si="335"/>
        <v>18.128571784263034</v>
      </c>
      <c r="BB195" s="469">
        <f t="shared" si="336"/>
        <v>44.696897622053875</v>
      </c>
      <c r="BC195" s="5">
        <f t="shared" si="289"/>
        <v>1.4716001804232592</v>
      </c>
      <c r="BD195" s="469">
        <f t="shared" si="337"/>
        <v>113.72527668963917</v>
      </c>
      <c r="BF195" s="177">
        <f t="shared" si="251"/>
        <v>1.5833433050509362</v>
      </c>
      <c r="BG195" s="177">
        <f t="shared" si="247"/>
        <v>1.6846620023746177</v>
      </c>
      <c r="BI195" s="542">
        <f t="shared" si="290"/>
        <v>0.27576736238145844</v>
      </c>
      <c r="BJ195" s="542">
        <f t="shared" si="291"/>
        <v>0.20442857142857143</v>
      </c>
      <c r="BK195" s="542">
        <f t="shared" si="292"/>
        <v>1.6959628234270194E-2</v>
      </c>
      <c r="BL195" s="542">
        <f t="shared" si="293"/>
        <v>9.8086031092436965E-2</v>
      </c>
      <c r="BM195">
        <f t="shared" si="294"/>
        <v>3.48E-3</v>
      </c>
      <c r="BN195" s="469">
        <f t="shared" si="295"/>
        <v>598.72159313673717</v>
      </c>
      <c r="BO195" s="542">
        <f t="shared" si="296"/>
        <v>0.76500000000000001</v>
      </c>
      <c r="BR195" s="469">
        <f t="shared" si="297"/>
        <v>765</v>
      </c>
      <c r="BS195" s="542">
        <f t="shared" si="298"/>
        <v>0</v>
      </c>
      <c r="BT195" s="542">
        <f t="shared" si="299"/>
        <v>0</v>
      </c>
      <c r="BU195" s="542">
        <f t="shared" si="300"/>
        <v>0</v>
      </c>
      <c r="BV195" s="542">
        <f t="shared" si="301"/>
        <v>0</v>
      </c>
      <c r="BW195" s="469">
        <f t="shared" si="302"/>
        <v>0</v>
      </c>
      <c r="BX195" s="177">
        <f t="shared" si="303"/>
        <v>1.363721593136737</v>
      </c>
      <c r="BY195" s="5">
        <f t="shared" si="304"/>
        <v>12.75</v>
      </c>
      <c r="BZ195" s="177">
        <f t="shared" si="305"/>
        <v>0.90337618719927903</v>
      </c>
      <c r="CA195" s="5">
        <f t="shared" si="306"/>
        <v>90.337618719927903</v>
      </c>
      <c r="CD195" s="576">
        <f t="shared" si="338"/>
        <v>-50</v>
      </c>
      <c r="CE195">
        <f t="shared" si="339"/>
        <v>-50</v>
      </c>
    </row>
    <row r="196" spans="5:83" x14ac:dyDescent="0.25">
      <c r="E196" s="174">
        <v>86</v>
      </c>
      <c r="F196" s="221">
        <f t="shared" si="340"/>
        <v>0.86</v>
      </c>
      <c r="G196" s="221"/>
      <c r="H196" s="221">
        <f t="shared" si="307"/>
        <v>12.9</v>
      </c>
      <c r="I196" s="555">
        <f t="shared" si="308"/>
        <v>12</v>
      </c>
      <c r="J196" s="451">
        <f t="shared" si="309"/>
        <v>23.85</v>
      </c>
      <c r="K196" s="451">
        <f t="shared" si="310"/>
        <v>35.85</v>
      </c>
      <c r="L196" s="451"/>
      <c r="M196" s="221">
        <f t="shared" si="311"/>
        <v>0.66527196652719667</v>
      </c>
      <c r="N196" s="176">
        <f t="shared" si="312"/>
        <v>15.547405857740586</v>
      </c>
      <c r="O196" s="176">
        <f t="shared" si="248"/>
        <v>12.9</v>
      </c>
      <c r="P196" s="221">
        <f t="shared" si="313"/>
        <v>1.0364937238493723</v>
      </c>
      <c r="Q196" s="221">
        <f t="shared" si="314"/>
        <v>15</v>
      </c>
      <c r="R196" s="221"/>
      <c r="S196" s="176">
        <f t="shared" si="315"/>
        <v>19.52689508095677</v>
      </c>
      <c r="T196" s="550">
        <f t="shared" si="316"/>
        <v>15</v>
      </c>
      <c r="U196" s="221">
        <f t="shared" si="317"/>
        <v>3.4018536908308512</v>
      </c>
      <c r="V196" s="221">
        <f t="shared" si="318"/>
        <v>1.9844146529846634</v>
      </c>
      <c r="W196" s="221">
        <f t="shared" si="319"/>
        <v>0.99844762414322674</v>
      </c>
      <c r="X196" s="201">
        <f t="shared" si="320"/>
        <v>350</v>
      </c>
      <c r="Y196" s="451">
        <f t="shared" si="286"/>
        <v>335.24846509603867</v>
      </c>
      <c r="AA196" s="221">
        <f t="shared" si="321"/>
        <v>3.2584749380923919</v>
      </c>
      <c r="AB196" s="177">
        <f t="shared" si="322"/>
        <v>0.95636580992229525</v>
      </c>
      <c r="AC196" s="177">
        <f t="shared" si="323"/>
        <v>0.81802718111106087</v>
      </c>
      <c r="AD196" s="177"/>
      <c r="AE196" s="177">
        <f t="shared" si="324"/>
        <v>0.24067085953878403</v>
      </c>
      <c r="AF196" s="559">
        <f t="shared" si="325"/>
        <v>5810.3169881873046</v>
      </c>
      <c r="AG196" s="542">
        <f t="shared" si="326"/>
        <v>5.1804402515723262E-2</v>
      </c>
      <c r="AI196" s="177">
        <f t="shared" si="327"/>
        <v>3.3410251390242243</v>
      </c>
      <c r="AJ196" s="177">
        <f t="shared" si="328"/>
        <v>3.4018536908308512</v>
      </c>
      <c r="AK196" s="177">
        <f t="shared" si="329"/>
        <v>3.1124842154302605</v>
      </c>
      <c r="AM196" s="559">
        <f t="shared" si="330"/>
        <v>860</v>
      </c>
      <c r="AN196" s="469">
        <f t="shared" si="331"/>
        <v>335.24846509603867</v>
      </c>
      <c r="AP196">
        <f t="shared" si="332"/>
        <v>860</v>
      </c>
      <c r="AQ196">
        <f t="shared" si="333"/>
        <v>335.24846509603867</v>
      </c>
      <c r="AS196" s="5">
        <f t="shared" si="249"/>
        <v>2.9828622771278903</v>
      </c>
      <c r="AT196" s="5">
        <f t="shared" si="334"/>
        <v>1.9844146529846634</v>
      </c>
      <c r="AU196" s="5">
        <f t="shared" si="287"/>
        <v>0.99844762414322696</v>
      </c>
      <c r="AV196" s="5"/>
      <c r="AW196" s="177">
        <f t="shared" si="288"/>
        <v>0.66527196652719667</v>
      </c>
      <c r="AX196" s="177">
        <f t="shared" si="245"/>
        <v>13.578947368421053</v>
      </c>
      <c r="AY196" s="177">
        <f t="shared" si="246"/>
        <v>0.85402184707050655</v>
      </c>
      <c r="AZ196" s="177">
        <f t="shared" si="250"/>
        <v>15.899999999999999</v>
      </c>
      <c r="BA196" s="469">
        <f t="shared" si="335"/>
        <v>18.128571784263034</v>
      </c>
      <c r="BB196" s="469">
        <f t="shared" si="336"/>
        <v>45.724422811447816</v>
      </c>
      <c r="BC196" s="5">
        <f t="shared" si="289"/>
        <v>1.506429748707325</v>
      </c>
      <c r="BD196" s="469">
        <f t="shared" si="337"/>
        <v>116.37696799515464</v>
      </c>
      <c r="BF196" s="177">
        <f t="shared" si="251"/>
        <v>1.6019708733456535</v>
      </c>
      <c r="BG196" s="177">
        <f t="shared" si="247"/>
        <v>1.7044815553437307</v>
      </c>
      <c r="BI196" s="542">
        <f t="shared" si="290"/>
        <v>0.28229417469526197</v>
      </c>
      <c r="BJ196" s="542">
        <f t="shared" si="291"/>
        <v>0.20442857142857143</v>
      </c>
      <c r="BK196" s="542">
        <f t="shared" si="292"/>
        <v>1.6762423254801935E-2</v>
      </c>
      <c r="BL196" s="542">
        <f t="shared" si="293"/>
        <v>9.6945495847176058E-2</v>
      </c>
      <c r="BM196">
        <f t="shared" si="294"/>
        <v>3.48E-3</v>
      </c>
      <c r="BN196" s="469">
        <f t="shared" si="295"/>
        <v>603.91066522581139</v>
      </c>
      <c r="BO196" s="542">
        <f t="shared" si="296"/>
        <v>0.77400000000000002</v>
      </c>
      <c r="BR196" s="469">
        <f t="shared" si="297"/>
        <v>774</v>
      </c>
      <c r="BS196" s="542">
        <f t="shared" si="298"/>
        <v>0</v>
      </c>
      <c r="BT196" s="542">
        <f t="shared" si="299"/>
        <v>0</v>
      </c>
      <c r="BU196" s="542">
        <f t="shared" si="300"/>
        <v>0</v>
      </c>
      <c r="BV196" s="542">
        <f t="shared" si="301"/>
        <v>0</v>
      </c>
      <c r="BW196" s="469">
        <f t="shared" si="302"/>
        <v>0</v>
      </c>
      <c r="BX196" s="177">
        <f t="shared" si="303"/>
        <v>1.3779106652258113</v>
      </c>
      <c r="BY196" s="5">
        <f t="shared" si="304"/>
        <v>12.9</v>
      </c>
      <c r="BZ196" s="177">
        <f t="shared" si="305"/>
        <v>0.90349353644705566</v>
      </c>
      <c r="CA196" s="5">
        <f t="shared" si="306"/>
        <v>90.349353644705559</v>
      </c>
      <c r="CD196" s="576">
        <f t="shared" si="338"/>
        <v>-50</v>
      </c>
      <c r="CE196">
        <f t="shared" si="339"/>
        <v>-50</v>
      </c>
    </row>
    <row r="197" spans="5:83" x14ac:dyDescent="0.25">
      <c r="E197" s="174">
        <v>87</v>
      </c>
      <c r="F197" s="221">
        <f t="shared" si="340"/>
        <v>0.87</v>
      </c>
      <c r="G197" s="221"/>
      <c r="H197" s="221">
        <f t="shared" si="307"/>
        <v>13.05</v>
      </c>
      <c r="I197" s="555">
        <f t="shared" si="308"/>
        <v>12</v>
      </c>
      <c r="J197" s="451">
        <f t="shared" si="309"/>
        <v>23.85</v>
      </c>
      <c r="K197" s="451">
        <f t="shared" si="310"/>
        <v>35.85</v>
      </c>
      <c r="L197" s="451"/>
      <c r="M197" s="221">
        <f t="shared" si="311"/>
        <v>0.66527196652719667</v>
      </c>
      <c r="N197" s="176">
        <f t="shared" si="312"/>
        <v>15.547405857740586</v>
      </c>
      <c r="O197" s="176">
        <f t="shared" si="248"/>
        <v>13.05</v>
      </c>
      <c r="P197" s="221">
        <f t="shared" si="313"/>
        <v>1.0364937238493723</v>
      </c>
      <c r="Q197" s="221">
        <f t="shared" si="314"/>
        <v>15</v>
      </c>
      <c r="R197" s="221"/>
      <c r="S197" s="176">
        <f t="shared" si="315"/>
        <v>19.219923213937648</v>
      </c>
      <c r="T197" s="550">
        <f t="shared" si="316"/>
        <v>15</v>
      </c>
      <c r="U197" s="221">
        <f t="shared" si="317"/>
        <v>3.4414101290963264</v>
      </c>
      <c r="V197" s="221">
        <f t="shared" si="318"/>
        <v>2.0074892419728569</v>
      </c>
      <c r="W197" s="221">
        <f t="shared" si="319"/>
        <v>1.0100574802379154</v>
      </c>
      <c r="X197" s="201">
        <f t="shared" si="320"/>
        <v>350</v>
      </c>
      <c r="Y197" s="451">
        <f t="shared" si="286"/>
        <v>331.39503446275091</v>
      </c>
      <c r="AA197" s="221">
        <f t="shared" si="321"/>
        <v>3.2584749380923919</v>
      </c>
      <c r="AB197" s="177">
        <f t="shared" si="322"/>
        <v>0.95636580992229525</v>
      </c>
      <c r="AC197" s="177">
        <f t="shared" si="323"/>
        <v>0.81802718111106087</v>
      </c>
      <c r="AD197" s="177"/>
      <c r="AE197" s="177">
        <f t="shared" si="324"/>
        <v>0.24067085953878403</v>
      </c>
      <c r="AF197" s="559">
        <f t="shared" si="325"/>
        <v>5877.8788136313424</v>
      </c>
      <c r="AG197" s="542">
        <f t="shared" si="326"/>
        <v>5.1804402515723262E-2</v>
      </c>
      <c r="AI197" s="177">
        <f t="shared" si="327"/>
        <v>3.3603935629564563</v>
      </c>
      <c r="AJ197" s="177">
        <f t="shared" si="328"/>
        <v>3.4414101290963264</v>
      </c>
      <c r="AK197" s="177">
        <f t="shared" si="329"/>
        <v>3.1417852808120941</v>
      </c>
      <c r="AM197" s="559">
        <f t="shared" si="330"/>
        <v>870</v>
      </c>
      <c r="AN197" s="469">
        <f t="shared" si="331"/>
        <v>331.39503446275091</v>
      </c>
      <c r="AP197">
        <f t="shared" si="332"/>
        <v>870</v>
      </c>
      <c r="AQ197">
        <f t="shared" si="333"/>
        <v>331.39503446275091</v>
      </c>
      <c r="AS197" s="5">
        <f t="shared" si="249"/>
        <v>3.0175467222107724</v>
      </c>
      <c r="AT197" s="5">
        <f t="shared" si="334"/>
        <v>2.0074892419728569</v>
      </c>
      <c r="AU197" s="5">
        <f t="shared" si="287"/>
        <v>1.0100574802379154</v>
      </c>
      <c r="AV197" s="5"/>
      <c r="AW197" s="177">
        <f t="shared" si="288"/>
        <v>0.66527196652719667</v>
      </c>
      <c r="AX197" s="177">
        <f t="shared" ref="AX197:AX210" si="341">0.5*L*AJ197^2*AN197*1000</f>
        <v>13.736842105263159</v>
      </c>
      <c r="AY197" s="177">
        <f t="shared" ref="AY197:AY210" si="342">AJ197*Nps/2*(1-AW197)</f>
        <v>0.86395233366434976</v>
      </c>
      <c r="AZ197" s="177">
        <f t="shared" si="250"/>
        <v>15.899999999999999</v>
      </c>
      <c r="BA197" s="469">
        <f t="shared" si="335"/>
        <v>18.128571784263034</v>
      </c>
      <c r="BB197" s="469">
        <f t="shared" si="336"/>
        <v>46.763614962121217</v>
      </c>
      <c r="BC197" s="5">
        <f t="shared" si="289"/>
        <v>1.5416666803631343</v>
      </c>
      <c r="BD197" s="469">
        <f t="shared" si="337"/>
        <v>119.05921155355087</v>
      </c>
      <c r="BF197" s="177">
        <f t="shared" si="251"/>
        <v>1.6205984416403705</v>
      </c>
      <c r="BG197" s="177">
        <f t="shared" ref="BG197:BG210" si="343">AJ197*Nps*SQRT((1-AW197)/3)</f>
        <v>1.7243011083128439</v>
      </c>
      <c r="BI197" s="542">
        <f t="shared" si="290"/>
        <v>0.28889732399519169</v>
      </c>
      <c r="BJ197" s="542">
        <f t="shared" si="291"/>
        <v>0.20442857142857146</v>
      </c>
      <c r="BK197" s="542">
        <f t="shared" si="292"/>
        <v>1.6569751723137544E-2</v>
      </c>
      <c r="BL197" s="542">
        <f t="shared" si="293"/>
        <v>9.5831179802955663E-2</v>
      </c>
      <c r="BM197">
        <f t="shared" si="294"/>
        <v>3.48E-3</v>
      </c>
      <c r="BN197" s="469">
        <f t="shared" si="295"/>
        <v>609.20682694985635</v>
      </c>
      <c r="BO197" s="542">
        <f t="shared" si="296"/>
        <v>0.78300000000000003</v>
      </c>
      <c r="BR197" s="469">
        <f t="shared" si="297"/>
        <v>783</v>
      </c>
      <c r="BS197" s="542">
        <f t="shared" si="298"/>
        <v>0</v>
      </c>
      <c r="BT197" s="542">
        <f t="shared" si="299"/>
        <v>0</v>
      </c>
      <c r="BU197" s="542">
        <f t="shared" si="300"/>
        <v>0</v>
      </c>
      <c r="BV197" s="542">
        <f t="shared" si="301"/>
        <v>0</v>
      </c>
      <c r="BW197" s="469">
        <f t="shared" si="302"/>
        <v>0</v>
      </c>
      <c r="BX197" s="177">
        <f t="shared" si="303"/>
        <v>1.3922068269498564</v>
      </c>
      <c r="BY197" s="5">
        <f t="shared" si="304"/>
        <v>13.05</v>
      </c>
      <c r="BZ197" s="177">
        <f t="shared" si="305"/>
        <v>0.90360151716204962</v>
      </c>
      <c r="CA197" s="5">
        <f t="shared" si="306"/>
        <v>90.360151716204967</v>
      </c>
      <c r="CD197" s="576">
        <f t="shared" si="338"/>
        <v>-50</v>
      </c>
      <c r="CE197">
        <f t="shared" si="339"/>
        <v>-50</v>
      </c>
    </row>
    <row r="198" spans="5:83" x14ac:dyDescent="0.25">
      <c r="E198" s="174">
        <v>88</v>
      </c>
      <c r="F198" s="221">
        <f t="shared" si="340"/>
        <v>0.88</v>
      </c>
      <c r="G198" s="221"/>
      <c r="H198" s="221">
        <f t="shared" si="307"/>
        <v>13.2</v>
      </c>
      <c r="I198" s="555">
        <f t="shared" si="308"/>
        <v>12</v>
      </c>
      <c r="J198" s="451">
        <f t="shared" si="309"/>
        <v>23.85</v>
      </c>
      <c r="K198" s="451">
        <f t="shared" si="310"/>
        <v>35.85</v>
      </c>
      <c r="L198" s="451"/>
      <c r="M198" s="221">
        <f t="shared" si="311"/>
        <v>0.66527196652719667</v>
      </c>
      <c r="N198" s="176">
        <f t="shared" si="312"/>
        <v>15.547405857740586</v>
      </c>
      <c r="O198" s="176">
        <f t="shared" ref="O198:O262" si="344">T198*F198</f>
        <v>13.2</v>
      </c>
      <c r="P198" s="221">
        <f t="shared" si="313"/>
        <v>1.0364937238493723</v>
      </c>
      <c r="Q198" s="221">
        <f t="shared" si="314"/>
        <v>15</v>
      </c>
      <c r="R198" s="221"/>
      <c r="S198" s="176">
        <f t="shared" si="315"/>
        <v>18.920086029856485</v>
      </c>
      <c r="T198" s="550">
        <f t="shared" si="316"/>
        <v>15</v>
      </c>
      <c r="U198" s="221">
        <f t="shared" si="317"/>
        <v>3.4809665673618007</v>
      </c>
      <c r="V198" s="221">
        <f t="shared" si="318"/>
        <v>2.0305638309610505</v>
      </c>
      <c r="W198" s="221">
        <f t="shared" si="319"/>
        <v>1.0216673363326039</v>
      </c>
      <c r="X198" s="201">
        <f t="shared" si="320"/>
        <v>350</v>
      </c>
      <c r="Y198" s="451">
        <f t="shared" si="286"/>
        <v>327.62918179840148</v>
      </c>
      <c r="AA198" s="221">
        <f t="shared" si="321"/>
        <v>3.2584749380923919</v>
      </c>
      <c r="AB198" s="177">
        <f t="shared" si="322"/>
        <v>0.95636580992229525</v>
      </c>
      <c r="AC198" s="177">
        <f t="shared" si="323"/>
        <v>0.81802718111106087</v>
      </c>
      <c r="AD198" s="177"/>
      <c r="AE198" s="177">
        <f t="shared" si="324"/>
        <v>0.24067085953878403</v>
      </c>
      <c r="AF198" s="559">
        <f t="shared" si="325"/>
        <v>5945.440639075382</v>
      </c>
      <c r="AG198" s="542">
        <f t="shared" si="326"/>
        <v>5.1804402515723262E-2</v>
      </c>
      <c r="AI198" s="177">
        <f t="shared" si="327"/>
        <v>3.3796509903134275</v>
      </c>
      <c r="AJ198" s="177">
        <f t="shared" si="328"/>
        <v>3.4809665673618007</v>
      </c>
      <c r="AK198" s="177">
        <f t="shared" si="329"/>
        <v>3.1710863461939267</v>
      </c>
      <c r="AM198" s="559">
        <f t="shared" si="330"/>
        <v>880</v>
      </c>
      <c r="AN198" s="469">
        <f t="shared" si="331"/>
        <v>327.62918179840148</v>
      </c>
      <c r="AP198">
        <f t="shared" si="332"/>
        <v>880</v>
      </c>
      <c r="AQ198">
        <f t="shared" si="333"/>
        <v>327.62918179840148</v>
      </c>
      <c r="AS198" s="5">
        <f t="shared" ref="AS198:AS263" si="345">1/AN198*1000</f>
        <v>3.0522311672936548</v>
      </c>
      <c r="AT198" s="5">
        <f t="shared" si="334"/>
        <v>2.0305638309610505</v>
      </c>
      <c r="AU198" s="5">
        <f t="shared" si="287"/>
        <v>1.0216673363326043</v>
      </c>
      <c r="AV198" s="5"/>
      <c r="AW198" s="177">
        <f t="shared" si="288"/>
        <v>0.66527196652719656</v>
      </c>
      <c r="AX198" s="177">
        <f t="shared" si="341"/>
        <v>13.89473684210526</v>
      </c>
      <c r="AY198" s="177">
        <f t="shared" si="342"/>
        <v>0.87388282025819286</v>
      </c>
      <c r="AZ198" s="177">
        <f t="shared" ref="AZ198:AZ210" si="346">AX198/AY198</f>
        <v>15.899999999999993</v>
      </c>
      <c r="BA198" s="469">
        <f t="shared" si="335"/>
        <v>18.128571784263034</v>
      </c>
      <c r="BB198" s="469">
        <f t="shared" si="336"/>
        <v>47.814474074074091</v>
      </c>
      <c r="BC198" s="5">
        <f t="shared" si="289"/>
        <v>1.5773109753906873</v>
      </c>
      <c r="BD198" s="469">
        <f t="shared" si="337"/>
        <v>121.77200736482784</v>
      </c>
      <c r="BF198" s="177">
        <f t="shared" ref="BF198:BF210" si="347">AJ198*SQRT(AW198/3)</f>
        <v>1.6392260099350868</v>
      </c>
      <c r="BG198" s="177">
        <f t="shared" si="343"/>
        <v>1.7441206612819571</v>
      </c>
      <c r="BI198" s="542">
        <f t="shared" si="290"/>
        <v>0.2955768102812476</v>
      </c>
      <c r="BJ198" s="542">
        <f t="shared" si="291"/>
        <v>0.20442857142857143</v>
      </c>
      <c r="BK198" s="542">
        <f t="shared" si="292"/>
        <v>1.6381459089920072E-2</v>
      </c>
      <c r="BL198" s="542">
        <f t="shared" si="293"/>
        <v>9.4742189123376619E-2</v>
      </c>
      <c r="BM198">
        <f t="shared" si="294"/>
        <v>3.48E-3</v>
      </c>
      <c r="BN198" s="469">
        <f t="shared" si="295"/>
        <v>614.60902992311571</v>
      </c>
      <c r="BO198" s="542">
        <f t="shared" si="296"/>
        <v>0.79200000000000004</v>
      </c>
      <c r="BR198" s="469">
        <f t="shared" si="297"/>
        <v>792</v>
      </c>
      <c r="BS198" s="542">
        <f t="shared" si="298"/>
        <v>0</v>
      </c>
      <c r="BT198" s="542">
        <f t="shared" si="299"/>
        <v>0</v>
      </c>
      <c r="BU198" s="542">
        <f t="shared" si="300"/>
        <v>0</v>
      </c>
      <c r="BV198" s="542">
        <f t="shared" si="301"/>
        <v>0</v>
      </c>
      <c r="BW198" s="469">
        <f t="shared" si="302"/>
        <v>0</v>
      </c>
      <c r="BX198" s="177">
        <f t="shared" si="303"/>
        <v>1.4066090299231158</v>
      </c>
      <c r="BY198" s="5">
        <f t="shared" si="304"/>
        <v>13.2</v>
      </c>
      <c r="BZ198" s="177">
        <f t="shared" si="305"/>
        <v>0.90370050796584378</v>
      </c>
      <c r="CA198" s="5">
        <f t="shared" si="306"/>
        <v>90.37005079658438</v>
      </c>
      <c r="CD198" s="576">
        <f t="shared" si="338"/>
        <v>-50</v>
      </c>
      <c r="CE198">
        <f t="shared" si="339"/>
        <v>-50</v>
      </c>
    </row>
    <row r="199" spans="5:83" x14ac:dyDescent="0.25">
      <c r="E199" s="174">
        <v>89</v>
      </c>
      <c r="F199" s="221">
        <f t="shared" si="340"/>
        <v>0.89</v>
      </c>
      <c r="G199" s="221"/>
      <c r="H199" s="221">
        <f t="shared" si="307"/>
        <v>13.35</v>
      </c>
      <c r="I199" s="555">
        <f t="shared" si="308"/>
        <v>12</v>
      </c>
      <c r="J199" s="451">
        <f t="shared" si="309"/>
        <v>23.85</v>
      </c>
      <c r="K199" s="451">
        <f t="shared" si="310"/>
        <v>35.85</v>
      </c>
      <c r="L199" s="451"/>
      <c r="M199" s="221">
        <f t="shared" si="311"/>
        <v>0.66527196652719667</v>
      </c>
      <c r="N199" s="176">
        <f t="shared" si="312"/>
        <v>15.547405857740586</v>
      </c>
      <c r="O199" s="176">
        <f t="shared" si="344"/>
        <v>13.35</v>
      </c>
      <c r="P199" s="221">
        <f t="shared" si="313"/>
        <v>1.0364937238493723</v>
      </c>
      <c r="Q199" s="221">
        <f t="shared" si="314"/>
        <v>15</v>
      </c>
      <c r="R199" s="221"/>
      <c r="S199" s="176">
        <f t="shared" si="315"/>
        <v>18.627144471833482</v>
      </c>
      <c r="T199" s="550">
        <f t="shared" si="316"/>
        <v>15</v>
      </c>
      <c r="U199" s="221">
        <f t="shared" si="317"/>
        <v>3.5205230056272758</v>
      </c>
      <c r="V199" s="221">
        <f t="shared" si="318"/>
        <v>2.0536384199492441</v>
      </c>
      <c r="W199" s="221">
        <f t="shared" si="319"/>
        <v>1.0332771924272928</v>
      </c>
      <c r="X199" s="201">
        <f t="shared" si="320"/>
        <v>350</v>
      </c>
      <c r="Y199" s="451">
        <f t="shared" si="286"/>
        <v>323.94795503662169</v>
      </c>
      <c r="AA199" s="221">
        <f t="shared" si="321"/>
        <v>3.2584749380923919</v>
      </c>
      <c r="AB199" s="177">
        <f t="shared" si="322"/>
        <v>0.95636580992229525</v>
      </c>
      <c r="AC199" s="177">
        <f t="shared" si="323"/>
        <v>0.81802718111106087</v>
      </c>
      <c r="AD199" s="177"/>
      <c r="AE199" s="177">
        <f t="shared" si="324"/>
        <v>0.24067085953878403</v>
      </c>
      <c r="AF199" s="559">
        <f t="shared" si="325"/>
        <v>6013.0024645194198</v>
      </c>
      <c r="AG199" s="542">
        <f t="shared" si="326"/>
        <v>5.1804402515723262E-2</v>
      </c>
      <c r="AI199" s="177">
        <f t="shared" si="327"/>
        <v>3.398799307798841</v>
      </c>
      <c r="AJ199" s="177">
        <f t="shared" si="328"/>
        <v>3.5205230056272758</v>
      </c>
      <c r="AK199" s="177">
        <f t="shared" si="329"/>
        <v>3.2003874115757593</v>
      </c>
      <c r="AM199" s="559">
        <f t="shared" si="330"/>
        <v>890</v>
      </c>
      <c r="AN199" s="469">
        <f t="shared" si="331"/>
        <v>323.94795503662169</v>
      </c>
      <c r="AP199">
        <f t="shared" si="332"/>
        <v>890</v>
      </c>
      <c r="AQ199">
        <f t="shared" si="333"/>
        <v>323.94795503662169</v>
      </c>
      <c r="AS199" s="5">
        <f t="shared" si="345"/>
        <v>3.0869156123765369</v>
      </c>
      <c r="AT199" s="5">
        <f t="shared" si="334"/>
        <v>2.0536384199492441</v>
      </c>
      <c r="AU199" s="5">
        <f t="shared" si="287"/>
        <v>1.0332771924272928</v>
      </c>
      <c r="AV199" s="5"/>
      <c r="AW199" s="177">
        <f t="shared" si="288"/>
        <v>0.66527196652719667</v>
      </c>
      <c r="AX199" s="177">
        <f t="shared" si="341"/>
        <v>14.052631578947366</v>
      </c>
      <c r="AY199" s="177">
        <f t="shared" si="342"/>
        <v>0.88381330685203574</v>
      </c>
      <c r="AZ199" s="177">
        <f t="shared" si="346"/>
        <v>15.899999999999999</v>
      </c>
      <c r="BA199" s="469">
        <f t="shared" si="335"/>
        <v>18.128571784263034</v>
      </c>
      <c r="BB199" s="469">
        <f t="shared" si="336"/>
        <v>48.877000147306418</v>
      </c>
      <c r="BC199" s="5">
        <f t="shared" si="289"/>
        <v>1.6133626337899833</v>
      </c>
      <c r="BD199" s="469">
        <f t="shared" si="337"/>
        <v>124.51535542898563</v>
      </c>
      <c r="BF199" s="177">
        <f t="shared" si="347"/>
        <v>1.6578535782298038</v>
      </c>
      <c r="BG199" s="177">
        <f t="shared" si="343"/>
        <v>1.7639402142510701</v>
      </c>
      <c r="BI199" s="542">
        <f t="shared" si="290"/>
        <v>0.3023326335534301</v>
      </c>
      <c r="BJ199" s="542">
        <f t="shared" si="291"/>
        <v>0.20442857142857143</v>
      </c>
      <c r="BK199" s="542">
        <f t="shared" si="292"/>
        <v>1.6197397751831082E-2</v>
      </c>
      <c r="BL199" s="542">
        <f t="shared" si="293"/>
        <v>9.367767014446228E-2</v>
      </c>
      <c r="BM199">
        <f t="shared" si="294"/>
        <v>3.48E-3</v>
      </c>
      <c r="BN199" s="469">
        <f t="shared" si="295"/>
        <v>620.11627287829481</v>
      </c>
      <c r="BO199" s="542">
        <f t="shared" si="296"/>
        <v>0.80100000000000005</v>
      </c>
      <c r="BR199" s="469">
        <f t="shared" si="297"/>
        <v>801</v>
      </c>
      <c r="BS199" s="542">
        <f t="shared" si="298"/>
        <v>0</v>
      </c>
      <c r="BT199" s="542">
        <f t="shared" si="299"/>
        <v>0</v>
      </c>
      <c r="BU199" s="542">
        <f t="shared" si="300"/>
        <v>0</v>
      </c>
      <c r="BV199" s="542">
        <f t="shared" si="301"/>
        <v>0</v>
      </c>
      <c r="BW199" s="469">
        <f t="shared" si="302"/>
        <v>0</v>
      </c>
      <c r="BX199" s="177">
        <f t="shared" si="303"/>
        <v>1.4211162728782949</v>
      </c>
      <c r="BY199" s="5">
        <f t="shared" si="304"/>
        <v>13.35</v>
      </c>
      <c r="BZ199" s="177">
        <f t="shared" si="305"/>
        <v>0.90379086816291254</v>
      </c>
      <c r="CA199" s="5">
        <f t="shared" si="306"/>
        <v>90.379086816291249</v>
      </c>
      <c r="CD199" s="576">
        <f t="shared" si="338"/>
        <v>-50</v>
      </c>
      <c r="CE199">
        <f t="shared" si="339"/>
        <v>-50</v>
      </c>
    </row>
    <row r="200" spans="5:83" x14ac:dyDescent="0.25">
      <c r="E200" s="174">
        <v>90</v>
      </c>
      <c r="F200" s="221">
        <f t="shared" si="340"/>
        <v>0.9</v>
      </c>
      <c r="G200" s="221"/>
      <c r="H200" s="221">
        <f t="shared" si="307"/>
        <v>13.5</v>
      </c>
      <c r="I200" s="555">
        <f t="shared" si="308"/>
        <v>12</v>
      </c>
      <c r="J200" s="451">
        <f t="shared" si="309"/>
        <v>23.85</v>
      </c>
      <c r="K200" s="451">
        <f t="shared" si="310"/>
        <v>35.85</v>
      </c>
      <c r="L200" s="451"/>
      <c r="M200" s="221">
        <f t="shared" si="311"/>
        <v>0.66527196652719667</v>
      </c>
      <c r="N200" s="176">
        <f t="shared" si="312"/>
        <v>15.547405857740586</v>
      </c>
      <c r="O200" s="176">
        <f t="shared" si="344"/>
        <v>13.5</v>
      </c>
      <c r="P200" s="221">
        <f t="shared" si="313"/>
        <v>1.0364937238493723</v>
      </c>
      <c r="Q200" s="221">
        <f t="shared" si="314"/>
        <v>15</v>
      </c>
      <c r="R200" s="221"/>
      <c r="S200" s="176">
        <f t="shared" si="315"/>
        <v>18.340870117754676</v>
      </c>
      <c r="T200" s="550">
        <f t="shared" si="316"/>
        <v>15</v>
      </c>
      <c r="U200" s="221">
        <f t="shared" si="317"/>
        <v>3.560079443892751</v>
      </c>
      <c r="V200" s="221">
        <f t="shared" si="318"/>
        <v>2.0767130089374382</v>
      </c>
      <c r="W200" s="221">
        <f t="shared" si="319"/>
        <v>1.0448870485219814</v>
      </c>
      <c r="X200" s="201">
        <f t="shared" si="320"/>
        <v>350</v>
      </c>
      <c r="Y200" s="451">
        <f t="shared" si="286"/>
        <v>320.34853331399262</v>
      </c>
      <c r="AA200" s="221">
        <f t="shared" si="321"/>
        <v>3.2584749380923919</v>
      </c>
      <c r="AB200" s="177">
        <f t="shared" si="322"/>
        <v>0.95636580992229525</v>
      </c>
      <c r="AC200" s="177">
        <f t="shared" si="323"/>
        <v>0.81802718111106087</v>
      </c>
      <c r="AD200" s="177"/>
      <c r="AE200" s="177">
        <f t="shared" si="324"/>
        <v>0.24067085953878403</v>
      </c>
      <c r="AF200" s="559">
        <f t="shared" si="325"/>
        <v>6080.5642899634586</v>
      </c>
      <c r="AG200" s="542">
        <f t="shared" si="326"/>
        <v>5.1804402515723262E-2</v>
      </c>
      <c r="AI200" s="177">
        <f t="shared" si="327"/>
        <v>3.4178403492646092</v>
      </c>
      <c r="AJ200" s="177">
        <f t="shared" si="328"/>
        <v>3.560079443892751</v>
      </c>
      <c r="AK200" s="177">
        <f t="shared" si="329"/>
        <v>3.2296884769575929</v>
      </c>
      <c r="AM200" s="559">
        <f t="shared" si="330"/>
        <v>900</v>
      </c>
      <c r="AN200" s="469">
        <f t="shared" si="331"/>
        <v>320.34853331399262</v>
      </c>
      <c r="AP200">
        <f t="shared" si="332"/>
        <v>900</v>
      </c>
      <c r="AQ200">
        <f t="shared" si="333"/>
        <v>320.34853331399262</v>
      </c>
      <c r="AS200" s="5">
        <f t="shared" si="345"/>
        <v>3.1216000574594189</v>
      </c>
      <c r="AT200" s="5">
        <f t="shared" si="334"/>
        <v>2.0767130089374382</v>
      </c>
      <c r="AU200" s="5">
        <f t="shared" si="287"/>
        <v>1.0448870485219808</v>
      </c>
      <c r="AV200" s="5"/>
      <c r="AW200" s="177">
        <f t="shared" si="288"/>
        <v>0.66527196652719678</v>
      </c>
      <c r="AX200" s="177">
        <f t="shared" si="341"/>
        <v>14.210526315789476</v>
      </c>
      <c r="AY200" s="177">
        <f t="shared" si="342"/>
        <v>0.89374379344587862</v>
      </c>
      <c r="AZ200" s="177">
        <f t="shared" si="346"/>
        <v>15.900000000000007</v>
      </c>
      <c r="BA200" s="469">
        <f t="shared" si="335"/>
        <v>18.128571784263034</v>
      </c>
      <c r="BB200" s="469">
        <f t="shared" si="336"/>
        <v>49.951193181818198</v>
      </c>
      <c r="BC200" s="5">
        <f t="shared" si="289"/>
        <v>1.6498216555610226</v>
      </c>
      <c r="BD200" s="469">
        <f t="shared" si="337"/>
        <v>127.28925574602407</v>
      </c>
      <c r="BF200" s="177">
        <f t="shared" si="347"/>
        <v>1.6764811465245211</v>
      </c>
      <c r="BG200" s="177">
        <f t="shared" si="343"/>
        <v>1.783759767220183</v>
      </c>
      <c r="BI200" s="542">
        <f t="shared" si="290"/>
        <v>0.30916479381173895</v>
      </c>
      <c r="BJ200" s="542">
        <f t="shared" si="291"/>
        <v>0.20442857142857146</v>
      </c>
      <c r="BK200" s="542">
        <f t="shared" si="292"/>
        <v>1.6017426665699629E-2</v>
      </c>
      <c r="BL200" s="542">
        <f t="shared" si="293"/>
        <v>9.2636807142857158E-2</v>
      </c>
      <c r="BM200">
        <f t="shared" si="294"/>
        <v>3.48E-3</v>
      </c>
      <c r="BN200" s="469">
        <f t="shared" si="295"/>
        <v>625.72759904886721</v>
      </c>
      <c r="BO200" s="542">
        <f t="shared" si="296"/>
        <v>0.81</v>
      </c>
      <c r="BR200" s="469">
        <f t="shared" si="297"/>
        <v>810</v>
      </c>
      <c r="BS200" s="542">
        <f t="shared" si="298"/>
        <v>0</v>
      </c>
      <c r="BT200" s="542">
        <f t="shared" si="299"/>
        <v>0</v>
      </c>
      <c r="BU200" s="542">
        <f t="shared" si="300"/>
        <v>0</v>
      </c>
      <c r="BV200" s="542">
        <f t="shared" si="301"/>
        <v>0</v>
      </c>
      <c r="BW200" s="469">
        <f t="shared" si="302"/>
        <v>0</v>
      </c>
      <c r="BX200" s="177">
        <f t="shared" si="303"/>
        <v>1.4357275990488674</v>
      </c>
      <c r="BY200" s="5">
        <f t="shared" si="304"/>
        <v>13.5</v>
      </c>
      <c r="BZ200" s="177">
        <f t="shared" si="305"/>
        <v>0.90387293892931619</v>
      </c>
      <c r="CA200" s="5">
        <f t="shared" si="306"/>
        <v>90.387293892931623</v>
      </c>
      <c r="CD200" s="576">
        <f t="shared" si="338"/>
        <v>-50</v>
      </c>
      <c r="CE200">
        <f t="shared" si="339"/>
        <v>-50</v>
      </c>
    </row>
    <row r="201" spans="5:83" x14ac:dyDescent="0.25">
      <c r="E201" s="174">
        <v>91</v>
      </c>
      <c r="F201" s="221">
        <f t="shared" si="340"/>
        <v>0.91</v>
      </c>
      <c r="G201" s="221"/>
      <c r="H201" s="221">
        <f t="shared" si="307"/>
        <v>13.65</v>
      </c>
      <c r="I201" s="555">
        <f t="shared" si="308"/>
        <v>12</v>
      </c>
      <c r="J201" s="451">
        <f t="shared" si="309"/>
        <v>23.85</v>
      </c>
      <c r="K201" s="451">
        <f t="shared" si="310"/>
        <v>35.85</v>
      </c>
      <c r="L201" s="451"/>
      <c r="M201" s="221">
        <f t="shared" si="311"/>
        <v>0.66527196652719667</v>
      </c>
      <c r="N201" s="176">
        <f t="shared" si="312"/>
        <v>15.547405857740586</v>
      </c>
      <c r="O201" s="176">
        <f t="shared" si="344"/>
        <v>13.65</v>
      </c>
      <c r="P201" s="221">
        <f t="shared" si="313"/>
        <v>1.0364937238493723</v>
      </c>
      <c r="Q201" s="221">
        <f t="shared" si="314"/>
        <v>15</v>
      </c>
      <c r="R201" s="221"/>
      <c r="S201" s="176">
        <f t="shared" si="315"/>
        <v>18.061044595869213</v>
      </c>
      <c r="T201" s="550">
        <f t="shared" si="316"/>
        <v>15</v>
      </c>
      <c r="U201" s="221">
        <f t="shared" si="317"/>
        <v>3.5996358821582262</v>
      </c>
      <c r="V201" s="221">
        <f t="shared" si="318"/>
        <v>2.0997875979256317</v>
      </c>
      <c r="W201" s="221">
        <f t="shared" si="319"/>
        <v>1.0564969046166701</v>
      </c>
      <c r="X201" s="201">
        <f t="shared" si="320"/>
        <v>350</v>
      </c>
      <c r="Y201" s="451">
        <f t="shared" si="286"/>
        <v>316.82821976109153</v>
      </c>
      <c r="AA201" s="221">
        <f t="shared" si="321"/>
        <v>3.2584749380923919</v>
      </c>
      <c r="AB201" s="177">
        <f t="shared" si="322"/>
        <v>0.95636580992229525</v>
      </c>
      <c r="AC201" s="177">
        <f t="shared" si="323"/>
        <v>0.81802718111106087</v>
      </c>
      <c r="AD201" s="177"/>
      <c r="AE201" s="177">
        <f t="shared" si="324"/>
        <v>0.24067085953878403</v>
      </c>
      <c r="AF201" s="559">
        <f t="shared" si="325"/>
        <v>6148.1261154074964</v>
      </c>
      <c r="AG201" s="542">
        <f t="shared" si="326"/>
        <v>5.1804402515723262E-2</v>
      </c>
      <c r="AI201" s="177">
        <f t="shared" si="327"/>
        <v>3.4367758977606577</v>
      </c>
      <c r="AJ201" s="177">
        <f t="shared" si="328"/>
        <v>3.5996358821582262</v>
      </c>
      <c r="AK201" s="177">
        <f t="shared" si="329"/>
        <v>3.2589895423394264</v>
      </c>
      <c r="AM201" s="559">
        <f t="shared" si="330"/>
        <v>910</v>
      </c>
      <c r="AN201" s="469">
        <f t="shared" si="331"/>
        <v>316.82821976109153</v>
      </c>
      <c r="AP201">
        <f t="shared" si="332"/>
        <v>910</v>
      </c>
      <c r="AQ201">
        <f t="shared" si="333"/>
        <v>316.82821976109153</v>
      </c>
      <c r="AS201" s="5">
        <f t="shared" si="345"/>
        <v>3.1562845025423023</v>
      </c>
      <c r="AT201" s="5">
        <f t="shared" si="334"/>
        <v>2.0997875979256317</v>
      </c>
      <c r="AU201" s="5">
        <f t="shared" si="287"/>
        <v>1.0564969046166706</v>
      </c>
      <c r="AV201" s="5"/>
      <c r="AW201" s="177">
        <f t="shared" si="288"/>
        <v>0.66527196652719656</v>
      </c>
      <c r="AX201" s="177">
        <f t="shared" si="341"/>
        <v>14.368421052631581</v>
      </c>
      <c r="AY201" s="177">
        <f t="shared" si="342"/>
        <v>0.90367428003972228</v>
      </c>
      <c r="AZ201" s="177">
        <f t="shared" si="346"/>
        <v>15.899999999999997</v>
      </c>
      <c r="BA201" s="469">
        <f t="shared" si="335"/>
        <v>18.128571784263034</v>
      </c>
      <c r="BB201" s="469">
        <f t="shared" si="336"/>
        <v>51.03705317760943</v>
      </c>
      <c r="BC201" s="5">
        <f t="shared" si="289"/>
        <v>1.6866880407038074</v>
      </c>
      <c r="BD201" s="469">
        <f t="shared" si="337"/>
        <v>130.09370831594345</v>
      </c>
      <c r="BF201" s="177">
        <f t="shared" si="347"/>
        <v>1.6951087148192376</v>
      </c>
      <c r="BG201" s="177">
        <f t="shared" si="343"/>
        <v>1.8035793201892967</v>
      </c>
      <c r="BI201" s="542">
        <f t="shared" si="290"/>
        <v>0.31607329105617399</v>
      </c>
      <c r="BJ201" s="542">
        <f t="shared" si="291"/>
        <v>0.20442857142857143</v>
      </c>
      <c r="BK201" s="542">
        <f t="shared" si="292"/>
        <v>1.5841410988054576E-2</v>
      </c>
      <c r="BL201" s="542">
        <f t="shared" si="293"/>
        <v>9.1618820251177388E-2</v>
      </c>
      <c r="BM201">
        <f t="shared" si="294"/>
        <v>3.48E-3</v>
      </c>
      <c r="BN201" s="469">
        <f t="shared" si="295"/>
        <v>631.44209372397745</v>
      </c>
      <c r="BO201" s="542">
        <f t="shared" si="296"/>
        <v>0.81900000000000006</v>
      </c>
      <c r="BR201" s="469">
        <f t="shared" si="297"/>
        <v>819.00000000000011</v>
      </c>
      <c r="BS201" s="542">
        <f t="shared" si="298"/>
        <v>0</v>
      </c>
      <c r="BT201" s="542">
        <f t="shared" si="299"/>
        <v>0</v>
      </c>
      <c r="BU201" s="542">
        <f t="shared" si="300"/>
        <v>0</v>
      </c>
      <c r="BV201" s="542">
        <f t="shared" si="301"/>
        <v>0</v>
      </c>
      <c r="BW201" s="469">
        <f t="shared" si="302"/>
        <v>0</v>
      </c>
      <c r="BX201" s="177">
        <f t="shared" si="303"/>
        <v>1.4504420937239775</v>
      </c>
      <c r="BY201" s="5">
        <f t="shared" si="304"/>
        <v>13.65</v>
      </c>
      <c r="BZ201" s="177">
        <f t="shared" si="305"/>
        <v>0.90394704441621565</v>
      </c>
      <c r="CA201" s="5">
        <f t="shared" si="306"/>
        <v>90.39470444162157</v>
      </c>
      <c r="CD201" s="576">
        <f t="shared" si="338"/>
        <v>-50</v>
      </c>
      <c r="CE201">
        <f t="shared" si="339"/>
        <v>-50</v>
      </c>
    </row>
    <row r="202" spans="5:83" x14ac:dyDescent="0.25">
      <c r="E202" s="174">
        <v>92</v>
      </c>
      <c r="F202" s="221">
        <f t="shared" si="340"/>
        <v>0.92</v>
      </c>
      <c r="G202" s="221"/>
      <c r="H202" s="221">
        <f t="shared" si="307"/>
        <v>13.8</v>
      </c>
      <c r="I202" s="555">
        <f t="shared" si="308"/>
        <v>12</v>
      </c>
      <c r="J202" s="451">
        <f t="shared" si="309"/>
        <v>23.85</v>
      </c>
      <c r="K202" s="451">
        <f t="shared" si="310"/>
        <v>35.85</v>
      </c>
      <c r="L202" s="451"/>
      <c r="M202" s="221">
        <f t="shared" si="311"/>
        <v>0.66527196652719667</v>
      </c>
      <c r="N202" s="176">
        <f t="shared" si="312"/>
        <v>15.547405857740586</v>
      </c>
      <c r="O202" s="176">
        <f t="shared" si="344"/>
        <v>13.8</v>
      </c>
      <c r="P202" s="221">
        <f t="shared" si="313"/>
        <v>1.0364937238493723</v>
      </c>
      <c r="Q202" s="221">
        <f t="shared" si="314"/>
        <v>15</v>
      </c>
      <c r="R202" s="221"/>
      <c r="S202" s="176">
        <f t="shared" si="315"/>
        <v>17.787459038494124</v>
      </c>
      <c r="T202" s="550">
        <f t="shared" si="316"/>
        <v>15</v>
      </c>
      <c r="U202" s="221">
        <f t="shared" si="317"/>
        <v>3.6391923204237013</v>
      </c>
      <c r="V202" s="221">
        <f t="shared" si="318"/>
        <v>2.1228621869138258</v>
      </c>
      <c r="W202" s="221">
        <f t="shared" si="319"/>
        <v>1.0681067607113588</v>
      </c>
      <c r="X202" s="201">
        <f t="shared" si="320"/>
        <v>350</v>
      </c>
      <c r="Y202" s="451">
        <f t="shared" si="286"/>
        <v>313.38443476368838</v>
      </c>
      <c r="AA202" s="221">
        <f t="shared" si="321"/>
        <v>3.2584749380923919</v>
      </c>
      <c r="AB202" s="177">
        <f t="shared" si="322"/>
        <v>0.95636580992229525</v>
      </c>
      <c r="AC202" s="177">
        <f t="shared" si="323"/>
        <v>0.81802718111106087</v>
      </c>
      <c r="AD202" s="177"/>
      <c r="AE202" s="177">
        <f t="shared" si="324"/>
        <v>0.24067085953878403</v>
      </c>
      <c r="AF202" s="559">
        <f t="shared" si="325"/>
        <v>6215.687940851536</v>
      </c>
      <c r="AG202" s="542">
        <f t="shared" si="326"/>
        <v>5.1804402515723262E-2</v>
      </c>
      <c r="AI202" s="177">
        <f t="shared" si="327"/>
        <v>3.4556076874836243</v>
      </c>
      <c r="AJ202" s="177">
        <f t="shared" si="328"/>
        <v>3.6391923204237013</v>
      </c>
      <c r="AK202" s="177">
        <f t="shared" si="329"/>
        <v>3.2882906077212599</v>
      </c>
      <c r="AM202" s="559">
        <f t="shared" si="330"/>
        <v>920</v>
      </c>
      <c r="AN202" s="469">
        <f t="shared" si="331"/>
        <v>313.38443476368838</v>
      </c>
      <c r="AP202">
        <f t="shared" si="332"/>
        <v>920</v>
      </c>
      <c r="AQ202">
        <f t="shared" si="333"/>
        <v>313.38443476368838</v>
      </c>
      <c r="AS202" s="5">
        <f t="shared" si="345"/>
        <v>3.1909689476251848</v>
      </c>
      <c r="AT202" s="5">
        <f t="shared" si="334"/>
        <v>2.1228621869138258</v>
      </c>
      <c r="AU202" s="5">
        <f t="shared" si="287"/>
        <v>1.068106760711359</v>
      </c>
      <c r="AV202" s="5"/>
      <c r="AW202" s="177">
        <f t="shared" si="288"/>
        <v>0.66527196652719667</v>
      </c>
      <c r="AX202" s="177">
        <f t="shared" si="341"/>
        <v>14.526315789473687</v>
      </c>
      <c r="AY202" s="177">
        <f t="shared" si="342"/>
        <v>0.91360476663356516</v>
      </c>
      <c r="AZ202" s="177">
        <f t="shared" si="346"/>
        <v>15.9</v>
      </c>
      <c r="BA202" s="469">
        <f t="shared" si="335"/>
        <v>18.128571784263034</v>
      </c>
      <c r="BB202" s="469">
        <f t="shared" si="336"/>
        <v>52.134580134680149</v>
      </c>
      <c r="BC202" s="5">
        <f t="shared" si="289"/>
        <v>1.7239617892183337</v>
      </c>
      <c r="BD202" s="469">
        <f t="shared" si="337"/>
        <v>132.92871313874349</v>
      </c>
      <c r="BF202" s="177">
        <f t="shared" si="347"/>
        <v>1.7137362831139549</v>
      </c>
      <c r="BG202" s="177">
        <f t="shared" si="343"/>
        <v>1.8233988731584096</v>
      </c>
      <c r="BI202" s="542">
        <f t="shared" si="290"/>
        <v>0.32305812528673566</v>
      </c>
      <c r="BJ202" s="542">
        <f t="shared" si="291"/>
        <v>0.20442857142857146</v>
      </c>
      <c r="BK202" s="542">
        <f t="shared" si="292"/>
        <v>1.566922173818442E-2</v>
      </c>
      <c r="BL202" s="542">
        <f t="shared" si="293"/>
        <v>9.062296350931677E-2</v>
      </c>
      <c r="BM202">
        <f t="shared" si="294"/>
        <v>3.48E-3</v>
      </c>
      <c r="BN202" s="469">
        <f t="shared" si="295"/>
        <v>637.25888196280835</v>
      </c>
      <c r="BO202" s="542">
        <f t="shared" si="296"/>
        <v>0.82800000000000007</v>
      </c>
      <c r="BR202" s="469">
        <f t="shared" si="297"/>
        <v>828.00000000000011</v>
      </c>
      <c r="BS202" s="542">
        <f t="shared" si="298"/>
        <v>0</v>
      </c>
      <c r="BT202" s="542">
        <f t="shared" si="299"/>
        <v>0</v>
      </c>
      <c r="BU202" s="542">
        <f t="shared" si="300"/>
        <v>0</v>
      </c>
      <c r="BV202" s="542">
        <f t="shared" si="301"/>
        <v>0</v>
      </c>
      <c r="BW202" s="469">
        <f t="shared" si="302"/>
        <v>0</v>
      </c>
      <c r="BX202" s="177">
        <f t="shared" si="303"/>
        <v>1.4652588819628085</v>
      </c>
      <c r="BY202" s="5">
        <f t="shared" si="304"/>
        <v>13.8</v>
      </c>
      <c r="BZ202" s="177">
        <f t="shared" si="305"/>
        <v>0.90401349277514476</v>
      </c>
      <c r="CA202" s="5">
        <f t="shared" si="306"/>
        <v>90.40134927751447</v>
      </c>
      <c r="CD202" s="576">
        <f t="shared" si="338"/>
        <v>-50</v>
      </c>
      <c r="CE202">
        <f t="shared" si="339"/>
        <v>-50</v>
      </c>
    </row>
    <row r="203" spans="5:83" x14ac:dyDescent="0.25">
      <c r="E203" s="174">
        <v>93</v>
      </c>
      <c r="F203" s="221">
        <f t="shared" si="340"/>
        <v>0.93</v>
      </c>
      <c r="G203" s="221"/>
      <c r="H203" s="221">
        <f t="shared" si="307"/>
        <v>13.950000000000001</v>
      </c>
      <c r="I203" s="555">
        <f t="shared" si="308"/>
        <v>12</v>
      </c>
      <c r="J203" s="451">
        <f t="shared" si="309"/>
        <v>23.85</v>
      </c>
      <c r="K203" s="451">
        <f t="shared" si="310"/>
        <v>35.85</v>
      </c>
      <c r="L203" s="451"/>
      <c r="M203" s="221">
        <f t="shared" si="311"/>
        <v>0.66527196652719667</v>
      </c>
      <c r="N203" s="176">
        <f t="shared" si="312"/>
        <v>15.547405857740586</v>
      </c>
      <c r="O203" s="176">
        <f t="shared" si="344"/>
        <v>13.950000000000001</v>
      </c>
      <c r="P203" s="221">
        <f t="shared" si="313"/>
        <v>1.0364937238493723</v>
      </c>
      <c r="Q203" s="221">
        <f t="shared" si="314"/>
        <v>15</v>
      </c>
      <c r="R203" s="221"/>
      <c r="S203" s="176">
        <f t="shared" si="315"/>
        <v>17.519913570957968</v>
      </c>
      <c r="T203" s="550">
        <f t="shared" si="316"/>
        <v>15</v>
      </c>
      <c r="U203" s="221">
        <f t="shared" si="317"/>
        <v>3.6787487586891765</v>
      </c>
      <c r="V203" s="221">
        <f t="shared" si="318"/>
        <v>2.1459367759020194</v>
      </c>
      <c r="W203" s="221">
        <f t="shared" si="319"/>
        <v>1.0797166168060475</v>
      </c>
      <c r="X203" s="201">
        <f t="shared" si="320"/>
        <v>350</v>
      </c>
      <c r="Y203" s="451">
        <f t="shared" si="286"/>
        <v>310.01470965870249</v>
      </c>
      <c r="AA203" s="221">
        <f t="shared" si="321"/>
        <v>3.2584749380923919</v>
      </c>
      <c r="AB203" s="177">
        <f t="shared" si="322"/>
        <v>0.95636580992229525</v>
      </c>
      <c r="AC203" s="177">
        <f t="shared" si="323"/>
        <v>0.81802718111106087</v>
      </c>
      <c r="AD203" s="177"/>
      <c r="AE203" s="177">
        <f t="shared" si="324"/>
        <v>0.24067085953878403</v>
      </c>
      <c r="AF203" s="559">
        <f t="shared" si="325"/>
        <v>6283.2497662955739</v>
      </c>
      <c r="AG203" s="542">
        <f t="shared" si="326"/>
        <v>5.1804402515723262E-2</v>
      </c>
      <c r="AI203" s="177">
        <f t="shared" si="327"/>
        <v>3.4743374056304992</v>
      </c>
      <c r="AJ203" s="177">
        <f t="shared" si="328"/>
        <v>3.6787487586891765</v>
      </c>
      <c r="AK203" s="177">
        <f t="shared" si="329"/>
        <v>3.3175916731030934</v>
      </c>
      <c r="AM203" s="559">
        <f t="shared" si="330"/>
        <v>930</v>
      </c>
      <c r="AN203" s="469">
        <f t="shared" si="331"/>
        <v>310.01470965870249</v>
      </c>
      <c r="AP203">
        <f t="shared" si="332"/>
        <v>930</v>
      </c>
      <c r="AQ203">
        <f t="shared" si="333"/>
        <v>310.01470965870249</v>
      </c>
      <c r="AS203" s="5">
        <f t="shared" si="345"/>
        <v>3.2256533927080668</v>
      </c>
      <c r="AT203" s="5">
        <f t="shared" si="334"/>
        <v>2.1459367759020194</v>
      </c>
      <c r="AU203" s="5">
        <f t="shared" si="287"/>
        <v>1.0797166168060475</v>
      </c>
      <c r="AV203" s="5"/>
      <c r="AW203" s="177">
        <f t="shared" si="288"/>
        <v>0.66527196652719667</v>
      </c>
      <c r="AX203" s="177">
        <f t="shared" si="341"/>
        <v>14.684210526315795</v>
      </c>
      <c r="AY203" s="177">
        <f t="shared" si="342"/>
        <v>0.92353525322740837</v>
      </c>
      <c r="AZ203" s="177">
        <f t="shared" si="346"/>
        <v>15.900000000000002</v>
      </c>
      <c r="BA203" s="469">
        <f t="shared" si="335"/>
        <v>18.128571784263034</v>
      </c>
      <c r="BB203" s="469">
        <f t="shared" si="336"/>
        <v>53.243774053030329</v>
      </c>
      <c r="BC203" s="5">
        <f t="shared" si="289"/>
        <v>1.7616429011046038</v>
      </c>
      <c r="BD203" s="469">
        <f t="shared" si="337"/>
        <v>135.79427021442422</v>
      </c>
      <c r="BF203" s="177">
        <f t="shared" si="347"/>
        <v>1.7323638514086719</v>
      </c>
      <c r="BG203" s="177">
        <f t="shared" si="343"/>
        <v>1.8432184261275228</v>
      </c>
      <c r="BI203" s="542">
        <f t="shared" si="290"/>
        <v>0.33011929650342353</v>
      </c>
      <c r="BJ203" s="542">
        <f t="shared" si="291"/>
        <v>0.20442857142857149</v>
      </c>
      <c r="BK203" s="542">
        <f t="shared" si="292"/>
        <v>1.5500735482935124E-2</v>
      </c>
      <c r="BL203" s="542">
        <f t="shared" si="293"/>
        <v>8.9648523041474651E-2</v>
      </c>
      <c r="BM203">
        <f t="shared" si="294"/>
        <v>3.48E-3</v>
      </c>
      <c r="BN203" s="469">
        <f t="shared" si="295"/>
        <v>643.17712645640484</v>
      </c>
      <c r="BO203" s="542">
        <f t="shared" si="296"/>
        <v>0.83700000000000008</v>
      </c>
      <c r="BR203" s="469">
        <f t="shared" si="297"/>
        <v>837.00000000000011</v>
      </c>
      <c r="BS203" s="542">
        <f t="shared" si="298"/>
        <v>0</v>
      </c>
      <c r="BT203" s="542">
        <f t="shared" si="299"/>
        <v>0</v>
      </c>
      <c r="BU203" s="542">
        <f t="shared" si="300"/>
        <v>0</v>
      </c>
      <c r="BV203" s="542">
        <f t="shared" si="301"/>
        <v>0</v>
      </c>
      <c r="BW203" s="469">
        <f t="shared" si="302"/>
        <v>0</v>
      </c>
      <c r="BX203" s="177">
        <f t="shared" si="303"/>
        <v>1.4801771264564048</v>
      </c>
      <c r="BY203" s="5">
        <f t="shared" si="304"/>
        <v>13.950000000000001</v>
      </c>
      <c r="BZ203" s="177">
        <f t="shared" si="305"/>
        <v>0.90407257711134692</v>
      </c>
      <c r="CA203" s="5">
        <f t="shared" si="306"/>
        <v>90.40725771113469</v>
      </c>
      <c r="CD203" s="576">
        <f t="shared" si="338"/>
        <v>-50</v>
      </c>
      <c r="CE203">
        <f t="shared" si="339"/>
        <v>-50</v>
      </c>
    </row>
    <row r="204" spans="5:83" x14ac:dyDescent="0.25">
      <c r="E204" s="174">
        <v>94</v>
      </c>
      <c r="F204" s="221">
        <f t="shared" si="340"/>
        <v>0.94</v>
      </c>
      <c r="G204" s="221"/>
      <c r="H204" s="221">
        <f t="shared" si="307"/>
        <v>14.1</v>
      </c>
      <c r="I204" s="555">
        <f t="shared" si="308"/>
        <v>12</v>
      </c>
      <c r="J204" s="451">
        <f t="shared" si="309"/>
        <v>23.85</v>
      </c>
      <c r="K204" s="451">
        <f t="shared" si="310"/>
        <v>35.85</v>
      </c>
      <c r="L204" s="451"/>
      <c r="M204" s="221">
        <f t="shared" si="311"/>
        <v>0.66527196652719667</v>
      </c>
      <c r="N204" s="176">
        <f t="shared" si="312"/>
        <v>15.547405857740586</v>
      </c>
      <c r="O204" s="176">
        <f t="shared" si="344"/>
        <v>14.1</v>
      </c>
      <c r="P204" s="221">
        <f t="shared" si="313"/>
        <v>1.0364937238493723</v>
      </c>
      <c r="Q204" s="221">
        <f t="shared" si="314"/>
        <v>15</v>
      </c>
      <c r="R204" s="221"/>
      <c r="S204" s="176">
        <f t="shared" si="315"/>
        <v>17.258216833159281</v>
      </c>
      <c r="T204" s="550">
        <f t="shared" si="316"/>
        <v>15</v>
      </c>
      <c r="U204" s="221">
        <f t="shared" si="317"/>
        <v>3.7183051969546512</v>
      </c>
      <c r="V204" s="221">
        <f t="shared" si="318"/>
        <v>2.1690113648902134</v>
      </c>
      <c r="W204" s="221">
        <f t="shared" si="319"/>
        <v>1.0913264729007361</v>
      </c>
      <c r="X204" s="201">
        <f t="shared" si="320"/>
        <v>350</v>
      </c>
      <c r="Y204" s="451">
        <f t="shared" si="286"/>
        <v>306.7166808325461</v>
      </c>
      <c r="AA204" s="221">
        <f t="shared" si="321"/>
        <v>3.2584749380923919</v>
      </c>
      <c r="AB204" s="177">
        <f t="shared" si="322"/>
        <v>0.95636580992229525</v>
      </c>
      <c r="AC204" s="177">
        <f t="shared" si="323"/>
        <v>0.81802718111106087</v>
      </c>
      <c r="AD204" s="177"/>
      <c r="AE204" s="177">
        <f t="shared" si="324"/>
        <v>0.24067085953878403</v>
      </c>
      <c r="AF204" s="559">
        <f t="shared" si="325"/>
        <v>6350.8115917396117</v>
      </c>
      <c r="AG204" s="542">
        <f t="shared" si="326"/>
        <v>5.1804402515723262E-2</v>
      </c>
      <c r="AI204" s="177">
        <f t="shared" si="327"/>
        <v>3.4929666941628019</v>
      </c>
      <c r="AJ204" s="177">
        <f t="shared" si="328"/>
        <v>3.7183051969546512</v>
      </c>
      <c r="AK204" s="177">
        <f t="shared" si="329"/>
        <v>3.346892738484927</v>
      </c>
      <c r="AM204" s="559">
        <f t="shared" si="330"/>
        <v>940</v>
      </c>
      <c r="AN204" s="469">
        <f t="shared" si="331"/>
        <v>306.7166808325461</v>
      </c>
      <c r="AP204">
        <f t="shared" si="332"/>
        <v>940</v>
      </c>
      <c r="AQ204">
        <f t="shared" si="333"/>
        <v>306.7166808325461</v>
      </c>
      <c r="AS204" s="5">
        <f t="shared" si="345"/>
        <v>3.2603378377909489</v>
      </c>
      <c r="AT204" s="5">
        <f t="shared" si="334"/>
        <v>2.1690113648902134</v>
      </c>
      <c r="AU204" s="5">
        <f t="shared" si="287"/>
        <v>1.0913264729007355</v>
      </c>
      <c r="AV204" s="5"/>
      <c r="AW204" s="177">
        <f t="shared" si="288"/>
        <v>0.66527196652719678</v>
      </c>
      <c r="AX204" s="177">
        <f t="shared" si="341"/>
        <v>14.842105263157897</v>
      </c>
      <c r="AY204" s="177">
        <f t="shared" si="342"/>
        <v>0.93346573982125103</v>
      </c>
      <c r="AZ204" s="177">
        <f t="shared" si="346"/>
        <v>15.900000000000006</v>
      </c>
      <c r="BA204" s="469">
        <f t="shared" si="335"/>
        <v>18.128571784263034</v>
      </c>
      <c r="BB204" s="469">
        <f t="shared" si="336"/>
        <v>54.364634932659953</v>
      </c>
      <c r="BC204" s="5">
        <f t="shared" si="289"/>
        <v>1.7997313763626164</v>
      </c>
      <c r="BD204" s="469">
        <f t="shared" si="337"/>
        <v>138.69037954298571</v>
      </c>
      <c r="BF204" s="177">
        <f t="shared" si="347"/>
        <v>1.7509914197033887</v>
      </c>
      <c r="BG204" s="177">
        <f t="shared" si="343"/>
        <v>1.8630379790966356</v>
      </c>
      <c r="BI204" s="542">
        <f t="shared" si="290"/>
        <v>0.33725680470623776</v>
      </c>
      <c r="BJ204" s="542">
        <f t="shared" si="291"/>
        <v>0.20442857142857146</v>
      </c>
      <c r="BK204" s="542">
        <f t="shared" si="292"/>
        <v>1.5335834041627305E-2</v>
      </c>
      <c r="BL204" s="542">
        <f t="shared" si="293"/>
        <v>8.8694815349544084E-2</v>
      </c>
      <c r="BM204">
        <f t="shared" si="294"/>
        <v>3.48E-3</v>
      </c>
      <c r="BN204" s="469">
        <f t="shared" si="295"/>
        <v>649.19602552598064</v>
      </c>
      <c r="BO204" s="542">
        <f t="shared" si="296"/>
        <v>0.84599999999999997</v>
      </c>
      <c r="BR204" s="469">
        <f t="shared" si="297"/>
        <v>846</v>
      </c>
      <c r="BS204" s="542">
        <f t="shared" si="298"/>
        <v>0</v>
      </c>
      <c r="BT204" s="542">
        <f t="shared" si="299"/>
        <v>0</v>
      </c>
      <c r="BU204" s="542">
        <f t="shared" si="300"/>
        <v>0</v>
      </c>
      <c r="BV204" s="542">
        <f t="shared" si="301"/>
        <v>0</v>
      </c>
      <c r="BW204" s="469">
        <f t="shared" si="302"/>
        <v>0</v>
      </c>
      <c r="BX204" s="177">
        <f t="shared" si="303"/>
        <v>1.4951960255259806</v>
      </c>
      <c r="BY204" s="5">
        <f t="shared" si="304"/>
        <v>14.1</v>
      </c>
      <c r="BZ204" s="177">
        <f t="shared" si="305"/>
        <v>0.90412457637091148</v>
      </c>
      <c r="CA204" s="5">
        <f t="shared" si="306"/>
        <v>90.412457637091151</v>
      </c>
      <c r="CD204" s="576">
        <f t="shared" si="338"/>
        <v>-50</v>
      </c>
      <c r="CE204">
        <f t="shared" si="339"/>
        <v>-50</v>
      </c>
    </row>
    <row r="205" spans="5:83" x14ac:dyDescent="0.25">
      <c r="E205" s="174">
        <v>95</v>
      </c>
      <c r="F205" s="221">
        <f t="shared" si="340"/>
        <v>0.95</v>
      </c>
      <c r="G205" s="221"/>
      <c r="H205" s="221">
        <f t="shared" si="307"/>
        <v>14.25</v>
      </c>
      <c r="I205" s="555">
        <f t="shared" si="308"/>
        <v>12</v>
      </c>
      <c r="J205" s="451">
        <f t="shared" si="309"/>
        <v>23.85</v>
      </c>
      <c r="K205" s="451">
        <f t="shared" si="310"/>
        <v>35.85</v>
      </c>
      <c r="L205" s="451"/>
      <c r="M205" s="221">
        <f t="shared" si="311"/>
        <v>0.66527196652719667</v>
      </c>
      <c r="N205" s="176">
        <f t="shared" si="312"/>
        <v>15.547405857740586</v>
      </c>
      <c r="O205" s="176">
        <f t="shared" si="344"/>
        <v>14.25</v>
      </c>
      <c r="P205" s="221">
        <f t="shared" si="313"/>
        <v>1.0364937238493723</v>
      </c>
      <c r="Q205" s="221">
        <f t="shared" si="314"/>
        <v>15</v>
      </c>
      <c r="R205" s="221"/>
      <c r="S205" s="176">
        <f t="shared" si="315"/>
        <v>17.002185531336217</v>
      </c>
      <c r="T205" s="550">
        <f t="shared" si="316"/>
        <v>15</v>
      </c>
      <c r="U205" s="221">
        <f t="shared" si="317"/>
        <v>3.757861635220126</v>
      </c>
      <c r="V205" s="221">
        <f t="shared" si="318"/>
        <v>2.1920859538784065</v>
      </c>
      <c r="W205" s="221">
        <f t="shared" si="319"/>
        <v>1.1029363289954248</v>
      </c>
      <c r="X205" s="201">
        <f t="shared" si="320"/>
        <v>350</v>
      </c>
      <c r="Y205" s="451">
        <f t="shared" si="286"/>
        <v>303.48808419220353</v>
      </c>
      <c r="AA205" s="221">
        <f t="shared" si="321"/>
        <v>3.2584749380923919</v>
      </c>
      <c r="AB205" s="177">
        <f t="shared" si="322"/>
        <v>0.95636580992229525</v>
      </c>
      <c r="AC205" s="177">
        <f t="shared" si="323"/>
        <v>0.81802718111106087</v>
      </c>
      <c r="AD205" s="177"/>
      <c r="AE205" s="177">
        <f t="shared" si="324"/>
        <v>0.24067085953878403</v>
      </c>
      <c r="AF205" s="559">
        <f t="shared" si="325"/>
        <v>6418.3734171836495</v>
      </c>
      <c r="AG205" s="542">
        <f t="shared" si="326"/>
        <v>5.1804402515723262E-2</v>
      </c>
      <c r="AI205" s="177">
        <f t="shared" si="327"/>
        <v>3.5114971514865227</v>
      </c>
      <c r="AJ205" s="177">
        <f t="shared" si="328"/>
        <v>3.757861635220126</v>
      </c>
      <c r="AK205" s="177">
        <f t="shared" si="329"/>
        <v>3.3761938038667596</v>
      </c>
      <c r="AM205" s="559">
        <f t="shared" si="330"/>
        <v>950</v>
      </c>
      <c r="AN205" s="469">
        <f t="shared" si="331"/>
        <v>303.48808419220353</v>
      </c>
      <c r="AP205">
        <f t="shared" si="332"/>
        <v>950</v>
      </c>
      <c r="AQ205">
        <f t="shared" si="333"/>
        <v>303.48808419220353</v>
      </c>
      <c r="AS205" s="5">
        <f t="shared" si="345"/>
        <v>3.2950222828738314</v>
      </c>
      <c r="AT205" s="5">
        <f t="shared" si="334"/>
        <v>2.1920859538784065</v>
      </c>
      <c r="AU205" s="5">
        <f t="shared" si="287"/>
        <v>1.1029363289954248</v>
      </c>
      <c r="AV205" s="5"/>
      <c r="AW205" s="177">
        <f t="shared" si="288"/>
        <v>0.66527196652719667</v>
      </c>
      <c r="AX205" s="177">
        <f t="shared" si="341"/>
        <v>15</v>
      </c>
      <c r="AY205" s="177">
        <f t="shared" si="342"/>
        <v>0.94339622641509435</v>
      </c>
      <c r="AZ205" s="177">
        <f t="shared" si="346"/>
        <v>15.9</v>
      </c>
      <c r="BA205" s="469">
        <f t="shared" si="335"/>
        <v>18.128571784263034</v>
      </c>
      <c r="BB205" s="469">
        <f t="shared" si="336"/>
        <v>55.497162773569038</v>
      </c>
      <c r="BC205" s="5">
        <f t="shared" si="289"/>
        <v>1.8382272149923746</v>
      </c>
      <c r="BD205" s="469">
        <f t="shared" si="337"/>
        <v>141.61704112442811</v>
      </c>
      <c r="BF205" s="177">
        <f t="shared" si="347"/>
        <v>1.7696189879981052</v>
      </c>
      <c r="BG205" s="177">
        <f t="shared" si="343"/>
        <v>1.8828575320657488</v>
      </c>
      <c r="BI205" s="542">
        <f t="shared" si="290"/>
        <v>0.34447064989517817</v>
      </c>
      <c r="BJ205" s="542">
        <f t="shared" si="291"/>
        <v>0.20442857142857146</v>
      </c>
      <c r="BK205" s="542">
        <f t="shared" si="292"/>
        <v>1.5174404209610175E-2</v>
      </c>
      <c r="BL205" s="542">
        <f t="shared" si="293"/>
        <v>8.7761185714285719E-2</v>
      </c>
      <c r="BM205">
        <f t="shared" si="294"/>
        <v>3.48E-3</v>
      </c>
      <c r="BN205" s="469">
        <f t="shared" si="295"/>
        <v>655.31481124764548</v>
      </c>
      <c r="BO205" s="542">
        <f t="shared" si="296"/>
        <v>0.85499999999999998</v>
      </c>
      <c r="BR205" s="469">
        <f t="shared" si="297"/>
        <v>855</v>
      </c>
      <c r="BS205" s="542">
        <f t="shared" si="298"/>
        <v>0</v>
      </c>
      <c r="BT205" s="542">
        <f t="shared" si="299"/>
        <v>0</v>
      </c>
      <c r="BU205" s="542">
        <f t="shared" si="300"/>
        <v>0</v>
      </c>
      <c r="BV205" s="542">
        <f t="shared" si="301"/>
        <v>0</v>
      </c>
      <c r="BW205" s="469">
        <f t="shared" si="302"/>
        <v>0</v>
      </c>
      <c r="BX205" s="177">
        <f t="shared" si="303"/>
        <v>1.5103148112476454</v>
      </c>
      <c r="BY205" s="5">
        <f t="shared" si="304"/>
        <v>14.25</v>
      </c>
      <c r="BZ205" s="177">
        <f t="shared" si="305"/>
        <v>0.90416975616694018</v>
      </c>
      <c r="CA205" s="5">
        <f t="shared" si="306"/>
        <v>90.416975616694018</v>
      </c>
      <c r="CD205" s="576">
        <f t="shared" si="338"/>
        <v>-50</v>
      </c>
      <c r="CE205">
        <f t="shared" si="339"/>
        <v>-50</v>
      </c>
    </row>
    <row r="206" spans="5:83" x14ac:dyDescent="0.25">
      <c r="E206" s="174">
        <v>96</v>
      </c>
      <c r="F206" s="221">
        <f t="shared" si="340"/>
        <v>0.96</v>
      </c>
      <c r="G206" s="221"/>
      <c r="H206" s="221">
        <f t="shared" ref="H206:H210" si="348">F206*Vout</f>
        <v>14.399999999999999</v>
      </c>
      <c r="I206" s="555">
        <f t="shared" si="308"/>
        <v>12</v>
      </c>
      <c r="J206" s="451">
        <f t="shared" si="309"/>
        <v>23.85</v>
      </c>
      <c r="K206" s="451">
        <f t="shared" si="310"/>
        <v>35.85</v>
      </c>
      <c r="L206" s="451"/>
      <c r="M206" s="221">
        <f t="shared" si="311"/>
        <v>0.66527196652719667</v>
      </c>
      <c r="N206" s="176">
        <f t="shared" ref="N206:N210" si="349">M206*I206*Isw_max*0.5*Efficiency</f>
        <v>15.547405857740586</v>
      </c>
      <c r="O206" s="176">
        <f t="shared" si="344"/>
        <v>14.399999999999999</v>
      </c>
      <c r="P206" s="221">
        <f t="shared" ref="P206:P210" si="350">N206/Vout</f>
        <v>1.0364937238493723</v>
      </c>
      <c r="Q206" s="221">
        <f t="shared" si="314"/>
        <v>15</v>
      </c>
      <c r="R206" s="221"/>
      <c r="S206" s="176">
        <f t="shared" si="315"/>
        <v>16.75164401784453</v>
      </c>
      <c r="T206" s="550">
        <f t="shared" ref="T206:T210" si="351">MIN(Vout, S206)</f>
        <v>15</v>
      </c>
      <c r="U206" s="221">
        <f t="shared" si="317"/>
        <v>3.7974180734856007</v>
      </c>
      <c r="V206" s="221">
        <f t="shared" ref="V206:V210" si="352">L*U206/I206*1000000</f>
        <v>2.2151605428666006</v>
      </c>
      <c r="W206" s="221">
        <f t="shared" si="319"/>
        <v>1.1145461850901133</v>
      </c>
      <c r="X206" s="201">
        <f t="shared" si="320"/>
        <v>350</v>
      </c>
      <c r="Y206" s="451">
        <f t="shared" si="286"/>
        <v>300.32674998186809</v>
      </c>
      <c r="AA206" s="221">
        <f t="shared" si="321"/>
        <v>3.2584749380923919</v>
      </c>
      <c r="AB206" s="177">
        <f t="shared" ref="AB206:AB210" si="353">L*AA206/J206*1000000</f>
        <v>0.95636580992229525</v>
      </c>
      <c r="AC206" s="177">
        <f t="shared" ref="AC206:AC210" si="354">0.5*AB206*AA206*Nps*X206/1000</f>
        <v>0.81802718111106087</v>
      </c>
      <c r="AD206" s="177"/>
      <c r="AE206" s="177">
        <f t="shared" si="324"/>
        <v>0.24067085953878403</v>
      </c>
      <c r="AF206" s="559">
        <f t="shared" ref="AF206:AF210" si="355">MAX(12000,F206/(0.5*AE206/1000000*Isw_min*Nps))/1000</f>
        <v>6485.9352426276882</v>
      </c>
      <c r="AG206" s="542">
        <f t="shared" si="326"/>
        <v>5.1804402515723262E-2</v>
      </c>
      <c r="AI206" s="177">
        <f t="shared" si="327"/>
        <v>3.5299303340526862</v>
      </c>
      <c r="AJ206" s="177">
        <f t="shared" ref="AJ206:AJ210" si="356">MAX(IF(F206&gt;AC206,U206,AI206),Isw_min)</f>
        <v>3.7974180734856007</v>
      </c>
      <c r="AK206" s="177">
        <f t="shared" ref="AK206:AK210" si="357">IF(F206&gt;AG206, (AJ206-Isw_min)/1.08*0.8+1.2, AF206*0.2/350+1)</f>
        <v>3.4054948692485931</v>
      </c>
      <c r="AM206" s="559">
        <f t="shared" si="330"/>
        <v>960</v>
      </c>
      <c r="AN206" s="469">
        <f t="shared" si="331"/>
        <v>300.32674998186809</v>
      </c>
      <c r="AP206">
        <f t="shared" si="332"/>
        <v>960</v>
      </c>
      <c r="AQ206">
        <f t="shared" si="333"/>
        <v>300.32674998186809</v>
      </c>
      <c r="AS206" s="5">
        <f t="shared" si="345"/>
        <v>3.3297067279567134</v>
      </c>
      <c r="AT206" s="5">
        <f t="shared" si="334"/>
        <v>2.2151605428666006</v>
      </c>
      <c r="AU206" s="5">
        <f t="shared" si="287"/>
        <v>1.1145461850901128</v>
      </c>
      <c r="AV206" s="5"/>
      <c r="AW206" s="177">
        <f t="shared" si="288"/>
        <v>0.66527196652719678</v>
      </c>
      <c r="AX206" s="177">
        <f t="shared" si="341"/>
        <v>15.157894736842106</v>
      </c>
      <c r="AY206" s="177">
        <f t="shared" si="342"/>
        <v>0.95332671300893712</v>
      </c>
      <c r="AZ206" s="177">
        <f t="shared" si="346"/>
        <v>15.900000000000006</v>
      </c>
      <c r="BA206" s="469">
        <f t="shared" si="335"/>
        <v>18.128571784263034</v>
      </c>
      <c r="BB206" s="469">
        <f t="shared" si="336"/>
        <v>56.641357575757588</v>
      </c>
      <c r="BC206" s="5">
        <f t="shared" si="289"/>
        <v>1.8771304169938741</v>
      </c>
      <c r="BD206" s="469">
        <f t="shared" si="337"/>
        <v>144.57425495875108</v>
      </c>
      <c r="BF206" s="177">
        <f t="shared" si="347"/>
        <v>1.7882465562928223</v>
      </c>
      <c r="BG206" s="177">
        <f t="shared" si="343"/>
        <v>1.9026770850348615</v>
      </c>
      <c r="BI206" s="542">
        <f t="shared" si="290"/>
        <v>0.35176083207024517</v>
      </c>
      <c r="BJ206" s="542">
        <f t="shared" si="291"/>
        <v>0.20442857142857146</v>
      </c>
      <c r="BK206" s="542">
        <f t="shared" si="292"/>
        <v>1.5016337499093403E-2</v>
      </c>
      <c r="BL206" s="542">
        <f t="shared" si="293"/>
        <v>8.6847006696428586E-2</v>
      </c>
      <c r="BM206">
        <f t="shared" si="294"/>
        <v>3.48E-3</v>
      </c>
      <c r="BN206" s="469">
        <f t="shared" si="295"/>
        <v>661.53274769433858</v>
      </c>
      <c r="BO206" s="542">
        <f t="shared" si="296"/>
        <v>0.86399999999999999</v>
      </c>
      <c r="BR206" s="469">
        <f t="shared" si="297"/>
        <v>864</v>
      </c>
      <c r="BS206" s="542">
        <f t="shared" si="298"/>
        <v>0</v>
      </c>
      <c r="BT206" s="542">
        <f t="shared" si="299"/>
        <v>0</v>
      </c>
      <c r="BU206" s="542">
        <f t="shared" si="300"/>
        <v>0</v>
      </c>
      <c r="BV206" s="542">
        <f t="shared" si="301"/>
        <v>0</v>
      </c>
      <c r="BW206" s="469">
        <f t="shared" si="302"/>
        <v>0</v>
      </c>
      <c r="BX206" s="177">
        <f t="shared" si="303"/>
        <v>1.5255327476943386</v>
      </c>
      <c r="BY206" s="5">
        <f t="shared" si="304"/>
        <v>14.399999999999999</v>
      </c>
      <c r="BZ206" s="177">
        <f t="shared" si="305"/>
        <v>0.90420836954950834</v>
      </c>
      <c r="CA206" s="5">
        <f t="shared" si="306"/>
        <v>90.420836954950829</v>
      </c>
      <c r="CD206" s="576">
        <f t="shared" si="338"/>
        <v>-50</v>
      </c>
      <c r="CE206">
        <f t="shared" si="339"/>
        <v>-50</v>
      </c>
    </row>
    <row r="207" spans="5:83" x14ac:dyDescent="0.25">
      <c r="E207" s="174">
        <v>97</v>
      </c>
      <c r="F207" s="221">
        <f t="shared" ref="F207:F210" si="358">IF(PLOT_TYPE=1, E207/100*Iout_max, min_I*EXP(N207*rr/100))</f>
        <v>0.97</v>
      </c>
      <c r="G207" s="221"/>
      <c r="H207" s="221">
        <f t="shared" si="348"/>
        <v>14.549999999999999</v>
      </c>
      <c r="I207" s="555">
        <f t="shared" si="308"/>
        <v>12</v>
      </c>
      <c r="J207" s="451">
        <f t="shared" si="309"/>
        <v>23.85</v>
      </c>
      <c r="K207" s="451">
        <f t="shared" si="310"/>
        <v>35.85</v>
      </c>
      <c r="L207" s="451"/>
      <c r="M207" s="221">
        <f t="shared" si="311"/>
        <v>0.66527196652719667</v>
      </c>
      <c r="N207" s="176">
        <f t="shared" si="349"/>
        <v>15.547405857740586</v>
      </c>
      <c r="O207" s="176">
        <f t="shared" si="344"/>
        <v>14.549999999999999</v>
      </c>
      <c r="P207" s="221">
        <f t="shared" si="350"/>
        <v>1.0364937238493723</v>
      </c>
      <c r="Q207" s="221">
        <f t="shared" si="314"/>
        <v>15</v>
      </c>
      <c r="R207" s="221"/>
      <c r="S207" s="176">
        <f t="shared" si="315"/>
        <v>16.506423896922474</v>
      </c>
      <c r="T207" s="550">
        <f t="shared" si="351"/>
        <v>15</v>
      </c>
      <c r="U207" s="221">
        <f t="shared" si="317"/>
        <v>3.8369745117510758</v>
      </c>
      <c r="V207" s="221">
        <f t="shared" si="352"/>
        <v>2.2382351318547946</v>
      </c>
      <c r="W207" s="221">
        <f t="shared" si="319"/>
        <v>1.1261560411848019</v>
      </c>
      <c r="X207" s="201">
        <f t="shared" si="320"/>
        <v>350</v>
      </c>
      <c r="Y207" s="451">
        <f t="shared" si="286"/>
        <v>297.23059792019933</v>
      </c>
      <c r="AA207" s="221">
        <f t="shared" si="321"/>
        <v>3.2584749380923919</v>
      </c>
      <c r="AB207" s="177">
        <f t="shared" si="353"/>
        <v>0.95636580992229525</v>
      </c>
      <c r="AC207" s="177">
        <f t="shared" si="354"/>
        <v>0.81802718111106087</v>
      </c>
      <c r="AD207" s="177"/>
      <c r="AE207" s="177">
        <f t="shared" si="324"/>
        <v>0.24067085953878403</v>
      </c>
      <c r="AF207" s="559">
        <f t="shared" si="355"/>
        <v>6553.497068071727</v>
      </c>
      <c r="AG207" s="542">
        <f t="shared" si="326"/>
        <v>5.1804402515723262E-2</v>
      </c>
      <c r="AI207" s="177">
        <f t="shared" si="327"/>
        <v>3.5482677578830852</v>
      </c>
      <c r="AJ207" s="177">
        <f t="shared" si="356"/>
        <v>3.8369745117510758</v>
      </c>
      <c r="AK207" s="177">
        <f t="shared" si="357"/>
        <v>3.4347959346304267</v>
      </c>
      <c r="AM207" s="559">
        <f t="shared" si="330"/>
        <v>970</v>
      </c>
      <c r="AN207" s="469">
        <f t="shared" si="331"/>
        <v>297.23059792019933</v>
      </c>
      <c r="AP207">
        <f t="shared" si="332"/>
        <v>970</v>
      </c>
      <c r="AQ207">
        <f t="shared" si="333"/>
        <v>297.23059792019933</v>
      </c>
      <c r="AS207" s="5">
        <f t="shared" si="345"/>
        <v>3.3643911730395959</v>
      </c>
      <c r="AT207" s="5">
        <f t="shared" si="334"/>
        <v>2.2382351318547946</v>
      </c>
      <c r="AU207" s="5">
        <f t="shared" si="287"/>
        <v>1.1261560411848013</v>
      </c>
      <c r="AV207" s="5"/>
      <c r="AW207" s="177">
        <f t="shared" si="288"/>
        <v>0.66527196652719689</v>
      </c>
      <c r="AX207" s="177">
        <f t="shared" si="341"/>
        <v>15.315789473684209</v>
      </c>
      <c r="AY207" s="177">
        <f t="shared" si="342"/>
        <v>0.96325719960277978</v>
      </c>
      <c r="AZ207" s="177">
        <f t="shared" si="346"/>
        <v>15.900000000000011</v>
      </c>
      <c r="BA207" s="469">
        <f t="shared" si="335"/>
        <v>18.128571784263034</v>
      </c>
      <c r="BB207" s="469">
        <f t="shared" si="336"/>
        <v>57.797219339225606</v>
      </c>
      <c r="BC207" s="5">
        <f t="shared" si="289"/>
        <v>1.916440982367118</v>
      </c>
      <c r="BD207" s="469">
        <f t="shared" si="337"/>
        <v>147.56202104595488</v>
      </c>
      <c r="BF207" s="177">
        <f t="shared" si="347"/>
        <v>1.8068741245875395</v>
      </c>
      <c r="BG207" s="177">
        <f t="shared" si="343"/>
        <v>1.9224966380039743</v>
      </c>
      <c r="BI207" s="542">
        <f t="shared" si="290"/>
        <v>0.35912735123143857</v>
      </c>
      <c r="BJ207" s="542">
        <f t="shared" si="291"/>
        <v>0.20442857142857143</v>
      </c>
      <c r="BK207" s="542">
        <f t="shared" si="292"/>
        <v>1.4861529896009966E-2</v>
      </c>
      <c r="BL207" s="542">
        <f t="shared" si="293"/>
        <v>8.5951676730486024E-2</v>
      </c>
      <c r="BM207">
        <f t="shared" si="294"/>
        <v>3.48E-3</v>
      </c>
      <c r="BN207" s="469">
        <f t="shared" si="295"/>
        <v>667.84912928650601</v>
      </c>
      <c r="BO207" s="542">
        <f t="shared" si="296"/>
        <v>0.873</v>
      </c>
      <c r="BR207" s="469">
        <f t="shared" si="297"/>
        <v>873</v>
      </c>
      <c r="BS207" s="542">
        <f t="shared" si="298"/>
        <v>0</v>
      </c>
      <c r="BT207" s="542">
        <f t="shared" si="299"/>
        <v>0</v>
      </c>
      <c r="BU207" s="542">
        <f t="shared" si="300"/>
        <v>0</v>
      </c>
      <c r="BV207" s="542">
        <f t="shared" si="301"/>
        <v>0</v>
      </c>
      <c r="BW207" s="469">
        <f t="shared" si="302"/>
        <v>0</v>
      </c>
      <c r="BX207" s="177">
        <f t="shared" si="303"/>
        <v>1.5408491292865061</v>
      </c>
      <c r="BY207" s="5">
        <f t="shared" si="304"/>
        <v>14.549999999999999</v>
      </c>
      <c r="BZ207" s="177">
        <f t="shared" si="305"/>
        <v>0.90424065772377116</v>
      </c>
      <c r="CA207" s="5">
        <f t="shared" si="306"/>
        <v>90.424065772377119</v>
      </c>
      <c r="CD207" s="576">
        <f t="shared" si="338"/>
        <v>-50</v>
      </c>
      <c r="CE207">
        <f t="shared" si="339"/>
        <v>-50</v>
      </c>
    </row>
    <row r="208" spans="5:83" x14ac:dyDescent="0.25">
      <c r="E208" s="174">
        <v>98</v>
      </c>
      <c r="F208" s="221">
        <f t="shared" si="358"/>
        <v>0.98</v>
      </c>
      <c r="G208" s="221"/>
      <c r="H208" s="221">
        <f t="shared" si="348"/>
        <v>14.7</v>
      </c>
      <c r="I208" s="555">
        <f t="shared" si="308"/>
        <v>12</v>
      </c>
      <c r="J208" s="451">
        <f t="shared" si="309"/>
        <v>23.85</v>
      </c>
      <c r="K208" s="451">
        <f t="shared" si="310"/>
        <v>35.85</v>
      </c>
      <c r="L208" s="451"/>
      <c r="M208" s="221">
        <f t="shared" si="311"/>
        <v>0.66527196652719667</v>
      </c>
      <c r="N208" s="176">
        <f t="shared" si="349"/>
        <v>15.547405857740586</v>
      </c>
      <c r="O208" s="176">
        <f t="shared" si="344"/>
        <v>14.7</v>
      </c>
      <c r="P208" s="221">
        <f t="shared" si="350"/>
        <v>1.0364937238493723</v>
      </c>
      <c r="Q208" s="221">
        <f t="shared" si="314"/>
        <v>15</v>
      </c>
      <c r="R208" s="221"/>
      <c r="S208" s="176">
        <f t="shared" si="315"/>
        <v>16.266363654586232</v>
      </c>
      <c r="T208" s="550">
        <f t="shared" si="351"/>
        <v>15</v>
      </c>
      <c r="U208" s="221">
        <f t="shared" si="317"/>
        <v>3.876530950016551</v>
      </c>
      <c r="V208" s="221">
        <f t="shared" si="352"/>
        <v>2.2613097208429882</v>
      </c>
      <c r="W208" s="221">
        <f t="shared" si="319"/>
        <v>1.1377658972794908</v>
      </c>
      <c r="X208" s="201">
        <f t="shared" si="320"/>
        <v>350</v>
      </c>
      <c r="Y208" s="451">
        <f t="shared" si="286"/>
        <v>294.19763263529933</v>
      </c>
      <c r="AA208" s="221">
        <f t="shared" si="321"/>
        <v>3.2584749380923919</v>
      </c>
      <c r="AB208" s="177">
        <f t="shared" si="353"/>
        <v>0.95636580992229525</v>
      </c>
      <c r="AC208" s="177">
        <f t="shared" si="354"/>
        <v>0.81802718111106087</v>
      </c>
      <c r="AD208" s="177"/>
      <c r="AE208" s="177">
        <f t="shared" si="324"/>
        <v>0.24067085953878403</v>
      </c>
      <c r="AF208" s="559">
        <f t="shared" si="355"/>
        <v>6621.0588935157657</v>
      </c>
      <c r="AG208" s="542">
        <f t="shared" si="326"/>
        <v>5.1804402515723262E-2</v>
      </c>
      <c r="AI208" s="177">
        <f t="shared" si="327"/>
        <v>3.5665109000254018</v>
      </c>
      <c r="AJ208" s="177">
        <f t="shared" si="356"/>
        <v>3.876530950016551</v>
      </c>
      <c r="AK208" s="177">
        <f t="shared" si="357"/>
        <v>3.4640970000122602</v>
      </c>
      <c r="AM208" s="559">
        <f t="shared" si="330"/>
        <v>980</v>
      </c>
      <c r="AN208" s="469">
        <f t="shared" si="331"/>
        <v>294.19763263529933</v>
      </c>
      <c r="AP208">
        <f t="shared" si="332"/>
        <v>980</v>
      </c>
      <c r="AQ208">
        <f t="shared" si="333"/>
        <v>294.19763263529933</v>
      </c>
      <c r="AS208" s="5">
        <f t="shared" si="345"/>
        <v>3.3990756181224788</v>
      </c>
      <c r="AT208" s="5">
        <f t="shared" si="334"/>
        <v>2.2613097208429882</v>
      </c>
      <c r="AU208" s="5">
        <f t="shared" si="287"/>
        <v>1.1377658972794906</v>
      </c>
      <c r="AV208" s="5"/>
      <c r="AW208" s="177">
        <f t="shared" si="288"/>
        <v>0.66527196652719667</v>
      </c>
      <c r="AX208" s="177">
        <f t="shared" si="341"/>
        <v>15.473684210526317</v>
      </c>
      <c r="AY208" s="177">
        <f t="shared" si="342"/>
        <v>0.97318768619662366</v>
      </c>
      <c r="AZ208" s="177">
        <f t="shared" si="346"/>
        <v>15.9</v>
      </c>
      <c r="BA208" s="469">
        <f t="shared" si="335"/>
        <v>18.128571784263034</v>
      </c>
      <c r="BB208" s="469">
        <f t="shared" si="336"/>
        <v>58.964748063973076</v>
      </c>
      <c r="BC208" s="5">
        <f t="shared" si="289"/>
        <v>1.9561589111121067</v>
      </c>
      <c r="BD208" s="469">
        <f t="shared" si="337"/>
        <v>150.58033938603958</v>
      </c>
      <c r="BF208" s="177">
        <f t="shared" si="347"/>
        <v>1.8255016928822561</v>
      </c>
      <c r="BG208" s="177">
        <f t="shared" si="343"/>
        <v>1.9423161909730882</v>
      </c>
      <c r="BI208" s="542">
        <f t="shared" si="290"/>
        <v>0.36657020737875806</v>
      </c>
      <c r="BJ208" s="542">
        <f t="shared" si="291"/>
        <v>0.20442857142857146</v>
      </c>
      <c r="BK208" s="542">
        <f t="shared" si="292"/>
        <v>1.4709881631764966E-2</v>
      </c>
      <c r="BL208" s="542">
        <f t="shared" si="293"/>
        <v>8.5074618804664728E-2</v>
      </c>
      <c r="BM208">
        <f t="shared" si="294"/>
        <v>3.48E-3</v>
      </c>
      <c r="BN208" s="469">
        <f t="shared" si="295"/>
        <v>674.26327924375926</v>
      </c>
      <c r="BO208" s="542">
        <f t="shared" si="296"/>
        <v>0.88200000000000001</v>
      </c>
      <c r="BR208" s="469">
        <f t="shared" si="297"/>
        <v>882</v>
      </c>
      <c r="BS208" s="542">
        <f t="shared" si="298"/>
        <v>0</v>
      </c>
      <c r="BT208" s="542">
        <f t="shared" si="299"/>
        <v>0</v>
      </c>
      <c r="BU208" s="542">
        <f t="shared" si="300"/>
        <v>0</v>
      </c>
      <c r="BV208" s="542">
        <f t="shared" si="301"/>
        <v>0</v>
      </c>
      <c r="BW208" s="469">
        <f t="shared" si="302"/>
        <v>0</v>
      </c>
      <c r="BX208" s="177">
        <f t="shared" si="303"/>
        <v>1.5562632792437592</v>
      </c>
      <c r="BY208" s="5">
        <f t="shared" si="304"/>
        <v>14.7</v>
      </c>
      <c r="BZ208" s="177">
        <f t="shared" si="305"/>
        <v>0.90426685072018864</v>
      </c>
      <c r="CA208" s="5">
        <f t="shared" si="306"/>
        <v>90.42668507201887</v>
      </c>
      <c r="CD208" s="576">
        <f t="shared" si="338"/>
        <v>-50</v>
      </c>
      <c r="CE208">
        <f t="shared" si="339"/>
        <v>-50</v>
      </c>
    </row>
    <row r="209" spans="5:85" x14ac:dyDescent="0.25">
      <c r="E209" s="174">
        <v>99</v>
      </c>
      <c r="F209" s="221">
        <f t="shared" si="358"/>
        <v>0.99</v>
      </c>
      <c r="G209" s="221"/>
      <c r="H209" s="221">
        <f t="shared" si="348"/>
        <v>14.85</v>
      </c>
      <c r="I209" s="555">
        <f t="shared" si="308"/>
        <v>12</v>
      </c>
      <c r="J209" s="451">
        <f t="shared" si="309"/>
        <v>23.85</v>
      </c>
      <c r="K209" s="451">
        <f t="shared" si="310"/>
        <v>35.85</v>
      </c>
      <c r="L209" s="451"/>
      <c r="M209" s="221">
        <f t="shared" si="311"/>
        <v>0.66527196652719667</v>
      </c>
      <c r="N209" s="176">
        <f t="shared" si="349"/>
        <v>15.547405857740586</v>
      </c>
      <c r="O209" s="176">
        <f t="shared" si="344"/>
        <v>14.85</v>
      </c>
      <c r="P209" s="221">
        <f t="shared" si="350"/>
        <v>1.0364937238493723</v>
      </c>
      <c r="Q209" s="221">
        <f t="shared" si="314"/>
        <v>15</v>
      </c>
      <c r="R209" s="221"/>
      <c r="S209" s="176">
        <f t="shared" si="315"/>
        <v>16.03130831094964</v>
      </c>
      <c r="T209" s="550">
        <f t="shared" si="351"/>
        <v>15</v>
      </c>
      <c r="U209" s="221">
        <f t="shared" si="317"/>
        <v>3.9160873882820262</v>
      </c>
      <c r="V209" s="221">
        <f t="shared" si="352"/>
        <v>2.2843843098311818</v>
      </c>
      <c r="W209" s="221">
        <f t="shared" si="319"/>
        <v>1.1493757533741795</v>
      </c>
      <c r="X209" s="201">
        <f t="shared" si="320"/>
        <v>350</v>
      </c>
      <c r="Y209" s="451">
        <f t="shared" si="286"/>
        <v>291.22593937635691</v>
      </c>
      <c r="AA209" s="221">
        <f t="shared" si="321"/>
        <v>3.2584749380923919</v>
      </c>
      <c r="AB209" s="177">
        <f t="shared" si="353"/>
        <v>0.95636580992229525</v>
      </c>
      <c r="AC209" s="177">
        <f t="shared" si="354"/>
        <v>0.81802718111106087</v>
      </c>
      <c r="AD209" s="177"/>
      <c r="AE209" s="177">
        <f t="shared" si="324"/>
        <v>0.24067085953878403</v>
      </c>
      <c r="AF209" s="559">
        <f t="shared" si="355"/>
        <v>6688.6207189598035</v>
      </c>
      <c r="AG209" s="542">
        <f t="shared" si="326"/>
        <v>5.1804402515723262E-2</v>
      </c>
      <c r="AI209" s="177">
        <f t="shared" si="327"/>
        <v>3.5846611999416838</v>
      </c>
      <c r="AJ209" s="177">
        <f t="shared" si="356"/>
        <v>3.9160873882820262</v>
      </c>
      <c r="AK209" s="177">
        <f t="shared" si="357"/>
        <v>3.4933980653940937</v>
      </c>
      <c r="AM209" s="559">
        <f t="shared" si="330"/>
        <v>990</v>
      </c>
      <c r="AN209" s="469">
        <f t="shared" si="331"/>
        <v>291.22593937635691</v>
      </c>
      <c r="AP209">
        <f t="shared" si="332"/>
        <v>990</v>
      </c>
      <c r="AQ209">
        <f t="shared" si="333"/>
        <v>291.22593937635691</v>
      </c>
      <c r="AS209" s="5">
        <f t="shared" si="345"/>
        <v>3.4337600632053613</v>
      </c>
      <c r="AT209" s="5">
        <f t="shared" si="334"/>
        <v>2.2843843098311818</v>
      </c>
      <c r="AU209" s="5">
        <f t="shared" si="287"/>
        <v>1.1493757533741795</v>
      </c>
      <c r="AV209" s="5"/>
      <c r="AW209" s="177">
        <f t="shared" si="288"/>
        <v>0.66527196652719667</v>
      </c>
      <c r="AX209" s="177">
        <f t="shared" si="341"/>
        <v>15.631578947368423</v>
      </c>
      <c r="AY209" s="177">
        <f t="shared" si="342"/>
        <v>0.98311817279046676</v>
      </c>
      <c r="AZ209" s="177">
        <f t="shared" si="346"/>
        <v>15.900000000000002</v>
      </c>
      <c r="BA209" s="469">
        <f t="shared" si="335"/>
        <v>18.128571784263034</v>
      </c>
      <c r="BB209" s="469">
        <f t="shared" si="336"/>
        <v>60.143943750000005</v>
      </c>
      <c r="BC209" s="5">
        <f t="shared" si="289"/>
        <v>1.9962842032288381</v>
      </c>
      <c r="BD209" s="469">
        <f t="shared" si="337"/>
        <v>153.62920997900497</v>
      </c>
      <c r="BF209" s="177">
        <f t="shared" si="347"/>
        <v>1.8441292611769731</v>
      </c>
      <c r="BG209" s="177">
        <f t="shared" si="343"/>
        <v>1.9621357439422016</v>
      </c>
      <c r="BI209" s="542">
        <f t="shared" si="290"/>
        <v>0.37408940051220413</v>
      </c>
      <c r="BJ209" s="542">
        <f t="shared" si="291"/>
        <v>0.20442857142857146</v>
      </c>
      <c r="BK209" s="542">
        <f t="shared" si="292"/>
        <v>1.4561296968817845E-2</v>
      </c>
      <c r="BL209" s="542">
        <f t="shared" si="293"/>
        <v>8.4215279220779232E-2</v>
      </c>
      <c r="BM209">
        <f t="shared" si="294"/>
        <v>3.48E-3</v>
      </c>
      <c r="BN209" s="469">
        <f t="shared" si="295"/>
        <v>680.77454813037264</v>
      </c>
      <c r="BO209" s="542">
        <f t="shared" si="296"/>
        <v>0.89100000000000001</v>
      </c>
      <c r="BR209" s="469">
        <f t="shared" si="297"/>
        <v>891</v>
      </c>
      <c r="BS209" s="542">
        <f t="shared" si="298"/>
        <v>0</v>
      </c>
      <c r="BT209" s="542">
        <f t="shared" si="299"/>
        <v>0</v>
      </c>
      <c r="BU209" s="542">
        <f t="shared" si="300"/>
        <v>0</v>
      </c>
      <c r="BV209" s="542">
        <f t="shared" si="301"/>
        <v>0</v>
      </c>
      <c r="BW209" s="469">
        <f t="shared" si="302"/>
        <v>0</v>
      </c>
      <c r="BX209" s="177">
        <f t="shared" si="303"/>
        <v>1.5717745481303727</v>
      </c>
      <c r="BY209" s="5">
        <f t="shared" si="304"/>
        <v>14.85</v>
      </c>
      <c r="BZ209" s="177">
        <f t="shared" si="305"/>
        <v>0.90428716802050357</v>
      </c>
      <c r="CA209" s="5">
        <f t="shared" si="306"/>
        <v>90.42871680205036</v>
      </c>
      <c r="CD209" s="576">
        <f t="shared" si="338"/>
        <v>-50</v>
      </c>
      <c r="CE209">
        <f t="shared" si="339"/>
        <v>-50</v>
      </c>
    </row>
    <row r="210" spans="5:85" x14ac:dyDescent="0.25">
      <c r="E210" s="174">
        <v>100</v>
      </c>
      <c r="F210" s="221">
        <f t="shared" si="358"/>
        <v>1</v>
      </c>
      <c r="G210" s="221"/>
      <c r="H210" s="221">
        <f t="shared" si="348"/>
        <v>15</v>
      </c>
      <c r="I210" s="555">
        <f t="shared" si="308"/>
        <v>12</v>
      </c>
      <c r="J210" s="451">
        <f t="shared" si="309"/>
        <v>23.85</v>
      </c>
      <c r="K210" s="451">
        <f t="shared" si="310"/>
        <v>35.85</v>
      </c>
      <c r="L210" s="451"/>
      <c r="M210" s="221">
        <f t="shared" si="311"/>
        <v>0.66527196652719667</v>
      </c>
      <c r="N210" s="176">
        <f t="shared" si="349"/>
        <v>15.547405857740586</v>
      </c>
      <c r="O210" s="176">
        <f t="shared" si="344"/>
        <v>15</v>
      </c>
      <c r="P210" s="221">
        <f t="shared" si="350"/>
        <v>1.0364937238493723</v>
      </c>
      <c r="Q210" s="221">
        <f t="shared" si="314"/>
        <v>15</v>
      </c>
      <c r="R210" s="221"/>
      <c r="S210" s="176">
        <f t="shared" si="315"/>
        <v>15.801109093398237</v>
      </c>
      <c r="T210" s="550">
        <f t="shared" si="351"/>
        <v>15</v>
      </c>
      <c r="U210" s="221">
        <f t="shared" si="317"/>
        <v>3.9556438265475014</v>
      </c>
      <c r="V210" s="221">
        <f t="shared" si="352"/>
        <v>2.3074588988193758</v>
      </c>
      <c r="W210" s="221">
        <f t="shared" si="319"/>
        <v>1.1609856094688682</v>
      </c>
      <c r="X210" s="201">
        <f t="shared" si="320"/>
        <v>350</v>
      </c>
      <c r="Y210" s="451">
        <f t="shared" si="286"/>
        <v>288.31367998259327</v>
      </c>
      <c r="AA210" s="221">
        <f t="shared" si="321"/>
        <v>3.2584749380923919</v>
      </c>
      <c r="AB210" s="177">
        <f t="shared" si="353"/>
        <v>0.95636580992229525</v>
      </c>
      <c r="AC210" s="177">
        <f t="shared" si="354"/>
        <v>0.81802718111106087</v>
      </c>
      <c r="AD210" s="177"/>
      <c r="AE210" s="177">
        <f t="shared" si="324"/>
        <v>0.24067085953878403</v>
      </c>
      <c r="AF210" s="559">
        <f t="shared" si="355"/>
        <v>6756.1825444038423</v>
      </c>
      <c r="AG210" s="542">
        <f t="shared" si="326"/>
        <v>5.1804402515723262E-2</v>
      </c>
      <c r="AI210" s="177">
        <f t="shared" si="327"/>
        <v>3.602720060833855</v>
      </c>
      <c r="AJ210" s="177">
        <f t="shared" si="356"/>
        <v>3.9556438265475014</v>
      </c>
      <c r="AK210" s="177">
        <f t="shared" si="357"/>
        <v>3.5226991307759272</v>
      </c>
      <c r="AM210" s="559">
        <f t="shared" si="330"/>
        <v>1000</v>
      </c>
      <c r="AN210" s="469">
        <f t="shared" si="331"/>
        <v>288.31367998259327</v>
      </c>
      <c r="AP210">
        <f t="shared" si="332"/>
        <v>1000</v>
      </c>
      <c r="AQ210">
        <f t="shared" si="333"/>
        <v>288.31367998259327</v>
      </c>
      <c r="AS210" s="5">
        <f t="shared" si="345"/>
        <v>3.4684445082882447</v>
      </c>
      <c r="AT210" s="5">
        <f t="shared" si="334"/>
        <v>2.3074588988193758</v>
      </c>
      <c r="AU210" s="5">
        <f t="shared" si="287"/>
        <v>1.1609856094688689</v>
      </c>
      <c r="AV210" s="5"/>
      <c r="AW210" s="177">
        <f t="shared" si="288"/>
        <v>0.66527196652719656</v>
      </c>
      <c r="AX210" s="177">
        <f t="shared" si="341"/>
        <v>15.789473684210527</v>
      </c>
      <c r="AY210" s="177">
        <f t="shared" si="342"/>
        <v>0.99304865938431031</v>
      </c>
      <c r="AZ210" s="177">
        <f t="shared" si="346"/>
        <v>15.899999999999993</v>
      </c>
      <c r="BA210" s="469">
        <f t="shared" si="335"/>
        <v>18.128571784263034</v>
      </c>
      <c r="BB210" s="469">
        <f t="shared" si="336"/>
        <v>61.334806397306409</v>
      </c>
      <c r="BC210" s="5">
        <f t="shared" si="289"/>
        <v>2.0368168587173137</v>
      </c>
      <c r="BD210" s="469">
        <f t="shared" si="337"/>
        <v>156.70863282485118</v>
      </c>
      <c r="BF210" s="177">
        <f t="shared" si="347"/>
        <v>1.8627568294716899</v>
      </c>
      <c r="BG210" s="177">
        <f t="shared" si="343"/>
        <v>1.9819552969113152</v>
      </c>
      <c r="BI210" s="542">
        <f t="shared" si="290"/>
        <v>0.38168493063177644</v>
      </c>
      <c r="BJ210" s="542">
        <f t="shared" si="291"/>
        <v>0.20442857142857143</v>
      </c>
      <c r="BK210" s="542">
        <f t="shared" si="292"/>
        <v>1.4415683999129663E-2</v>
      </c>
      <c r="BL210" s="542">
        <f t="shared" si="293"/>
        <v>8.337312642857142E-2</v>
      </c>
      <c r="BM210">
        <f t="shared" si="294"/>
        <v>3.48E-3</v>
      </c>
      <c r="BN210" s="469">
        <f t="shared" si="295"/>
        <v>687.38231248804891</v>
      </c>
      <c r="BO210" s="542">
        <f t="shared" si="296"/>
        <v>0.9</v>
      </c>
      <c r="BR210" s="469">
        <f t="shared" si="297"/>
        <v>900</v>
      </c>
      <c r="BS210" s="542">
        <f t="shared" si="298"/>
        <v>0</v>
      </c>
      <c r="BT210" s="542">
        <f t="shared" si="299"/>
        <v>0</v>
      </c>
      <c r="BU210" s="542">
        <f t="shared" si="300"/>
        <v>0</v>
      </c>
      <c r="BV210" s="542">
        <f t="shared" si="301"/>
        <v>0</v>
      </c>
      <c r="BW210" s="469">
        <f t="shared" si="302"/>
        <v>0</v>
      </c>
      <c r="BX210" s="177">
        <f t="shared" si="303"/>
        <v>1.5873823124880491</v>
      </c>
      <c r="BY210" s="5">
        <f t="shared" si="304"/>
        <v>15</v>
      </c>
      <c r="BZ210" s="177">
        <f t="shared" si="305"/>
        <v>0.90430181914279717</v>
      </c>
      <c r="CA210" s="5">
        <f t="shared" si="306"/>
        <v>90.430181914279714</v>
      </c>
      <c r="CD210" s="576">
        <f t="shared" si="338"/>
        <v>-50</v>
      </c>
      <c r="CE210">
        <f t="shared" si="339"/>
        <v>-50</v>
      </c>
    </row>
    <row r="211" spans="5:85" x14ac:dyDescent="0.25">
      <c r="E211" s="174"/>
      <c r="F211" s="221"/>
      <c r="G211" s="221"/>
      <c r="H211" s="221"/>
      <c r="I211" s="555"/>
      <c r="J211" s="451"/>
      <c r="K211" s="451"/>
      <c r="L211" s="451"/>
      <c r="M211" s="221"/>
      <c r="N211" s="176"/>
      <c r="O211" s="176"/>
      <c r="P211" s="221"/>
      <c r="Q211" s="221"/>
      <c r="R211" s="221"/>
      <c r="S211" s="176"/>
      <c r="T211" s="176"/>
      <c r="U211" s="221"/>
      <c r="V211" s="221"/>
      <c r="W211" s="221"/>
      <c r="X211" s="201"/>
      <c r="Y211" s="451"/>
      <c r="AA211" s="221"/>
      <c r="AB211" s="177"/>
      <c r="AC211" s="177"/>
      <c r="AD211" s="177"/>
      <c r="AE211" s="177"/>
      <c r="AF211" s="559"/>
      <c r="AI211" s="177"/>
      <c r="AJ211" s="177"/>
      <c r="AK211" s="177"/>
      <c r="AM211" s="559"/>
      <c r="AN211" s="469"/>
      <c r="AS211" s="5"/>
      <c r="AT211" s="5"/>
      <c r="AU211" s="5"/>
      <c r="AV211" s="5"/>
      <c r="AW211" s="177"/>
      <c r="AX211" s="177"/>
      <c r="BA211" s="469"/>
      <c r="BB211" s="469"/>
      <c r="BC211" s="5"/>
      <c r="BD211" s="469"/>
      <c r="CD211" s="576"/>
      <c r="CF211" s="544">
        <f>MAX(CE110:CE210)</f>
        <v>-50</v>
      </c>
      <c r="CG211" s="76" t="s">
        <v>45</v>
      </c>
    </row>
    <row r="212" spans="5:85" x14ac:dyDescent="0.25">
      <c r="E212" s="654">
        <v>101</v>
      </c>
      <c r="F212" s="655">
        <f>Ioutmax_Vinmin</f>
        <v>1.0364937238493723</v>
      </c>
      <c r="H212" s="221">
        <f t="shared" ref="H212" si="359">F212*Vout</f>
        <v>15.547405857740586</v>
      </c>
      <c r="I212" s="555">
        <f t="shared" ref="I212" si="360">VIN_min</f>
        <v>12</v>
      </c>
      <c r="J212" s="451">
        <f t="shared" ref="J212" si="361">(T212+Vfwd1)*Nps</f>
        <v>23.849999999999994</v>
      </c>
      <c r="K212" s="451">
        <f t="shared" ref="K212" si="362">(Vout+Vfwd1)*Nps+I212</f>
        <v>35.85</v>
      </c>
      <c r="L212" s="451"/>
      <c r="M212" s="221">
        <f t="shared" ref="M212" si="363">(Vout+Vfwd1)*Nps/((Vout+Vfwd1)*Nps+I212)</f>
        <v>0.66527196652719667</v>
      </c>
      <c r="N212" s="176" t="e">
        <f>M212*I212*(Isw_max+VIN_min/Lmag*ILIM_delay)*0.5*Efficiency</f>
        <v>#NAME?</v>
      </c>
      <c r="O212" s="176">
        <f t="shared" ref="O212" si="364">T212*F212</f>
        <v>15.547405857740582</v>
      </c>
      <c r="P212" s="221" t="e">
        <f t="shared" ref="P212" si="365">N212/Vout</f>
        <v>#NAME?</v>
      </c>
      <c r="Q212" s="221" t="e">
        <f t="shared" ref="Q212" si="366">MIN(Vout,N212/F212)</f>
        <v>#NAME?</v>
      </c>
      <c r="R212" s="221"/>
      <c r="S212" s="176">
        <f t="shared" ref="S212" si="367">(SQRT(Isw_max^2*Nps^2*I212^2+4*Isw_max*F212/Efficiency*(Nps^2*Vfwd1*I212-Nps*I212^2)+4*(F212/Efficiency)^2*Nps^2*Vfwd1^2+8*(F212/Efficiency)^2*Nps*Vfwd1*I212+4*(F212/Efficiency)^2*I212^2)-2*F212/Efficiency*I212-2*F212/Efficiency*Nps*Vfwd1+Isw_max*Nps*I212)/(4*F212/Efficiency*Nps)</f>
        <v>14.999999999999996</v>
      </c>
      <c r="T212" s="550">
        <f t="shared" ref="T212" si="368">MIN(Vout, S212)</f>
        <v>14.999999999999996</v>
      </c>
      <c r="U212" s="221">
        <f t="shared" ref="U212" si="369">MIN(2*Vout*F212/(Efficiency*I212*M212), Isw_max)</f>
        <v>4.0999999999999996</v>
      </c>
      <c r="V212" s="221">
        <f t="shared" ref="V212" si="370">L*U212/I212*1000000</f>
        <v>2.3916666666666666</v>
      </c>
      <c r="W212" s="221">
        <f t="shared" ref="W212" si="371">L*U212/J212*1000000</f>
        <v>1.2033542976939204</v>
      </c>
      <c r="X212" s="201">
        <f t="shared" ref="X212" si="372">IF(1/((350000*L)*(1/I212+1/J212))&gt;Isw_min, 350, 0.001/((Isw_min*L)*(1/I212+1/J212)))</f>
        <v>350</v>
      </c>
      <c r="Y212" s="451">
        <f t="shared" ref="Y212" si="373">MIN(1/(V212+W212)*1000, 350)</f>
        <v>278.16249471520422</v>
      </c>
      <c r="AA212" s="221">
        <f t="shared" ref="AA212" si="374">1/((X212*1000*L)*(1/I212+1/J212))</f>
        <v>3.2584749380923919</v>
      </c>
      <c r="AB212" s="177">
        <f t="shared" ref="AB212" si="375">L*AA212/J212*1000000</f>
        <v>0.95636580992229547</v>
      </c>
      <c r="AC212" s="177">
        <f t="shared" ref="AC212" si="376">0.5*AB212*AA212*Nps*X212/1000</f>
        <v>0.81802718111106087</v>
      </c>
      <c r="AD212" s="177"/>
      <c r="AE212" s="177">
        <f t="shared" ref="AE212" si="377">L*Isw_min/J212*1000000</f>
        <v>0.24067085953878409</v>
      </c>
      <c r="AF212" s="559">
        <f>MAX(12000,F212/(0.5*AE212/1000000*Isw_min*Nps))/1000</f>
        <v>7002.7408044552649</v>
      </c>
      <c r="AG212" s="542">
        <f t="shared" ref="AG212" si="378">0.5*AE212/1000000*Isw_min*Nps*X212*1000</f>
        <v>5.1804402515723269E-2</v>
      </c>
      <c r="AI212" s="177">
        <f t="shared" ref="AI212" si="379">SQRT(F212/(0.5*L/J212*Fsw_DCM*Nps))</f>
        <v>3.6678693374903708</v>
      </c>
      <c r="AJ212" s="177">
        <f t="shared" ref="AJ212" si="380">MAX(IF(F212&gt;AC212,U212,AI212),Isw_min)</f>
        <v>4.0999999999999996</v>
      </c>
      <c r="AK212" s="177">
        <f t="shared" ref="AK212" si="381">IF(F212&gt;AG212, (AJ212-Isw_min)/1.08*0.8+1.2, AF212*0.2/350+1)</f>
        <v>3.6296296296296298</v>
      </c>
      <c r="AM212" s="559">
        <f t="shared" ref="AM212" si="382">F212*1000</f>
        <v>1036.4937238493724</v>
      </c>
      <c r="AN212" s="469">
        <f t="shared" ref="AN212" si="383">IF(F212&gt;AG212, Y212, AF212)</f>
        <v>278.16249471520422</v>
      </c>
      <c r="AS212" s="5">
        <f t="shared" ref="AS212" si="384">1/AN212*1000</f>
        <v>3.5950209643605864</v>
      </c>
      <c r="AT212" s="5">
        <f t="shared" ref="AT212" si="385">L*AJ212/I212*1000000</f>
        <v>2.3916666666666666</v>
      </c>
      <c r="AU212" s="5">
        <f t="shared" ref="AU212" si="386">AS212-AT212</f>
        <v>1.2033542976939198</v>
      </c>
      <c r="AV212" s="5"/>
      <c r="AW212" s="177"/>
      <c r="AX212" s="177"/>
      <c r="BA212" s="469"/>
      <c r="BB212" s="469"/>
      <c r="BC212" s="5"/>
      <c r="BD212" s="469"/>
      <c r="CF212" s="576"/>
    </row>
    <row r="213" spans="5:85" x14ac:dyDescent="0.25">
      <c r="H213" s="221"/>
      <c r="I213" s="555"/>
      <c r="J213" s="451"/>
      <c r="K213" s="451"/>
      <c r="L213" s="451"/>
      <c r="M213" s="221"/>
      <c r="N213" s="546">
        <f>M210*I210*Isw_max*0.5*Efficiency</f>
        <v>15.547405857740586</v>
      </c>
      <c r="O213" s="176"/>
      <c r="P213" s="221"/>
      <c r="Q213" s="221"/>
      <c r="R213" s="221"/>
      <c r="S213" s="176"/>
      <c r="T213" s="176"/>
      <c r="U213" s="221"/>
      <c r="V213" s="221"/>
      <c r="W213" s="221"/>
      <c r="X213" s="201"/>
      <c r="Y213" s="451"/>
      <c r="AA213" s="221"/>
      <c r="AB213" s="177"/>
      <c r="AC213" s="177"/>
      <c r="AD213" s="177"/>
      <c r="AE213" s="177"/>
      <c r="AF213" s="559"/>
      <c r="AI213" s="177"/>
      <c r="AJ213" s="177"/>
      <c r="AK213" s="177"/>
      <c r="AM213" s="559"/>
      <c r="AN213" s="469"/>
      <c r="AS213" s="5"/>
      <c r="AT213" s="5"/>
      <c r="AU213" s="5"/>
      <c r="AV213" s="5"/>
      <c r="AW213" s="177"/>
      <c r="AX213" s="177"/>
      <c r="BA213" s="469"/>
      <c r="BB213" s="469"/>
      <c r="BC213" s="5"/>
      <c r="BD213" s="469"/>
      <c r="CD213" s="576"/>
    </row>
    <row r="214" spans="5:85" x14ac:dyDescent="0.25">
      <c r="H214" s="221"/>
      <c r="I214" s="555"/>
      <c r="J214" s="451"/>
      <c r="K214" s="451"/>
      <c r="L214" s="451"/>
      <c r="M214" s="221"/>
      <c r="N214" s="176"/>
      <c r="O214" s="176"/>
      <c r="P214" s="221"/>
      <c r="Q214" s="221"/>
      <c r="R214" s="221"/>
      <c r="S214" s="176"/>
      <c r="T214" s="176"/>
      <c r="U214" s="221"/>
      <c r="V214" s="221"/>
      <c r="W214" s="221"/>
      <c r="X214" s="201"/>
      <c r="Y214" s="451"/>
      <c r="AA214" s="221"/>
      <c r="AB214" s="177"/>
      <c r="AC214" s="177"/>
      <c r="AD214" s="177"/>
      <c r="AE214" s="177"/>
      <c r="AF214" s="559"/>
      <c r="AI214" s="177"/>
      <c r="AJ214" s="177"/>
      <c r="AK214" s="177"/>
      <c r="AM214" s="559"/>
      <c r="AN214" s="469"/>
      <c r="AS214" s="5"/>
      <c r="AT214" s="5"/>
      <c r="AU214" s="5"/>
      <c r="AV214" s="5"/>
      <c r="AW214" s="177"/>
      <c r="AX214" s="177"/>
      <c r="BA214" s="469"/>
      <c r="BB214" s="469"/>
      <c r="BC214" s="5"/>
      <c r="BD214" s="469"/>
      <c r="CD214" s="576"/>
    </row>
    <row r="215" spans="5:85" x14ac:dyDescent="0.25">
      <c r="E215" s="453" t="s">
        <v>446</v>
      </c>
      <c r="H215" s="221"/>
      <c r="I215" s="555"/>
      <c r="J215" s="451"/>
      <c r="K215" s="451"/>
      <c r="L215" s="451"/>
      <c r="M215" s="221"/>
      <c r="N215" s="176"/>
      <c r="O215" s="176"/>
      <c r="P215" s="221"/>
      <c r="Q215" s="221"/>
      <c r="R215" s="221"/>
      <c r="S215" s="176"/>
      <c r="T215" s="176"/>
      <c r="U215" s="221"/>
      <c r="V215" s="221"/>
      <c r="W215" s="221"/>
      <c r="X215" s="201"/>
      <c r="Y215" s="451"/>
      <c r="AA215" s="221"/>
      <c r="AB215" s="177"/>
      <c r="AC215" s="177"/>
      <c r="AD215" s="177"/>
      <c r="AE215" s="177"/>
      <c r="AF215" s="559"/>
      <c r="AI215" s="177"/>
      <c r="AJ215" s="177"/>
      <c r="AK215" s="177"/>
      <c r="AM215" s="559"/>
      <c r="AN215" s="469"/>
      <c r="AS215" s="5"/>
      <c r="AT215" s="5"/>
      <c r="AU215" s="5"/>
      <c r="AV215" s="5"/>
      <c r="AW215" s="177"/>
      <c r="AX215" s="177"/>
      <c r="BA215" s="469"/>
      <c r="BB215" s="469"/>
      <c r="BC215" s="5"/>
      <c r="BD215" s="469"/>
      <c r="CD215" s="576"/>
    </row>
    <row r="216" spans="5:85" ht="45" customHeight="1" thickBot="1" x14ac:dyDescent="0.3">
      <c r="E216" s="245" t="s">
        <v>25</v>
      </c>
      <c r="F216" s="452" t="s">
        <v>195</v>
      </c>
      <c r="G216" s="264"/>
      <c r="H216" s="541" t="s">
        <v>224</v>
      </c>
      <c r="I216" s="246" t="s">
        <v>423</v>
      </c>
      <c r="J216" s="247" t="s">
        <v>429</v>
      </c>
      <c r="K216" s="541" t="s">
        <v>424</v>
      </c>
      <c r="L216" s="541"/>
      <c r="M216" s="248" t="s">
        <v>48</v>
      </c>
      <c r="N216" s="541" t="s">
        <v>413</v>
      </c>
      <c r="O216" s="176"/>
      <c r="P216" s="541" t="s">
        <v>414</v>
      </c>
      <c r="Q216" s="541" t="s">
        <v>444</v>
      </c>
      <c r="R216" s="541"/>
      <c r="S216" s="176"/>
      <c r="T216" s="176"/>
      <c r="U216" s="541" t="s">
        <v>425</v>
      </c>
      <c r="V216" s="541" t="s">
        <v>477</v>
      </c>
      <c r="W216" s="541" t="s">
        <v>476</v>
      </c>
      <c r="X216" s="560" t="s">
        <v>431</v>
      </c>
      <c r="Y216" s="556" t="s">
        <v>436</v>
      </c>
      <c r="AA216" s="249" t="s">
        <v>428</v>
      </c>
      <c r="AB216" s="249" t="s">
        <v>475</v>
      </c>
      <c r="AC216" s="249" t="s">
        <v>434</v>
      </c>
      <c r="AD216" s="558"/>
      <c r="AE216" s="249" t="s">
        <v>718</v>
      </c>
      <c r="AF216" s="249" t="s">
        <v>719</v>
      </c>
      <c r="AG216" s="249" t="s">
        <v>438</v>
      </c>
      <c r="AH216" s="558"/>
      <c r="AI216" s="249" t="s">
        <v>440</v>
      </c>
      <c r="AJ216" s="561" t="s">
        <v>441</v>
      </c>
      <c r="AK216" s="561" t="s">
        <v>442</v>
      </c>
      <c r="AM216" s="557" t="s">
        <v>276</v>
      </c>
      <c r="AN216" s="557" t="s">
        <v>443</v>
      </c>
      <c r="AP216" s="249" t="s">
        <v>276</v>
      </c>
      <c r="AQ216" s="249" t="s">
        <v>443</v>
      </c>
      <c r="AR216" s="562"/>
      <c r="AS216" s="249" t="s">
        <v>478</v>
      </c>
      <c r="AT216" s="249" t="s">
        <v>472</v>
      </c>
      <c r="AU216" s="249" t="s">
        <v>473</v>
      </c>
      <c r="AV216" s="249" t="s">
        <v>674</v>
      </c>
      <c r="AW216" s="249" t="s">
        <v>48</v>
      </c>
      <c r="AX216" s="562" t="s">
        <v>672</v>
      </c>
      <c r="AY216" s="558" t="s">
        <v>671</v>
      </c>
      <c r="AZ216" s="558" t="s">
        <v>673</v>
      </c>
      <c r="BA216" s="249" t="s">
        <v>493</v>
      </c>
      <c r="BB216" s="249" t="s">
        <v>717</v>
      </c>
      <c r="BC216" s="249" t="s">
        <v>527</v>
      </c>
      <c r="BD216" s="249" t="s">
        <v>723</v>
      </c>
      <c r="BE216" s="558"/>
      <c r="BF216" s="571" t="s">
        <v>467</v>
      </c>
      <c r="BG216" s="249" t="s">
        <v>468</v>
      </c>
      <c r="BH216" s="558"/>
      <c r="BI216" s="571" t="s">
        <v>485</v>
      </c>
      <c r="BJ216" s="249" t="s">
        <v>486</v>
      </c>
      <c r="BK216" s="249" t="s">
        <v>484</v>
      </c>
      <c r="BL216" s="249" t="s">
        <v>480</v>
      </c>
      <c r="BM216" s="249" t="s">
        <v>489</v>
      </c>
      <c r="BN216" s="249" t="s">
        <v>503</v>
      </c>
      <c r="BO216" s="571" t="s">
        <v>487</v>
      </c>
      <c r="BP216" s="249" t="s">
        <v>488</v>
      </c>
      <c r="BQ216" s="249" t="s">
        <v>495</v>
      </c>
      <c r="BR216" s="249" t="s">
        <v>499</v>
      </c>
      <c r="BS216" s="571" t="s">
        <v>469</v>
      </c>
      <c r="BT216" s="249" t="s">
        <v>470</v>
      </c>
      <c r="BU216" s="249" t="s">
        <v>479</v>
      </c>
      <c r="BV216" s="249" t="s">
        <v>496</v>
      </c>
      <c r="BW216" s="249" t="s">
        <v>498</v>
      </c>
      <c r="BX216" s="571" t="s">
        <v>494</v>
      </c>
      <c r="BY216" s="249" t="s">
        <v>224</v>
      </c>
      <c r="BZ216" s="249" t="s">
        <v>47</v>
      </c>
      <c r="CA216" s="249" t="s">
        <v>497</v>
      </c>
      <c r="CB216" s="249"/>
      <c r="CD216" s="576"/>
    </row>
    <row r="217" spans="5:85" x14ac:dyDescent="0.25">
      <c r="E217" s="174">
        <v>0.1</v>
      </c>
      <c r="F217" s="221">
        <v>1.0000000000000001E-9</v>
      </c>
      <c r="G217" s="221"/>
      <c r="H217" s="221">
        <f t="shared" ref="H217:H248" si="387">F217*Vout</f>
        <v>1.5000000000000002E-8</v>
      </c>
      <c r="I217" s="555">
        <f t="shared" ref="I217:I248" si="388">VIN_max</f>
        <v>17</v>
      </c>
      <c r="J217" s="451">
        <f t="shared" ref="J217:J248" si="389">(T217+Vfwd1)*Nps</f>
        <v>23.85</v>
      </c>
      <c r="K217" s="451">
        <f t="shared" ref="K217:K248" si="390">(Vout+Vfwd1)*Nps+I217</f>
        <v>40.85</v>
      </c>
      <c r="L217" s="451"/>
      <c r="M217" s="221">
        <f t="shared" ref="M217:M248" si="391">(Vout+Vfwd1)*Nps/((Vout+Vfwd1)*Nps+I217)</f>
        <v>0.58384332925336602</v>
      </c>
      <c r="N217" s="176">
        <f t="shared" ref="N217:N248" si="392">M217*I217*Isw_max*0.5*Efficiency</f>
        <v>19.329593023255811</v>
      </c>
      <c r="O217" s="176">
        <f t="shared" si="344"/>
        <v>1.5000000000000002E-8</v>
      </c>
      <c r="P217" s="221">
        <f t="shared" ref="P217:P248" si="393">N217/Vout</f>
        <v>1.2886395348837207</v>
      </c>
      <c r="Q217" s="221">
        <f t="shared" ref="Q217:Q248" si="394">MIN(Vout,N217/F217)</f>
        <v>15</v>
      </c>
      <c r="R217" s="221"/>
      <c r="S217" s="176">
        <f t="shared" ref="S217:S248" si="395">(SQRT(Isw_max^2*Nps^2*I217^2+4*Isw_max*F217/Efficiency*(Nps^2*Vfwd1*I217-Nps*I217^2)+4*(F217/Efficiency)^2*Nps^2*Vfwd1^2+8*(F217/Efficiency)^2*Nps*Vfwd1*I217+4*(F217/Efficiency)^2*I217^2)-2*F217/Efficiency*I217-2*F217/Efficiency*Nps*Vfwd1+Isw_max*Nps*I217)/(4*F217/Efficiency*Nps)</f>
        <v>33107499988.666664</v>
      </c>
      <c r="T217" s="176">
        <f t="shared" ref="T217:T248" si="396">MIN(Vout, S217)</f>
        <v>15</v>
      </c>
      <c r="U217" s="221">
        <f t="shared" ref="U217:U248" si="397">MIN(2*Vout*F217/(Efficiency*I217*M217), Isw_max)</f>
        <v>3.1816500184979659E-9</v>
      </c>
      <c r="V217" s="221">
        <f t="shared" ref="V217:V248" si="398">L*U217/I217*1000000</f>
        <v>1.3100911840873977E-9</v>
      </c>
      <c r="W217" s="221">
        <f t="shared" ref="W217:W248" si="399">L*U217/J217*1000000</f>
        <v>9.3381761549206536E-10</v>
      </c>
      <c r="X217" s="201">
        <f t="shared" ref="X217:X248" si="400">IF(1/((350000*L)*(1/I217+1/J217))&gt;Isw_min, 350, 0.001/((Isw_min*L)*(1/I217+1/J217)))</f>
        <v>350</v>
      </c>
      <c r="Y217" s="451">
        <f t="shared" ref="Y217:Y276" si="401">MIN(1/(V217+W217)*1000, 350)</f>
        <v>350</v>
      </c>
      <c r="AA217" s="221">
        <f t="shared" ref="AA217:AA248" si="402">1/((X217*1000*L)*(1/I217+1/J217))</f>
        <v>4.0511577948192743</v>
      </c>
      <c r="AB217" s="177">
        <f t="shared" ref="AB217:AB248" si="403">L*AA217/J217*1000000</f>
        <v>1.1890190592760972</v>
      </c>
      <c r="AC217" s="177">
        <f t="shared" ref="AC217:AC248" si="404">0.5*AB217*AA217*Nps*X217/1000</f>
        <v>1.2644372554209482</v>
      </c>
      <c r="AD217" s="177"/>
      <c r="AE217" s="177">
        <f t="shared" ref="AE217:AE248" si="405">L*Isw_min/J217*1000000</f>
        <v>0.24067085953878403</v>
      </c>
      <c r="AF217" s="559">
        <f t="shared" ref="AF217:AF248" si="406">MAX(12000,F217/(0.5*AE217/1000000*Isw_min*Nps))/1000</f>
        <v>12</v>
      </c>
      <c r="AG217" s="542">
        <f t="shared" ref="AG217:AG248" si="407">0.5*AE217/1000000*Isw_min*Nps*X217*1000</f>
        <v>5.1804402515723262E-2</v>
      </c>
      <c r="AI217" s="177">
        <f t="shared" ref="AI217:AI248" si="408">SQRT(F217/(0.5*L/J217*Fsw_DCM*Nps))</f>
        <v>1.1392801164215364E-4</v>
      </c>
      <c r="AJ217" s="177">
        <f t="shared" ref="AJ217:AJ248" si="409">MAX(IF(F217&gt;AC217,U217,AI217),Isw_min)</f>
        <v>0.82</v>
      </c>
      <c r="AK217" s="177">
        <f t="shared" ref="AK217:AK248" si="410">IF(F217&gt;AG217, (AJ217-Isw_min)/1.08*0.8+1.2, AF217*0.2/350+1)</f>
        <v>1.0068571428571429</v>
      </c>
      <c r="AM217" s="559">
        <f t="shared" ref="AM217:AM248" si="411">F217*1000</f>
        <v>1.0000000000000002E-6</v>
      </c>
      <c r="AN217" s="469">
        <f t="shared" ref="AN217:AN248" si="412">IF(F217&gt;AG217, Y217, AF217)</f>
        <v>12</v>
      </c>
      <c r="AP217">
        <f t="shared" ref="AP217:AP248" si="413">IF(H217&gt;N217, "",AM217)</f>
        <v>1.0000000000000002E-6</v>
      </c>
      <c r="AQ217">
        <f t="shared" ref="AQ217:AQ248" si="414">IF(H217&gt;N217, "",AN217)</f>
        <v>12</v>
      </c>
      <c r="AS217" s="5">
        <f t="shared" si="345"/>
        <v>83.333333333333329</v>
      </c>
      <c r="AT217" s="5">
        <f t="shared" ref="AT217:AT248" si="415">L*AJ217/I217*1000000</f>
        <v>0.33764705882352936</v>
      </c>
      <c r="AU217" s="5">
        <f t="shared" si="287"/>
        <v>82.995686274509794</v>
      </c>
      <c r="AV217" s="5"/>
      <c r="AW217" s="177">
        <f t="shared" si="288"/>
        <v>4.0517647058823528E-3</v>
      </c>
      <c r="AX217" s="177"/>
      <c r="BA217" s="469">
        <f t="shared" ref="BA217:BA248" si="416">L*Isw_max^2/(2*Vout_ripple*Vout)*1000000000*((1+M217)/2)^2</f>
        <v>16.399012161831713</v>
      </c>
      <c r="BB217" s="469">
        <f t="shared" ref="BB217:BB248" si="417">L*F217^2/(2*Cout*Vout*Nps^2)*1000000000*((1+M217)/(1-M217))^2+F217*RCoutEsr</f>
        <v>3.0000000341391195E-9</v>
      </c>
      <c r="BC217" s="5">
        <f t="shared" si="289"/>
        <v>1.0278103563406787E-7</v>
      </c>
      <c r="BD217" s="469">
        <f t="shared" ref="BD217:BD248" si="418">((BY217/I217/Efficiency)*AU217/Cin+(BY217/I217/Efficiency)*RCinEsr)*1000</f>
        <v>0</v>
      </c>
      <c r="CD217" s="576">
        <f t="shared" ref="CD217:CD248" si="419">IF(ABS(F217-Ioutmax_Vinmax)&lt;Iout/200, AN217, -50)</f>
        <v>-50</v>
      </c>
      <c r="CE217">
        <f t="shared" ref="CE217:CE248" si="420">IF(ABS(F217-Ioutmax_Vinmin)&lt;Iout/200, N217*BZ217, -50)</f>
        <v>-50</v>
      </c>
    </row>
    <row r="218" spans="5:85" x14ac:dyDescent="0.25">
      <c r="E218" s="174">
        <v>1</v>
      </c>
      <c r="F218" s="221">
        <f t="shared" ref="F218:F249" si="421">IF(PLOT_TYPE=1, E218/100*Iout_max, min_I*EXP(N218*rr/100))</f>
        <v>0.01</v>
      </c>
      <c r="G218" s="221"/>
      <c r="H218" s="221">
        <f t="shared" si="387"/>
        <v>0.15</v>
      </c>
      <c r="I218" s="555">
        <f t="shared" si="388"/>
        <v>17</v>
      </c>
      <c r="J218" s="451">
        <f t="shared" si="389"/>
        <v>23.85</v>
      </c>
      <c r="K218" s="451">
        <f t="shared" si="390"/>
        <v>40.85</v>
      </c>
      <c r="L218" s="451"/>
      <c r="M218" s="221">
        <f t="shared" si="391"/>
        <v>0.58384332925336602</v>
      </c>
      <c r="N218" s="176">
        <f t="shared" si="392"/>
        <v>19.329593023255811</v>
      </c>
      <c r="O218" s="176">
        <f t="shared" si="344"/>
        <v>0.15</v>
      </c>
      <c r="P218" s="221">
        <f t="shared" si="393"/>
        <v>1.2886395348837207</v>
      </c>
      <c r="Q218" s="221">
        <f t="shared" si="394"/>
        <v>15</v>
      </c>
      <c r="R218" s="221"/>
      <c r="S218" s="176">
        <f t="shared" si="395"/>
        <v>3299.4197572762891</v>
      </c>
      <c r="T218" s="176">
        <f t="shared" si="396"/>
        <v>15</v>
      </c>
      <c r="U218" s="221">
        <f t="shared" si="397"/>
        <v>3.1816500184979654E-2</v>
      </c>
      <c r="V218" s="221">
        <f t="shared" si="398"/>
        <v>1.3100911840873974E-2</v>
      </c>
      <c r="W218" s="221">
        <f t="shared" si="399"/>
        <v>9.3381761549206528E-3</v>
      </c>
      <c r="X218" s="201">
        <f t="shared" si="400"/>
        <v>350</v>
      </c>
      <c r="Y218" s="451">
        <f t="shared" si="401"/>
        <v>350</v>
      </c>
      <c r="AA218" s="221">
        <f t="shared" si="402"/>
        <v>4.0511577948192743</v>
      </c>
      <c r="AB218" s="177">
        <f t="shared" si="403"/>
        <v>1.1890190592760972</v>
      </c>
      <c r="AC218" s="177">
        <f t="shared" si="404"/>
        <v>1.2644372554209482</v>
      </c>
      <c r="AD218" s="177"/>
      <c r="AE218" s="177">
        <f t="shared" si="405"/>
        <v>0.24067085953878403</v>
      </c>
      <c r="AF218" s="559">
        <f t="shared" si="406"/>
        <v>67.561825444038433</v>
      </c>
      <c r="AG218" s="542">
        <f t="shared" si="407"/>
        <v>5.1804402515723262E-2</v>
      </c>
      <c r="AI218" s="177">
        <f t="shared" si="408"/>
        <v>0.3602720060833855</v>
      </c>
      <c r="AJ218" s="177">
        <f t="shared" si="409"/>
        <v>0.82</v>
      </c>
      <c r="AK218" s="177">
        <f t="shared" si="410"/>
        <v>1.0386067573965934</v>
      </c>
      <c r="AM218" s="559">
        <f t="shared" si="411"/>
        <v>10</v>
      </c>
      <c r="AN218" s="469">
        <f t="shared" si="412"/>
        <v>67.561825444038433</v>
      </c>
      <c r="AP218">
        <f t="shared" si="413"/>
        <v>10</v>
      </c>
      <c r="AQ218">
        <f t="shared" si="414"/>
        <v>67.561825444038433</v>
      </c>
      <c r="AS218" s="5">
        <f t="shared" si="345"/>
        <v>14.801257861635216</v>
      </c>
      <c r="AT218" s="5">
        <f t="shared" si="415"/>
        <v>0.33764705882352936</v>
      </c>
      <c r="AU218" s="5">
        <f t="shared" si="287"/>
        <v>14.463610802811687</v>
      </c>
      <c r="AV218" s="5"/>
      <c r="AW218" s="177">
        <f t="shared" si="288"/>
        <v>2.2812051649928267E-2</v>
      </c>
      <c r="AX218" s="177"/>
      <c r="BA218" s="469">
        <f t="shared" si="416"/>
        <v>16.399012161831713</v>
      </c>
      <c r="BB218" s="469">
        <f t="shared" si="417"/>
        <v>3.3413911898686983E-2</v>
      </c>
      <c r="BC218" s="5">
        <f t="shared" si="289"/>
        <v>0.17911592325463388</v>
      </c>
      <c r="BD218" s="469">
        <f t="shared" si="418"/>
        <v>0</v>
      </c>
      <c r="CD218" s="576">
        <f t="shared" si="419"/>
        <v>-50</v>
      </c>
      <c r="CE218">
        <f t="shared" si="420"/>
        <v>-50</v>
      </c>
    </row>
    <row r="219" spans="5:85" x14ac:dyDescent="0.25">
      <c r="E219" s="174">
        <v>2</v>
      </c>
      <c r="F219" s="221">
        <f t="shared" si="421"/>
        <v>0.02</v>
      </c>
      <c r="G219" s="221"/>
      <c r="H219" s="221">
        <f t="shared" si="387"/>
        <v>0.3</v>
      </c>
      <c r="I219" s="555">
        <f t="shared" si="388"/>
        <v>17</v>
      </c>
      <c r="J219" s="451">
        <f t="shared" si="389"/>
        <v>23.85</v>
      </c>
      <c r="K219" s="451">
        <f t="shared" si="390"/>
        <v>40.85</v>
      </c>
      <c r="L219" s="451"/>
      <c r="M219" s="221">
        <f t="shared" si="391"/>
        <v>0.58384332925336602</v>
      </c>
      <c r="N219" s="176">
        <f t="shared" si="392"/>
        <v>19.329593023255811</v>
      </c>
      <c r="O219" s="176">
        <f t="shared" si="344"/>
        <v>0.3</v>
      </c>
      <c r="P219" s="221">
        <f t="shared" si="393"/>
        <v>1.2886395348837207</v>
      </c>
      <c r="Q219" s="221">
        <f t="shared" si="394"/>
        <v>15</v>
      </c>
      <c r="R219" s="221"/>
      <c r="S219" s="176">
        <f t="shared" si="395"/>
        <v>1644.0478674710821</v>
      </c>
      <c r="T219" s="176">
        <f t="shared" si="396"/>
        <v>15</v>
      </c>
      <c r="U219" s="221">
        <f t="shared" si="397"/>
        <v>6.3633000369959308E-2</v>
      </c>
      <c r="V219" s="221">
        <f t="shared" si="398"/>
        <v>2.6201823681747949E-2</v>
      </c>
      <c r="W219" s="221">
        <f t="shared" si="399"/>
        <v>1.8676352309841306E-2</v>
      </c>
      <c r="X219" s="201">
        <f t="shared" si="400"/>
        <v>350</v>
      </c>
      <c r="Y219" s="451">
        <f t="shared" si="401"/>
        <v>350</v>
      </c>
      <c r="AA219" s="221">
        <f t="shared" si="402"/>
        <v>4.0511577948192743</v>
      </c>
      <c r="AB219" s="177">
        <f t="shared" si="403"/>
        <v>1.1890190592760972</v>
      </c>
      <c r="AC219" s="177">
        <f t="shared" si="404"/>
        <v>1.2644372554209482</v>
      </c>
      <c r="AD219" s="177"/>
      <c r="AE219" s="177">
        <f t="shared" si="405"/>
        <v>0.24067085953878403</v>
      </c>
      <c r="AF219" s="559">
        <f t="shared" si="406"/>
        <v>135.12365088807687</v>
      </c>
      <c r="AG219" s="542">
        <f t="shared" si="407"/>
        <v>5.1804402515723262E-2</v>
      </c>
      <c r="AI219" s="177">
        <f t="shared" si="408"/>
        <v>0.50950155714648604</v>
      </c>
      <c r="AJ219" s="177">
        <f t="shared" si="409"/>
        <v>0.82</v>
      </c>
      <c r="AK219" s="177">
        <f t="shared" si="410"/>
        <v>1.0772135147931867</v>
      </c>
      <c r="AM219" s="559">
        <f t="shared" si="411"/>
        <v>20</v>
      </c>
      <c r="AN219" s="469">
        <f t="shared" si="412"/>
        <v>135.12365088807687</v>
      </c>
      <c r="AP219">
        <f t="shared" si="413"/>
        <v>20</v>
      </c>
      <c r="AQ219">
        <f t="shared" si="414"/>
        <v>135.12365088807687</v>
      </c>
      <c r="AS219" s="5">
        <f t="shared" si="345"/>
        <v>7.4006289308176081</v>
      </c>
      <c r="AT219" s="5">
        <f t="shared" si="415"/>
        <v>0.33764705882352936</v>
      </c>
      <c r="AU219" s="5">
        <f t="shared" si="287"/>
        <v>7.0629818719940785</v>
      </c>
      <c r="AV219" s="5"/>
      <c r="AW219" s="177">
        <f t="shared" si="288"/>
        <v>4.5624103299856535E-2</v>
      </c>
      <c r="AX219" s="177"/>
      <c r="BA219" s="469">
        <f t="shared" si="416"/>
        <v>16.399012161831713</v>
      </c>
      <c r="BB219" s="469">
        <f t="shared" si="417"/>
        <v>7.365564759474795E-2</v>
      </c>
      <c r="BC219" s="5">
        <f t="shared" si="289"/>
        <v>0.17493453552926508</v>
      </c>
      <c r="BD219" s="469">
        <f t="shared" si="418"/>
        <v>0</v>
      </c>
      <c r="CD219" s="576">
        <f t="shared" si="419"/>
        <v>-50</v>
      </c>
      <c r="CE219">
        <f t="shared" si="420"/>
        <v>-50</v>
      </c>
    </row>
    <row r="220" spans="5:85" x14ac:dyDescent="0.25">
      <c r="E220" s="174">
        <v>3</v>
      </c>
      <c r="F220" s="221">
        <f t="shared" si="421"/>
        <v>0.03</v>
      </c>
      <c r="G220" s="221"/>
      <c r="H220" s="221">
        <f t="shared" si="387"/>
        <v>0.44999999999999996</v>
      </c>
      <c r="I220" s="555">
        <f t="shared" si="388"/>
        <v>17</v>
      </c>
      <c r="J220" s="451">
        <f t="shared" si="389"/>
        <v>23.85</v>
      </c>
      <c r="K220" s="451">
        <f t="shared" si="390"/>
        <v>40.85</v>
      </c>
      <c r="L220" s="451"/>
      <c r="M220" s="221">
        <f t="shared" si="391"/>
        <v>0.58384332925336602</v>
      </c>
      <c r="N220" s="176">
        <f t="shared" si="392"/>
        <v>19.329593023255811</v>
      </c>
      <c r="O220" s="176">
        <f t="shared" si="344"/>
        <v>0.44999999999999996</v>
      </c>
      <c r="P220" s="221">
        <f t="shared" si="393"/>
        <v>1.2886395348837207</v>
      </c>
      <c r="Q220" s="221">
        <f t="shared" si="394"/>
        <v>15</v>
      </c>
      <c r="R220" s="221"/>
      <c r="S220" s="176">
        <f t="shared" si="395"/>
        <v>1092.25933075327</v>
      </c>
      <c r="T220" s="176">
        <f t="shared" si="396"/>
        <v>15</v>
      </c>
      <c r="U220" s="221">
        <f t="shared" si="397"/>
        <v>9.5449500554938962E-2</v>
      </c>
      <c r="V220" s="221">
        <f t="shared" si="398"/>
        <v>3.9302735522621923E-2</v>
      </c>
      <c r="W220" s="221">
        <f t="shared" si="399"/>
        <v>2.8014528464761958E-2</v>
      </c>
      <c r="X220" s="201">
        <f t="shared" si="400"/>
        <v>350</v>
      </c>
      <c r="Y220" s="451">
        <f t="shared" si="401"/>
        <v>350</v>
      </c>
      <c r="AA220" s="221">
        <f t="shared" si="402"/>
        <v>4.0511577948192743</v>
      </c>
      <c r="AB220" s="177">
        <f t="shared" si="403"/>
        <v>1.1890190592760972</v>
      </c>
      <c r="AC220" s="177">
        <f t="shared" si="404"/>
        <v>1.2644372554209482</v>
      </c>
      <c r="AD220" s="177"/>
      <c r="AE220" s="177">
        <f t="shared" si="405"/>
        <v>0.24067085953878403</v>
      </c>
      <c r="AF220" s="559">
        <f t="shared" si="406"/>
        <v>202.68547633211526</v>
      </c>
      <c r="AG220" s="542">
        <f t="shared" si="407"/>
        <v>5.1804402515723262E-2</v>
      </c>
      <c r="AI220" s="177">
        <f t="shared" si="408"/>
        <v>0.62400941908118734</v>
      </c>
      <c r="AJ220" s="177">
        <f t="shared" si="409"/>
        <v>0.82</v>
      </c>
      <c r="AK220" s="177">
        <f t="shared" si="410"/>
        <v>1.1158202721897801</v>
      </c>
      <c r="AM220" s="559">
        <f t="shared" si="411"/>
        <v>30</v>
      </c>
      <c r="AN220" s="469">
        <f t="shared" si="412"/>
        <v>202.68547633211526</v>
      </c>
      <c r="AP220">
        <f t="shared" si="413"/>
        <v>30</v>
      </c>
      <c r="AQ220">
        <f t="shared" si="414"/>
        <v>202.68547633211526</v>
      </c>
      <c r="AS220" s="5">
        <f t="shared" si="345"/>
        <v>4.9337526205450732</v>
      </c>
      <c r="AT220" s="5">
        <f t="shared" si="415"/>
        <v>0.33764705882352936</v>
      </c>
      <c r="AU220" s="5">
        <f t="shared" si="287"/>
        <v>4.5961055617215436</v>
      </c>
      <c r="AV220" s="5"/>
      <c r="AW220" s="177">
        <f t="shared" si="288"/>
        <v>6.8436154949784778E-2</v>
      </c>
      <c r="AX220" s="177"/>
      <c r="BA220" s="469">
        <f t="shared" si="416"/>
        <v>16.399012161831713</v>
      </c>
      <c r="BB220" s="469">
        <f t="shared" si="417"/>
        <v>0.12072520708818288</v>
      </c>
      <c r="BC220" s="5">
        <f t="shared" si="289"/>
        <v>0.17075314780389636</v>
      </c>
      <c r="BD220" s="469">
        <f t="shared" si="418"/>
        <v>0</v>
      </c>
      <c r="CD220" s="576">
        <f t="shared" si="419"/>
        <v>-50</v>
      </c>
      <c r="CE220">
        <f t="shared" si="420"/>
        <v>-50</v>
      </c>
    </row>
    <row r="221" spans="5:85" x14ac:dyDescent="0.25">
      <c r="E221" s="174">
        <v>4</v>
      </c>
      <c r="F221" s="221">
        <f t="shared" si="421"/>
        <v>0.04</v>
      </c>
      <c r="G221" s="221"/>
      <c r="H221" s="221">
        <f t="shared" si="387"/>
        <v>0.6</v>
      </c>
      <c r="I221" s="555">
        <f t="shared" si="388"/>
        <v>17</v>
      </c>
      <c r="J221" s="451">
        <f t="shared" si="389"/>
        <v>23.85</v>
      </c>
      <c r="K221" s="451">
        <f t="shared" si="390"/>
        <v>40.85</v>
      </c>
      <c r="L221" s="451"/>
      <c r="M221" s="221">
        <f t="shared" si="391"/>
        <v>0.58384332925336602</v>
      </c>
      <c r="N221" s="176">
        <f t="shared" si="392"/>
        <v>19.329593023255811</v>
      </c>
      <c r="O221" s="176">
        <f t="shared" si="344"/>
        <v>0.6</v>
      </c>
      <c r="P221" s="221">
        <f t="shared" si="393"/>
        <v>1.2886395348837207</v>
      </c>
      <c r="Q221" s="221">
        <f t="shared" si="394"/>
        <v>15</v>
      </c>
      <c r="R221" s="221"/>
      <c r="S221" s="176">
        <f t="shared" si="395"/>
        <v>816.36664729344102</v>
      </c>
      <c r="T221" s="176">
        <f t="shared" si="396"/>
        <v>15</v>
      </c>
      <c r="U221" s="221">
        <f t="shared" si="397"/>
        <v>0.12726600073991862</v>
      </c>
      <c r="V221" s="221">
        <f t="shared" si="398"/>
        <v>5.2403647363495898E-2</v>
      </c>
      <c r="W221" s="221">
        <f t="shared" si="399"/>
        <v>3.7352704619682611E-2</v>
      </c>
      <c r="X221" s="201">
        <f t="shared" si="400"/>
        <v>350</v>
      </c>
      <c r="Y221" s="451">
        <f t="shared" si="401"/>
        <v>350</v>
      </c>
      <c r="AA221" s="221">
        <f t="shared" si="402"/>
        <v>4.0511577948192743</v>
      </c>
      <c r="AB221" s="177">
        <f t="shared" si="403"/>
        <v>1.1890190592760972</v>
      </c>
      <c r="AC221" s="177">
        <f t="shared" si="404"/>
        <v>1.2644372554209482</v>
      </c>
      <c r="AD221" s="177"/>
      <c r="AE221" s="177">
        <f t="shared" si="405"/>
        <v>0.24067085953878403</v>
      </c>
      <c r="AF221" s="559">
        <f t="shared" si="406"/>
        <v>270.24730177615373</v>
      </c>
      <c r="AG221" s="542">
        <f t="shared" si="407"/>
        <v>5.1804402515723262E-2</v>
      </c>
      <c r="AI221" s="177">
        <f t="shared" si="408"/>
        <v>0.720544012166771</v>
      </c>
      <c r="AJ221" s="177">
        <f t="shared" si="409"/>
        <v>0.82</v>
      </c>
      <c r="AK221" s="177">
        <f t="shared" si="410"/>
        <v>1.1544270295863737</v>
      </c>
      <c r="AM221" s="559">
        <f t="shared" si="411"/>
        <v>40</v>
      </c>
      <c r="AN221" s="469">
        <f t="shared" si="412"/>
        <v>270.24730177615373</v>
      </c>
      <c r="AP221">
        <f t="shared" si="413"/>
        <v>40</v>
      </c>
      <c r="AQ221">
        <f t="shared" si="414"/>
        <v>270.24730177615373</v>
      </c>
      <c r="AS221" s="5">
        <f t="shared" si="345"/>
        <v>3.700314465408804</v>
      </c>
      <c r="AT221" s="5">
        <f t="shared" si="415"/>
        <v>0.33764705882352936</v>
      </c>
      <c r="AU221" s="5">
        <f t="shared" si="287"/>
        <v>3.3626674065852749</v>
      </c>
      <c r="AV221" s="5"/>
      <c r="AW221" s="177">
        <f t="shared" si="288"/>
        <v>9.1248206599713069E-2</v>
      </c>
      <c r="AX221" s="177"/>
      <c r="BA221" s="469">
        <f t="shared" si="416"/>
        <v>16.399012161831713</v>
      </c>
      <c r="BB221" s="469">
        <f t="shared" si="417"/>
        <v>0.17462259037899178</v>
      </c>
      <c r="BC221" s="5">
        <f t="shared" si="289"/>
        <v>0.16657176007852756</v>
      </c>
      <c r="BD221" s="469">
        <f t="shared" si="418"/>
        <v>0</v>
      </c>
      <c r="CD221" s="576">
        <f t="shared" si="419"/>
        <v>-50</v>
      </c>
      <c r="CE221">
        <f t="shared" si="420"/>
        <v>-50</v>
      </c>
    </row>
    <row r="222" spans="5:85" x14ac:dyDescent="0.25">
      <c r="E222" s="174">
        <v>5</v>
      </c>
      <c r="F222" s="221">
        <f t="shared" si="421"/>
        <v>0.05</v>
      </c>
      <c r="G222" s="221"/>
      <c r="H222" s="221">
        <f t="shared" si="387"/>
        <v>0.75</v>
      </c>
      <c r="I222" s="555">
        <f t="shared" si="388"/>
        <v>17</v>
      </c>
      <c r="J222" s="451">
        <f t="shared" si="389"/>
        <v>23.85</v>
      </c>
      <c r="K222" s="451">
        <f t="shared" si="390"/>
        <v>40.85</v>
      </c>
      <c r="L222" s="451"/>
      <c r="M222" s="221">
        <f t="shared" si="391"/>
        <v>0.58384332925336602</v>
      </c>
      <c r="N222" s="176">
        <f t="shared" si="392"/>
        <v>19.329593023255811</v>
      </c>
      <c r="O222" s="176">
        <f t="shared" si="344"/>
        <v>0.75</v>
      </c>
      <c r="P222" s="221">
        <f t="shared" si="393"/>
        <v>1.2886395348837207</v>
      </c>
      <c r="Q222" s="221">
        <f t="shared" si="394"/>
        <v>15</v>
      </c>
      <c r="R222" s="221"/>
      <c r="S222" s="176">
        <f t="shared" si="395"/>
        <v>650.83231726389772</v>
      </c>
      <c r="T222" s="176">
        <f t="shared" si="396"/>
        <v>15</v>
      </c>
      <c r="U222" s="221">
        <f t="shared" si="397"/>
        <v>0.15908250092489828</v>
      </c>
      <c r="V222" s="221">
        <f t="shared" si="398"/>
        <v>6.5504559204369872E-2</v>
      </c>
      <c r="W222" s="221">
        <f t="shared" si="399"/>
        <v>4.6690880774603268E-2</v>
      </c>
      <c r="X222" s="201">
        <f t="shared" si="400"/>
        <v>350</v>
      </c>
      <c r="Y222" s="451">
        <f t="shared" si="401"/>
        <v>350</v>
      </c>
      <c r="AA222" s="221">
        <f t="shared" si="402"/>
        <v>4.0511577948192743</v>
      </c>
      <c r="AB222" s="177">
        <f t="shared" si="403"/>
        <v>1.1890190592760972</v>
      </c>
      <c r="AC222" s="177">
        <f t="shared" si="404"/>
        <v>1.2644372554209482</v>
      </c>
      <c r="AD222" s="177"/>
      <c r="AE222" s="177">
        <f t="shared" si="405"/>
        <v>0.24067085953878403</v>
      </c>
      <c r="AF222" s="559">
        <f t="shared" si="406"/>
        <v>337.80912722019218</v>
      </c>
      <c r="AG222" s="542">
        <f t="shared" si="407"/>
        <v>5.1804402515723262E-2</v>
      </c>
      <c r="AI222" s="177">
        <f t="shared" si="408"/>
        <v>0.80559269599266781</v>
      </c>
      <c r="AJ222" s="177">
        <f t="shared" si="409"/>
        <v>0.82</v>
      </c>
      <c r="AK222" s="177">
        <f t="shared" si="410"/>
        <v>1.193033786982967</v>
      </c>
      <c r="AM222" s="559">
        <f t="shared" si="411"/>
        <v>50</v>
      </c>
      <c r="AN222" s="469">
        <f t="shared" si="412"/>
        <v>337.80912722019218</v>
      </c>
      <c r="AP222">
        <f t="shared" si="413"/>
        <v>50</v>
      </c>
      <c r="AQ222">
        <f t="shared" si="414"/>
        <v>337.80912722019218</v>
      </c>
      <c r="AS222" s="5">
        <f t="shared" si="345"/>
        <v>2.9602515723270431</v>
      </c>
      <c r="AT222" s="5">
        <f t="shared" si="415"/>
        <v>0.33764705882352936</v>
      </c>
      <c r="AU222" s="5">
        <f t="shared" si="287"/>
        <v>2.6226045135035139</v>
      </c>
      <c r="AV222" s="5"/>
      <c r="AW222" s="177">
        <f t="shared" si="288"/>
        <v>0.11406025824964133</v>
      </c>
      <c r="AX222" s="177"/>
      <c r="BA222" s="469">
        <f t="shared" si="416"/>
        <v>16.399012161831713</v>
      </c>
      <c r="BB222" s="469">
        <f t="shared" si="417"/>
        <v>0.23534779746717471</v>
      </c>
      <c r="BC222" s="5">
        <f t="shared" si="289"/>
        <v>0.16239037235315876</v>
      </c>
      <c r="BD222" s="469">
        <f t="shared" si="418"/>
        <v>0</v>
      </c>
      <c r="CD222" s="576">
        <f t="shared" si="419"/>
        <v>-50</v>
      </c>
      <c r="CE222">
        <f t="shared" si="420"/>
        <v>-50</v>
      </c>
    </row>
    <row r="223" spans="5:85" x14ac:dyDescent="0.25">
      <c r="E223" s="174">
        <v>6</v>
      </c>
      <c r="F223" s="221">
        <f t="shared" si="421"/>
        <v>0.06</v>
      </c>
      <c r="G223" s="221"/>
      <c r="H223" s="221">
        <f t="shared" si="387"/>
        <v>0.89999999999999991</v>
      </c>
      <c r="I223" s="555">
        <f t="shared" si="388"/>
        <v>17</v>
      </c>
      <c r="J223" s="451">
        <f t="shared" si="389"/>
        <v>23.85</v>
      </c>
      <c r="K223" s="451">
        <f t="shared" si="390"/>
        <v>40.85</v>
      </c>
      <c r="L223" s="451"/>
      <c r="M223" s="221">
        <f t="shared" si="391"/>
        <v>0.58384332925336602</v>
      </c>
      <c r="N223" s="176">
        <f t="shared" si="392"/>
        <v>19.329593023255811</v>
      </c>
      <c r="O223" s="176">
        <f t="shared" si="344"/>
        <v>0.89999999999999991</v>
      </c>
      <c r="P223" s="221">
        <f t="shared" si="393"/>
        <v>1.2886395348837207</v>
      </c>
      <c r="Q223" s="221">
        <f t="shared" si="394"/>
        <v>15</v>
      </c>
      <c r="R223" s="221"/>
      <c r="S223" s="176">
        <f t="shared" si="395"/>
        <v>540.47717417200658</v>
      </c>
      <c r="T223" s="176">
        <f t="shared" si="396"/>
        <v>15</v>
      </c>
      <c r="U223" s="221">
        <f t="shared" si="397"/>
        <v>0.19089900110987792</v>
      </c>
      <c r="V223" s="221">
        <f t="shared" si="398"/>
        <v>7.8605471045243847E-2</v>
      </c>
      <c r="W223" s="221">
        <f t="shared" si="399"/>
        <v>5.6029056929523917E-2</v>
      </c>
      <c r="X223" s="201">
        <f t="shared" si="400"/>
        <v>350</v>
      </c>
      <c r="Y223" s="451">
        <f t="shared" si="401"/>
        <v>350</v>
      </c>
      <c r="AA223" s="221">
        <f t="shared" si="402"/>
        <v>4.0511577948192743</v>
      </c>
      <c r="AB223" s="177">
        <f t="shared" si="403"/>
        <v>1.1890190592760972</v>
      </c>
      <c r="AC223" s="177">
        <f t="shared" si="404"/>
        <v>1.2644372554209482</v>
      </c>
      <c r="AD223" s="177"/>
      <c r="AE223" s="177">
        <f t="shared" si="405"/>
        <v>0.24067085953878403</v>
      </c>
      <c r="AF223" s="559">
        <f t="shared" si="406"/>
        <v>405.37095266423051</v>
      </c>
      <c r="AG223" s="542">
        <f t="shared" si="407"/>
        <v>5.1804402515723262E-2</v>
      </c>
      <c r="AI223" s="177">
        <f t="shared" si="408"/>
        <v>0.88248258351317155</v>
      </c>
      <c r="AJ223" s="177">
        <f t="shared" si="409"/>
        <v>0.88248258351317155</v>
      </c>
      <c r="AK223" s="177">
        <f t="shared" si="410"/>
        <v>1.2462833951949419</v>
      </c>
      <c r="AM223" s="559">
        <f t="shared" si="411"/>
        <v>60</v>
      </c>
      <c r="AN223" s="469">
        <f t="shared" si="412"/>
        <v>350</v>
      </c>
      <c r="AP223">
        <f t="shared" si="413"/>
        <v>60</v>
      </c>
      <c r="AQ223">
        <f t="shared" si="414"/>
        <v>350</v>
      </c>
      <c r="AS223" s="5">
        <f t="shared" si="345"/>
        <v>2.8571428571428572</v>
      </c>
      <c r="AT223" s="5">
        <f t="shared" si="415"/>
        <v>0.36337518144660003</v>
      </c>
      <c r="AU223" s="5">
        <f t="shared" si="287"/>
        <v>2.4937676756962572</v>
      </c>
      <c r="AV223" s="5"/>
      <c r="AW223" s="177">
        <f t="shared" si="288"/>
        <v>0.12718131350631001</v>
      </c>
      <c r="AX223" s="177"/>
      <c r="BA223" s="469">
        <f t="shared" si="416"/>
        <v>16.399012161831713</v>
      </c>
      <c r="BB223" s="469">
        <f t="shared" si="417"/>
        <v>0.30290082835273147</v>
      </c>
      <c r="BC223" s="5">
        <f t="shared" si="289"/>
        <v>0.1852954310114866</v>
      </c>
      <c r="BD223" s="469">
        <f t="shared" si="418"/>
        <v>0</v>
      </c>
      <c r="CD223" s="576">
        <f t="shared" si="419"/>
        <v>-50</v>
      </c>
      <c r="CE223">
        <f t="shared" si="420"/>
        <v>-50</v>
      </c>
    </row>
    <row r="224" spans="5:85" x14ac:dyDescent="0.25">
      <c r="E224" s="174">
        <v>7</v>
      </c>
      <c r="F224" s="221">
        <f t="shared" si="421"/>
        <v>7.0000000000000007E-2</v>
      </c>
      <c r="G224" s="221"/>
      <c r="H224" s="221">
        <f t="shared" si="387"/>
        <v>1.05</v>
      </c>
      <c r="I224" s="555">
        <f t="shared" si="388"/>
        <v>17</v>
      </c>
      <c r="J224" s="451">
        <f t="shared" si="389"/>
        <v>23.85</v>
      </c>
      <c r="K224" s="451">
        <f t="shared" si="390"/>
        <v>40.85</v>
      </c>
      <c r="L224" s="451"/>
      <c r="M224" s="221">
        <f t="shared" si="391"/>
        <v>0.58384332925336602</v>
      </c>
      <c r="N224" s="176">
        <f t="shared" si="392"/>
        <v>19.329593023255811</v>
      </c>
      <c r="O224" s="176">
        <f t="shared" si="344"/>
        <v>1.05</v>
      </c>
      <c r="P224" s="221">
        <f t="shared" si="393"/>
        <v>1.2886395348837207</v>
      </c>
      <c r="Q224" s="221">
        <f t="shared" si="394"/>
        <v>15</v>
      </c>
      <c r="R224" s="221"/>
      <c r="S224" s="176">
        <f t="shared" si="395"/>
        <v>461.65300390783426</v>
      </c>
      <c r="T224" s="176">
        <f t="shared" si="396"/>
        <v>15</v>
      </c>
      <c r="U224" s="221">
        <f t="shared" si="397"/>
        <v>0.22271550129485759</v>
      </c>
      <c r="V224" s="221">
        <f t="shared" si="398"/>
        <v>9.1706382886117835E-2</v>
      </c>
      <c r="W224" s="221">
        <f t="shared" si="399"/>
        <v>6.5367233084444573E-2</v>
      </c>
      <c r="X224" s="201">
        <f t="shared" si="400"/>
        <v>350</v>
      </c>
      <c r="Y224" s="451">
        <f t="shared" si="401"/>
        <v>350</v>
      </c>
      <c r="AA224" s="221">
        <f t="shared" si="402"/>
        <v>4.0511577948192743</v>
      </c>
      <c r="AB224" s="177">
        <f t="shared" si="403"/>
        <v>1.1890190592760972</v>
      </c>
      <c r="AC224" s="177">
        <f t="shared" si="404"/>
        <v>1.2644372554209482</v>
      </c>
      <c r="AD224" s="177"/>
      <c r="AE224" s="177">
        <f t="shared" si="405"/>
        <v>0.24067085953878403</v>
      </c>
      <c r="AF224" s="559">
        <f t="shared" si="406"/>
        <v>472.93277810826902</v>
      </c>
      <c r="AG224" s="542">
        <f t="shared" si="407"/>
        <v>5.1804402515723262E-2</v>
      </c>
      <c r="AI224" s="177">
        <f t="shared" si="408"/>
        <v>0.9531901324349874</v>
      </c>
      <c r="AJ224" s="177">
        <f t="shared" si="409"/>
        <v>0.9531901324349874</v>
      </c>
      <c r="AK224" s="177">
        <f t="shared" si="410"/>
        <v>1.29865935735925</v>
      </c>
      <c r="AM224" s="559">
        <f t="shared" si="411"/>
        <v>70</v>
      </c>
      <c r="AN224" s="469">
        <f t="shared" si="412"/>
        <v>350</v>
      </c>
      <c r="AP224">
        <f t="shared" si="413"/>
        <v>70</v>
      </c>
      <c r="AQ224">
        <f t="shared" si="414"/>
        <v>350</v>
      </c>
      <c r="AS224" s="5">
        <f t="shared" si="345"/>
        <v>2.8571428571428572</v>
      </c>
      <c r="AT224" s="5">
        <f t="shared" si="415"/>
        <v>0.39249005453205366</v>
      </c>
      <c r="AU224" s="5">
        <f t="shared" si="287"/>
        <v>2.4646528026108037</v>
      </c>
      <c r="AV224" s="5"/>
      <c r="AW224" s="177">
        <f t="shared" si="288"/>
        <v>0.13737151908621878</v>
      </c>
      <c r="AX224" s="177"/>
      <c r="BA224" s="469">
        <f t="shared" si="416"/>
        <v>16.399012161831713</v>
      </c>
      <c r="BB224" s="469">
        <f t="shared" si="417"/>
        <v>0.37728168303566234</v>
      </c>
      <c r="BC224" s="5">
        <f t="shared" si="289"/>
        <v>0.21365411291982198</v>
      </c>
      <c r="BD224" s="469">
        <f t="shared" si="418"/>
        <v>0</v>
      </c>
      <c r="CD224" s="576">
        <f t="shared" si="419"/>
        <v>-50</v>
      </c>
      <c r="CE224">
        <f t="shared" si="420"/>
        <v>-50</v>
      </c>
    </row>
    <row r="225" spans="5:83" x14ac:dyDescent="0.25">
      <c r="E225" s="174">
        <v>8</v>
      </c>
      <c r="F225" s="221">
        <f t="shared" si="421"/>
        <v>0.08</v>
      </c>
      <c r="G225" s="221"/>
      <c r="H225" s="221">
        <f t="shared" si="387"/>
        <v>1.2</v>
      </c>
      <c r="I225" s="555">
        <f t="shared" si="388"/>
        <v>17</v>
      </c>
      <c r="J225" s="451">
        <f t="shared" si="389"/>
        <v>23.85</v>
      </c>
      <c r="K225" s="451">
        <f t="shared" si="390"/>
        <v>40.85</v>
      </c>
      <c r="L225" s="451"/>
      <c r="M225" s="221">
        <f t="shared" si="391"/>
        <v>0.58384332925336602</v>
      </c>
      <c r="N225" s="176">
        <f t="shared" si="392"/>
        <v>19.329593023255811</v>
      </c>
      <c r="O225" s="176">
        <f t="shared" si="344"/>
        <v>1.2</v>
      </c>
      <c r="P225" s="221">
        <f t="shared" si="393"/>
        <v>1.2886395348837207</v>
      </c>
      <c r="Q225" s="221">
        <f t="shared" si="394"/>
        <v>15</v>
      </c>
      <c r="R225" s="221"/>
      <c r="S225" s="176">
        <f t="shared" si="395"/>
        <v>402.53569950606953</v>
      </c>
      <c r="T225" s="176">
        <f t="shared" si="396"/>
        <v>15</v>
      </c>
      <c r="U225" s="221">
        <f t="shared" si="397"/>
        <v>0.25453200147983723</v>
      </c>
      <c r="V225" s="221">
        <f t="shared" si="398"/>
        <v>0.1048072947269918</v>
      </c>
      <c r="W225" s="221">
        <f t="shared" si="399"/>
        <v>7.4705409239365222E-2</v>
      </c>
      <c r="X225" s="201">
        <f t="shared" si="400"/>
        <v>350</v>
      </c>
      <c r="Y225" s="451">
        <f t="shared" si="401"/>
        <v>350</v>
      </c>
      <c r="AA225" s="221">
        <f t="shared" si="402"/>
        <v>4.0511577948192743</v>
      </c>
      <c r="AB225" s="177">
        <f t="shared" si="403"/>
        <v>1.1890190592760972</v>
      </c>
      <c r="AC225" s="177">
        <f t="shared" si="404"/>
        <v>1.2644372554209482</v>
      </c>
      <c r="AD225" s="177"/>
      <c r="AE225" s="177">
        <f t="shared" si="405"/>
        <v>0.24067085953878403</v>
      </c>
      <c r="AF225" s="559">
        <f t="shared" si="406"/>
        <v>540.49460355230747</v>
      </c>
      <c r="AG225" s="542">
        <f t="shared" si="407"/>
        <v>5.1804402515723262E-2</v>
      </c>
      <c r="AI225" s="177">
        <f t="shared" si="408"/>
        <v>1.0190031142929721</v>
      </c>
      <c r="AJ225" s="177">
        <f t="shared" si="409"/>
        <v>1.0190031142929721</v>
      </c>
      <c r="AK225" s="177">
        <f t="shared" si="410"/>
        <v>1.3474097142910904</v>
      </c>
      <c r="AM225" s="559">
        <f t="shared" si="411"/>
        <v>80</v>
      </c>
      <c r="AN225" s="469">
        <f t="shared" si="412"/>
        <v>350</v>
      </c>
      <c r="AP225">
        <f t="shared" si="413"/>
        <v>80</v>
      </c>
      <c r="AQ225">
        <f t="shared" si="414"/>
        <v>350</v>
      </c>
      <c r="AS225" s="5">
        <f t="shared" si="345"/>
        <v>2.8571428571428572</v>
      </c>
      <c r="AT225" s="5">
        <f t="shared" si="415"/>
        <v>0.41958951765004732</v>
      </c>
      <c r="AU225" s="5">
        <f t="shared" si="287"/>
        <v>2.4375533394928097</v>
      </c>
      <c r="AV225" s="5"/>
      <c r="AW225" s="177">
        <f t="shared" si="288"/>
        <v>0.14685633117751656</v>
      </c>
      <c r="AX225" s="177"/>
      <c r="BA225" s="469">
        <f t="shared" si="416"/>
        <v>16.399012161831713</v>
      </c>
      <c r="BB225" s="469">
        <f t="shared" si="417"/>
        <v>0.45849036151596712</v>
      </c>
      <c r="BC225" s="5">
        <f t="shared" si="289"/>
        <v>0.24149135251941148</v>
      </c>
      <c r="BD225" s="469">
        <f t="shared" si="418"/>
        <v>0</v>
      </c>
      <c r="CD225" s="576">
        <f t="shared" si="419"/>
        <v>-50</v>
      </c>
      <c r="CE225">
        <f t="shared" si="420"/>
        <v>-50</v>
      </c>
    </row>
    <row r="226" spans="5:83" x14ac:dyDescent="0.25">
      <c r="E226" s="174">
        <v>9</v>
      </c>
      <c r="F226" s="221">
        <f t="shared" si="421"/>
        <v>0.09</v>
      </c>
      <c r="G226" s="221"/>
      <c r="H226" s="221">
        <f t="shared" si="387"/>
        <v>1.3499999999999999</v>
      </c>
      <c r="I226" s="555">
        <f t="shared" si="388"/>
        <v>17</v>
      </c>
      <c r="J226" s="451">
        <f t="shared" si="389"/>
        <v>23.85</v>
      </c>
      <c r="K226" s="451">
        <f t="shared" si="390"/>
        <v>40.85</v>
      </c>
      <c r="L226" s="451"/>
      <c r="M226" s="221">
        <f t="shared" si="391"/>
        <v>0.58384332925336602</v>
      </c>
      <c r="N226" s="176">
        <f t="shared" si="392"/>
        <v>19.329593023255811</v>
      </c>
      <c r="O226" s="176">
        <f t="shared" si="344"/>
        <v>1.3499999999999999</v>
      </c>
      <c r="P226" s="221">
        <f t="shared" si="393"/>
        <v>1.2886395348837207</v>
      </c>
      <c r="Q226" s="221">
        <f t="shared" si="394"/>
        <v>15</v>
      </c>
      <c r="R226" s="221"/>
      <c r="S226" s="176">
        <f t="shared" si="395"/>
        <v>356.556312733342</v>
      </c>
      <c r="T226" s="176">
        <f t="shared" si="396"/>
        <v>15</v>
      </c>
      <c r="U226" s="221">
        <f t="shared" si="397"/>
        <v>0.28634850166481685</v>
      </c>
      <c r="V226" s="221">
        <f t="shared" si="398"/>
        <v>0.11790820656786574</v>
      </c>
      <c r="W226" s="221">
        <f t="shared" si="399"/>
        <v>8.4043585394285858E-2</v>
      </c>
      <c r="X226" s="201">
        <f t="shared" si="400"/>
        <v>350</v>
      </c>
      <c r="Y226" s="451">
        <f t="shared" si="401"/>
        <v>350</v>
      </c>
      <c r="AA226" s="221">
        <f t="shared" si="402"/>
        <v>4.0511577948192743</v>
      </c>
      <c r="AB226" s="177">
        <f t="shared" si="403"/>
        <v>1.1890190592760972</v>
      </c>
      <c r="AC226" s="177">
        <f t="shared" si="404"/>
        <v>1.2644372554209482</v>
      </c>
      <c r="AD226" s="177"/>
      <c r="AE226" s="177">
        <f t="shared" si="405"/>
        <v>0.24067085953878403</v>
      </c>
      <c r="AF226" s="559">
        <f t="shared" si="406"/>
        <v>608.05642899634586</v>
      </c>
      <c r="AG226" s="542">
        <f t="shared" si="407"/>
        <v>5.1804402515723262E-2</v>
      </c>
      <c r="AI226" s="177">
        <f t="shared" si="408"/>
        <v>1.0808160182501565</v>
      </c>
      <c r="AJ226" s="177">
        <f t="shared" si="409"/>
        <v>1.0808160182501565</v>
      </c>
      <c r="AK226" s="177">
        <f t="shared" si="410"/>
        <v>1.3931970505556714</v>
      </c>
      <c r="AM226" s="559">
        <f t="shared" si="411"/>
        <v>90</v>
      </c>
      <c r="AN226" s="469">
        <f t="shared" si="412"/>
        <v>350</v>
      </c>
      <c r="AP226">
        <f t="shared" si="413"/>
        <v>90</v>
      </c>
      <c r="AQ226">
        <f t="shared" si="414"/>
        <v>350</v>
      </c>
      <c r="AS226" s="5">
        <f t="shared" si="345"/>
        <v>2.8571428571428572</v>
      </c>
      <c r="AT226" s="5">
        <f t="shared" si="415"/>
        <v>0.44504188986771148</v>
      </c>
      <c r="AU226" s="5">
        <f t="shared" si="287"/>
        <v>2.4121009672751459</v>
      </c>
      <c r="AV226" s="5"/>
      <c r="AW226" s="177">
        <f t="shared" si="288"/>
        <v>0.15576466145369902</v>
      </c>
      <c r="AX226" s="177"/>
      <c r="BA226" s="469">
        <f t="shared" si="416"/>
        <v>16.399012161831713</v>
      </c>
      <c r="BB226" s="469">
        <f t="shared" si="417"/>
        <v>0.54652686379364601</v>
      </c>
      <c r="BC226" s="5">
        <f t="shared" si="289"/>
        <v>0.26884097468082119</v>
      </c>
      <c r="BD226" s="469">
        <f t="shared" si="418"/>
        <v>0</v>
      </c>
      <c r="CD226" s="576">
        <f t="shared" si="419"/>
        <v>-50</v>
      </c>
      <c r="CE226">
        <f t="shared" si="420"/>
        <v>-50</v>
      </c>
    </row>
    <row r="227" spans="5:83" x14ac:dyDescent="0.25">
      <c r="E227" s="174">
        <v>10</v>
      </c>
      <c r="F227" s="221">
        <f t="shared" si="421"/>
        <v>0.1</v>
      </c>
      <c r="G227" s="221"/>
      <c r="H227" s="221">
        <f t="shared" si="387"/>
        <v>1.5</v>
      </c>
      <c r="I227" s="555">
        <f t="shared" si="388"/>
        <v>17</v>
      </c>
      <c r="J227" s="451">
        <f t="shared" si="389"/>
        <v>23.85</v>
      </c>
      <c r="K227" s="451">
        <f t="shared" si="390"/>
        <v>40.85</v>
      </c>
      <c r="L227" s="451"/>
      <c r="M227" s="221">
        <f t="shared" si="391"/>
        <v>0.58384332925336602</v>
      </c>
      <c r="N227" s="176">
        <f t="shared" si="392"/>
        <v>19.329593023255811</v>
      </c>
      <c r="O227" s="176">
        <f t="shared" si="344"/>
        <v>1.5</v>
      </c>
      <c r="P227" s="221">
        <f t="shared" si="393"/>
        <v>1.2886395348837207</v>
      </c>
      <c r="Q227" s="221">
        <f t="shared" si="394"/>
        <v>15</v>
      </c>
      <c r="R227" s="221"/>
      <c r="S227" s="176">
        <f t="shared" si="395"/>
        <v>319.77347472316018</v>
      </c>
      <c r="T227" s="176">
        <f t="shared" si="396"/>
        <v>15</v>
      </c>
      <c r="U227" s="221">
        <f t="shared" si="397"/>
        <v>0.31816500184979657</v>
      </c>
      <c r="V227" s="221">
        <f t="shared" si="398"/>
        <v>0.13100911840873974</v>
      </c>
      <c r="W227" s="221">
        <f t="shared" si="399"/>
        <v>9.3381761549206535E-2</v>
      </c>
      <c r="X227" s="201">
        <f t="shared" si="400"/>
        <v>350</v>
      </c>
      <c r="Y227" s="451">
        <f t="shared" si="401"/>
        <v>350</v>
      </c>
      <c r="AA227" s="221">
        <f t="shared" si="402"/>
        <v>4.0511577948192743</v>
      </c>
      <c r="AB227" s="177">
        <f t="shared" si="403"/>
        <v>1.1890190592760972</v>
      </c>
      <c r="AC227" s="177">
        <f t="shared" si="404"/>
        <v>1.2644372554209482</v>
      </c>
      <c r="AD227" s="177"/>
      <c r="AE227" s="177">
        <f t="shared" si="405"/>
        <v>0.24067085953878403</v>
      </c>
      <c r="AF227" s="559">
        <f t="shared" si="406"/>
        <v>675.61825444038436</v>
      </c>
      <c r="AG227" s="542">
        <f t="shared" si="407"/>
        <v>5.1804402515723262E-2</v>
      </c>
      <c r="AI227" s="177">
        <f t="shared" si="408"/>
        <v>1.1392801164215365</v>
      </c>
      <c r="AJ227" s="177">
        <f t="shared" si="409"/>
        <v>1.1392801164215365</v>
      </c>
      <c r="AK227" s="177">
        <f t="shared" si="410"/>
        <v>1.4365037899418789</v>
      </c>
      <c r="AM227" s="559">
        <f t="shared" si="411"/>
        <v>100</v>
      </c>
      <c r="AN227" s="469">
        <f t="shared" si="412"/>
        <v>350</v>
      </c>
      <c r="AP227">
        <f t="shared" si="413"/>
        <v>100</v>
      </c>
      <c r="AQ227">
        <f t="shared" si="414"/>
        <v>350</v>
      </c>
      <c r="AS227" s="5">
        <f t="shared" si="345"/>
        <v>2.8571428571428572</v>
      </c>
      <c r="AT227" s="5">
        <f t="shared" si="415"/>
        <v>0.46911534205592681</v>
      </c>
      <c r="AU227" s="5">
        <f t="shared" si="287"/>
        <v>2.3880275150869306</v>
      </c>
      <c r="AV227" s="5"/>
      <c r="AW227" s="177">
        <f t="shared" si="288"/>
        <v>0.16419036971957437</v>
      </c>
      <c r="AX227" s="177"/>
      <c r="BA227" s="469">
        <f t="shared" si="416"/>
        <v>16.399012161831713</v>
      </c>
      <c r="BB227" s="469">
        <f t="shared" si="417"/>
        <v>0.64139118986869881</v>
      </c>
      <c r="BC227" s="5">
        <f t="shared" si="289"/>
        <v>0.29573096162067253</v>
      </c>
      <c r="BD227" s="469">
        <f t="shared" si="418"/>
        <v>0</v>
      </c>
      <c r="CD227" s="576">
        <f t="shared" si="419"/>
        <v>-50</v>
      </c>
      <c r="CE227">
        <f t="shared" si="420"/>
        <v>-50</v>
      </c>
    </row>
    <row r="228" spans="5:83" x14ac:dyDescent="0.25">
      <c r="E228" s="174">
        <v>11</v>
      </c>
      <c r="F228" s="221">
        <f t="shared" si="421"/>
        <v>0.11</v>
      </c>
      <c r="G228" s="221"/>
      <c r="H228" s="221">
        <f t="shared" si="387"/>
        <v>1.65</v>
      </c>
      <c r="I228" s="555">
        <f t="shared" si="388"/>
        <v>17</v>
      </c>
      <c r="J228" s="451">
        <f t="shared" si="389"/>
        <v>23.85</v>
      </c>
      <c r="K228" s="451">
        <f t="shared" si="390"/>
        <v>40.85</v>
      </c>
      <c r="L228" s="451"/>
      <c r="M228" s="221">
        <f t="shared" si="391"/>
        <v>0.58384332925336602</v>
      </c>
      <c r="N228" s="176">
        <f t="shared" si="392"/>
        <v>19.329593023255811</v>
      </c>
      <c r="O228" s="176">
        <f t="shared" si="344"/>
        <v>1.65</v>
      </c>
      <c r="P228" s="221">
        <f t="shared" si="393"/>
        <v>1.2886395348837207</v>
      </c>
      <c r="Q228" s="221">
        <f t="shared" si="394"/>
        <v>15</v>
      </c>
      <c r="R228" s="221"/>
      <c r="S228" s="176">
        <f t="shared" si="395"/>
        <v>289.67904171907492</v>
      </c>
      <c r="T228" s="176">
        <f t="shared" si="396"/>
        <v>15</v>
      </c>
      <c r="U228" s="221">
        <f t="shared" si="397"/>
        <v>0.34998150203477618</v>
      </c>
      <c r="V228" s="221">
        <f t="shared" si="398"/>
        <v>0.14411003024961372</v>
      </c>
      <c r="W228" s="221">
        <f t="shared" si="399"/>
        <v>0.10271993770412717</v>
      </c>
      <c r="X228" s="201">
        <f t="shared" si="400"/>
        <v>350</v>
      </c>
      <c r="Y228" s="451">
        <f t="shared" si="401"/>
        <v>350</v>
      </c>
      <c r="AA228" s="221">
        <f t="shared" si="402"/>
        <v>4.0511577948192743</v>
      </c>
      <c r="AB228" s="177">
        <f t="shared" si="403"/>
        <v>1.1890190592760972</v>
      </c>
      <c r="AC228" s="177">
        <f t="shared" si="404"/>
        <v>1.2644372554209482</v>
      </c>
      <c r="AD228" s="177"/>
      <c r="AE228" s="177">
        <f t="shared" si="405"/>
        <v>0.24067085953878403</v>
      </c>
      <c r="AF228" s="559">
        <f t="shared" si="406"/>
        <v>743.18007988442275</v>
      </c>
      <c r="AG228" s="542">
        <f t="shared" si="407"/>
        <v>5.1804402515723262E-2</v>
      </c>
      <c r="AI228" s="177">
        <f t="shared" si="408"/>
        <v>1.1948870666472278</v>
      </c>
      <c r="AJ228" s="177">
        <f t="shared" si="409"/>
        <v>1.1948870666472278</v>
      </c>
      <c r="AK228" s="177">
        <f t="shared" si="410"/>
        <v>1.477694123442391</v>
      </c>
      <c r="AM228" s="559">
        <f t="shared" si="411"/>
        <v>110</v>
      </c>
      <c r="AN228" s="469">
        <f t="shared" si="412"/>
        <v>350</v>
      </c>
      <c r="AP228">
        <f t="shared" si="413"/>
        <v>110</v>
      </c>
      <c r="AQ228">
        <f t="shared" si="414"/>
        <v>350</v>
      </c>
      <c r="AS228" s="5">
        <f t="shared" si="345"/>
        <v>2.8571428571428572</v>
      </c>
      <c r="AT228" s="5">
        <f t="shared" si="415"/>
        <v>0.49201232156062319</v>
      </c>
      <c r="AU228" s="5">
        <f t="shared" si="287"/>
        <v>2.3651305355822339</v>
      </c>
      <c r="AV228" s="5"/>
      <c r="AW228" s="177">
        <f t="shared" si="288"/>
        <v>0.17220431254621812</v>
      </c>
      <c r="AX228" s="177"/>
      <c r="BA228" s="469">
        <f t="shared" si="416"/>
        <v>16.399012161831713</v>
      </c>
      <c r="BB228" s="469">
        <f t="shared" si="417"/>
        <v>0.74308333974112539</v>
      </c>
      <c r="BC228" s="5">
        <f t="shared" si="289"/>
        <v>0.32218496459943741</v>
      </c>
      <c r="BD228" s="469">
        <f t="shared" si="418"/>
        <v>0</v>
      </c>
      <c r="CD228" s="576">
        <f t="shared" si="419"/>
        <v>-50</v>
      </c>
      <c r="CE228">
        <f t="shared" si="420"/>
        <v>-50</v>
      </c>
    </row>
    <row r="229" spans="5:83" x14ac:dyDescent="0.25">
      <c r="E229" s="174">
        <v>12</v>
      </c>
      <c r="F229" s="221">
        <f t="shared" si="421"/>
        <v>0.12</v>
      </c>
      <c r="G229" s="221"/>
      <c r="H229" s="221">
        <f t="shared" si="387"/>
        <v>1.7999999999999998</v>
      </c>
      <c r="I229" s="555">
        <f t="shared" si="388"/>
        <v>17</v>
      </c>
      <c r="J229" s="451">
        <f t="shared" si="389"/>
        <v>23.85</v>
      </c>
      <c r="K229" s="451">
        <f t="shared" si="390"/>
        <v>40.85</v>
      </c>
      <c r="L229" s="451"/>
      <c r="M229" s="221">
        <f t="shared" si="391"/>
        <v>0.58384332925336602</v>
      </c>
      <c r="N229" s="176">
        <f t="shared" si="392"/>
        <v>19.329593023255811</v>
      </c>
      <c r="O229" s="176">
        <f t="shared" si="344"/>
        <v>1.7999999999999998</v>
      </c>
      <c r="P229" s="221">
        <f t="shared" si="393"/>
        <v>1.2886395348837207</v>
      </c>
      <c r="Q229" s="221">
        <f t="shared" si="394"/>
        <v>15</v>
      </c>
      <c r="R229" s="221"/>
      <c r="S229" s="176">
        <f t="shared" si="395"/>
        <v>264.60091794626885</v>
      </c>
      <c r="T229" s="176">
        <f t="shared" si="396"/>
        <v>15</v>
      </c>
      <c r="U229" s="221">
        <f t="shared" si="397"/>
        <v>0.38179800221975585</v>
      </c>
      <c r="V229" s="221">
        <f t="shared" si="398"/>
        <v>0.15721094209048769</v>
      </c>
      <c r="W229" s="221">
        <f t="shared" si="399"/>
        <v>0.11205811385904783</v>
      </c>
      <c r="X229" s="201">
        <f t="shared" si="400"/>
        <v>350</v>
      </c>
      <c r="Y229" s="451">
        <f t="shared" si="401"/>
        <v>350</v>
      </c>
      <c r="AA229" s="221">
        <f t="shared" si="402"/>
        <v>4.0511577948192743</v>
      </c>
      <c r="AB229" s="177">
        <f t="shared" si="403"/>
        <v>1.1890190592760972</v>
      </c>
      <c r="AC229" s="177">
        <f t="shared" si="404"/>
        <v>1.2644372554209482</v>
      </c>
      <c r="AD229" s="177"/>
      <c r="AE229" s="177">
        <f t="shared" si="405"/>
        <v>0.24067085953878403</v>
      </c>
      <c r="AF229" s="559">
        <f t="shared" si="406"/>
        <v>810.74190532846103</v>
      </c>
      <c r="AG229" s="542">
        <f t="shared" si="407"/>
        <v>5.1804402515723262E-2</v>
      </c>
      <c r="AI229" s="177">
        <f t="shared" si="408"/>
        <v>1.2480188381623747</v>
      </c>
      <c r="AJ229" s="177">
        <f t="shared" si="409"/>
        <v>1.2480188381623747</v>
      </c>
      <c r="AK229" s="177">
        <f t="shared" si="410"/>
        <v>1.5170509912313888</v>
      </c>
      <c r="AM229" s="559">
        <f t="shared" si="411"/>
        <v>120</v>
      </c>
      <c r="AN229" s="469">
        <f t="shared" si="412"/>
        <v>350</v>
      </c>
      <c r="AP229">
        <f t="shared" si="413"/>
        <v>120</v>
      </c>
      <c r="AQ229">
        <f t="shared" si="414"/>
        <v>350</v>
      </c>
      <c r="AS229" s="5">
        <f t="shared" si="345"/>
        <v>2.8571428571428572</v>
      </c>
      <c r="AT229" s="5">
        <f t="shared" si="415"/>
        <v>0.51389010983156602</v>
      </c>
      <c r="AU229" s="5">
        <f t="shared" si="287"/>
        <v>2.3432527473112912</v>
      </c>
      <c r="AV229" s="5"/>
      <c r="AW229" s="177">
        <f t="shared" si="288"/>
        <v>0.1798615384410481</v>
      </c>
      <c r="AX229" s="177"/>
      <c r="BA229" s="469">
        <f t="shared" si="416"/>
        <v>16.399012161831713</v>
      </c>
      <c r="BB229" s="469">
        <f t="shared" si="417"/>
        <v>0.85160331341092599</v>
      </c>
      <c r="BC229" s="5">
        <f t="shared" si="289"/>
        <v>0.34822331848588844</v>
      </c>
      <c r="BD229" s="469">
        <f t="shared" si="418"/>
        <v>0</v>
      </c>
      <c r="CD229" s="576">
        <f t="shared" si="419"/>
        <v>-50</v>
      </c>
      <c r="CE229">
        <f t="shared" si="420"/>
        <v>-50</v>
      </c>
    </row>
    <row r="230" spans="5:83" x14ac:dyDescent="0.25">
      <c r="E230" s="174">
        <v>13</v>
      </c>
      <c r="F230" s="221">
        <f t="shared" si="421"/>
        <v>0.13</v>
      </c>
      <c r="G230" s="221"/>
      <c r="H230" s="221">
        <f t="shared" si="387"/>
        <v>1.9500000000000002</v>
      </c>
      <c r="I230" s="555">
        <f t="shared" si="388"/>
        <v>17</v>
      </c>
      <c r="J230" s="451">
        <f t="shared" si="389"/>
        <v>23.85</v>
      </c>
      <c r="K230" s="451">
        <f t="shared" si="390"/>
        <v>40.85</v>
      </c>
      <c r="L230" s="451"/>
      <c r="M230" s="221">
        <f t="shared" si="391"/>
        <v>0.58384332925336602</v>
      </c>
      <c r="N230" s="176">
        <f t="shared" si="392"/>
        <v>19.329593023255811</v>
      </c>
      <c r="O230" s="176">
        <f t="shared" si="344"/>
        <v>1.9500000000000002</v>
      </c>
      <c r="P230" s="221">
        <f t="shared" si="393"/>
        <v>1.2886395348837207</v>
      </c>
      <c r="Q230" s="221">
        <f t="shared" si="394"/>
        <v>15</v>
      </c>
      <c r="R230" s="221"/>
      <c r="S230" s="176">
        <f t="shared" si="395"/>
        <v>243.38149869626795</v>
      </c>
      <c r="T230" s="176">
        <f t="shared" si="396"/>
        <v>15</v>
      </c>
      <c r="U230" s="221">
        <f t="shared" si="397"/>
        <v>0.41361450240473557</v>
      </c>
      <c r="V230" s="221">
        <f t="shared" si="398"/>
        <v>0.1703118539313617</v>
      </c>
      <c r="W230" s="221">
        <f t="shared" si="399"/>
        <v>0.1213962900139685</v>
      </c>
      <c r="X230" s="201">
        <f t="shared" si="400"/>
        <v>350</v>
      </c>
      <c r="Y230" s="451">
        <f t="shared" si="401"/>
        <v>350</v>
      </c>
      <c r="AA230" s="221">
        <f t="shared" si="402"/>
        <v>4.0511577948192743</v>
      </c>
      <c r="AB230" s="177">
        <f t="shared" si="403"/>
        <v>1.1890190592760972</v>
      </c>
      <c r="AC230" s="177">
        <f t="shared" si="404"/>
        <v>1.2644372554209482</v>
      </c>
      <c r="AD230" s="177"/>
      <c r="AE230" s="177">
        <f t="shared" si="405"/>
        <v>0.24067085953878403</v>
      </c>
      <c r="AF230" s="559">
        <f t="shared" si="406"/>
        <v>878.30373077249953</v>
      </c>
      <c r="AG230" s="542">
        <f t="shared" si="407"/>
        <v>5.1804402515723262E-2</v>
      </c>
      <c r="AI230" s="177">
        <f t="shared" si="408"/>
        <v>1.2989791910479207</v>
      </c>
      <c r="AJ230" s="177">
        <f t="shared" si="409"/>
        <v>1.2989791910479207</v>
      </c>
      <c r="AK230" s="177">
        <f t="shared" si="410"/>
        <v>1.5547994007762376</v>
      </c>
      <c r="AM230" s="559">
        <f t="shared" si="411"/>
        <v>130</v>
      </c>
      <c r="AN230" s="469">
        <f t="shared" si="412"/>
        <v>350</v>
      </c>
      <c r="AP230">
        <f t="shared" si="413"/>
        <v>130</v>
      </c>
      <c r="AQ230">
        <f t="shared" si="414"/>
        <v>350</v>
      </c>
      <c r="AS230" s="5">
        <f t="shared" si="345"/>
        <v>2.8571428571428572</v>
      </c>
      <c r="AT230" s="5">
        <f t="shared" si="415"/>
        <v>0.5348737845491438</v>
      </c>
      <c r="AU230" s="5">
        <f t="shared" si="287"/>
        <v>2.3222690725937136</v>
      </c>
      <c r="AV230" s="5"/>
      <c r="AW230" s="177">
        <f t="shared" si="288"/>
        <v>0.18720582459220034</v>
      </c>
      <c r="AX230" s="177"/>
      <c r="BA230" s="469">
        <f t="shared" si="416"/>
        <v>16.399012161831713</v>
      </c>
      <c r="BB230" s="469">
        <f t="shared" si="417"/>
        <v>0.96695111087810071</v>
      </c>
      <c r="BC230" s="5">
        <f t="shared" si="289"/>
        <v>0.37386375162499413</v>
      </c>
      <c r="BD230" s="469">
        <f t="shared" si="418"/>
        <v>0</v>
      </c>
      <c r="CD230" s="576">
        <f t="shared" si="419"/>
        <v>-50</v>
      </c>
      <c r="CE230">
        <f t="shared" si="420"/>
        <v>-50</v>
      </c>
    </row>
    <row r="231" spans="5:83" x14ac:dyDescent="0.25">
      <c r="E231" s="174">
        <v>14</v>
      </c>
      <c r="F231" s="221">
        <f t="shared" si="421"/>
        <v>0.14000000000000001</v>
      </c>
      <c r="G231" s="221"/>
      <c r="H231" s="221">
        <f t="shared" si="387"/>
        <v>2.1</v>
      </c>
      <c r="I231" s="555">
        <f t="shared" si="388"/>
        <v>17</v>
      </c>
      <c r="J231" s="451">
        <f t="shared" si="389"/>
        <v>23.85</v>
      </c>
      <c r="K231" s="451">
        <f t="shared" si="390"/>
        <v>40.85</v>
      </c>
      <c r="L231" s="451"/>
      <c r="M231" s="221">
        <f t="shared" si="391"/>
        <v>0.58384332925336602</v>
      </c>
      <c r="N231" s="176">
        <f t="shared" si="392"/>
        <v>19.329593023255811</v>
      </c>
      <c r="O231" s="176">
        <f t="shared" si="344"/>
        <v>2.1</v>
      </c>
      <c r="P231" s="221">
        <f t="shared" si="393"/>
        <v>1.2886395348837207</v>
      </c>
      <c r="Q231" s="221">
        <f t="shared" si="394"/>
        <v>15</v>
      </c>
      <c r="R231" s="221"/>
      <c r="S231" s="176">
        <f t="shared" si="395"/>
        <v>225.19392351821179</v>
      </c>
      <c r="T231" s="176">
        <f t="shared" si="396"/>
        <v>15</v>
      </c>
      <c r="U231" s="221">
        <f t="shared" si="397"/>
        <v>0.44543100258971519</v>
      </c>
      <c r="V231" s="221">
        <f t="shared" si="398"/>
        <v>0.18341276577223567</v>
      </c>
      <c r="W231" s="221">
        <f t="shared" si="399"/>
        <v>0.13073446616888915</v>
      </c>
      <c r="X231" s="201">
        <f t="shared" si="400"/>
        <v>350</v>
      </c>
      <c r="Y231" s="451">
        <f t="shared" si="401"/>
        <v>350</v>
      </c>
      <c r="AA231" s="221">
        <f t="shared" si="402"/>
        <v>4.0511577948192743</v>
      </c>
      <c r="AB231" s="177">
        <f t="shared" si="403"/>
        <v>1.1890190592760972</v>
      </c>
      <c r="AC231" s="177">
        <f t="shared" si="404"/>
        <v>1.2644372554209482</v>
      </c>
      <c r="AD231" s="177"/>
      <c r="AE231" s="177">
        <f t="shared" si="405"/>
        <v>0.24067085953878403</v>
      </c>
      <c r="AF231" s="559">
        <f t="shared" si="406"/>
        <v>945.86555621653804</v>
      </c>
      <c r="AG231" s="542">
        <f t="shared" si="407"/>
        <v>5.1804402515723262E-2</v>
      </c>
      <c r="AI231" s="177">
        <f t="shared" si="408"/>
        <v>1.3480144128097657</v>
      </c>
      <c r="AJ231" s="177">
        <f t="shared" si="409"/>
        <v>1.3480144128097657</v>
      </c>
      <c r="AK231" s="177">
        <f t="shared" si="410"/>
        <v>1.5911217872664931</v>
      </c>
      <c r="AM231" s="559">
        <f t="shared" si="411"/>
        <v>140</v>
      </c>
      <c r="AN231" s="469">
        <f t="shared" si="412"/>
        <v>350</v>
      </c>
      <c r="AP231">
        <f t="shared" si="413"/>
        <v>140</v>
      </c>
      <c r="AQ231">
        <f t="shared" si="414"/>
        <v>350</v>
      </c>
      <c r="AS231" s="5">
        <f t="shared" si="345"/>
        <v>2.8571428571428572</v>
      </c>
      <c r="AT231" s="5">
        <f t="shared" si="415"/>
        <v>0.55506475821578594</v>
      </c>
      <c r="AU231" s="5">
        <f t="shared" si="287"/>
        <v>2.3020780989270713</v>
      </c>
      <c r="AV231" s="5"/>
      <c r="AW231" s="177">
        <f t="shared" si="288"/>
        <v>0.19427266537552507</v>
      </c>
      <c r="AX231" s="177"/>
      <c r="BA231" s="469">
        <f t="shared" si="416"/>
        <v>16.399012161831713</v>
      </c>
      <c r="BB231" s="469">
        <f t="shared" si="417"/>
        <v>1.0891267321426494</v>
      </c>
      <c r="BC231" s="5">
        <f t="shared" si="289"/>
        <v>0.39912189950438387</v>
      </c>
      <c r="BD231" s="469">
        <f t="shared" si="418"/>
        <v>0</v>
      </c>
      <c r="CD231" s="576">
        <f t="shared" si="419"/>
        <v>-50</v>
      </c>
      <c r="CE231">
        <f t="shared" si="420"/>
        <v>-50</v>
      </c>
    </row>
    <row r="232" spans="5:83" x14ac:dyDescent="0.25">
      <c r="E232" s="174">
        <v>15</v>
      </c>
      <c r="F232" s="221">
        <f t="shared" si="421"/>
        <v>0.15</v>
      </c>
      <c r="G232" s="221"/>
      <c r="H232" s="221">
        <f t="shared" si="387"/>
        <v>2.25</v>
      </c>
      <c r="I232" s="555">
        <f t="shared" si="388"/>
        <v>17</v>
      </c>
      <c r="J232" s="451">
        <f t="shared" si="389"/>
        <v>23.85</v>
      </c>
      <c r="K232" s="451">
        <f t="shared" si="390"/>
        <v>40.85</v>
      </c>
      <c r="L232" s="451"/>
      <c r="M232" s="221">
        <f t="shared" si="391"/>
        <v>0.58384332925336602</v>
      </c>
      <c r="N232" s="176">
        <f t="shared" si="392"/>
        <v>19.329593023255811</v>
      </c>
      <c r="O232" s="176">
        <f t="shared" si="344"/>
        <v>2.25</v>
      </c>
      <c r="P232" s="221">
        <f t="shared" si="393"/>
        <v>1.2886395348837207</v>
      </c>
      <c r="Q232" s="221">
        <f t="shared" si="394"/>
        <v>15</v>
      </c>
      <c r="R232" s="221"/>
      <c r="S232" s="176">
        <f t="shared" si="395"/>
        <v>209.43182813362347</v>
      </c>
      <c r="T232" s="176">
        <f t="shared" si="396"/>
        <v>15</v>
      </c>
      <c r="U232" s="221">
        <f t="shared" si="397"/>
        <v>0.47724750277469485</v>
      </c>
      <c r="V232" s="221">
        <f t="shared" si="398"/>
        <v>0.19651367761310964</v>
      </c>
      <c r="W232" s="221">
        <f t="shared" si="399"/>
        <v>0.14007264232380981</v>
      </c>
      <c r="X232" s="201">
        <f t="shared" si="400"/>
        <v>350</v>
      </c>
      <c r="Y232" s="451">
        <f t="shared" si="401"/>
        <v>350</v>
      </c>
      <c r="AA232" s="221">
        <f t="shared" si="402"/>
        <v>4.0511577948192743</v>
      </c>
      <c r="AB232" s="177">
        <f t="shared" si="403"/>
        <v>1.1890190592760972</v>
      </c>
      <c r="AC232" s="177">
        <f t="shared" si="404"/>
        <v>1.2644372554209482</v>
      </c>
      <c r="AD232" s="177"/>
      <c r="AE232" s="177">
        <f t="shared" si="405"/>
        <v>0.24067085953878403</v>
      </c>
      <c r="AF232" s="559">
        <f t="shared" si="406"/>
        <v>1013.4273816605763</v>
      </c>
      <c r="AG232" s="542">
        <f t="shared" si="407"/>
        <v>5.1804402515723262E-2</v>
      </c>
      <c r="AI232" s="177">
        <f t="shared" si="408"/>
        <v>1.3953274796656892</v>
      </c>
      <c r="AJ232" s="177">
        <f t="shared" si="409"/>
        <v>1.3953274796656892</v>
      </c>
      <c r="AK232" s="177">
        <f t="shared" si="410"/>
        <v>1.626168503456066</v>
      </c>
      <c r="AM232" s="559">
        <f t="shared" si="411"/>
        <v>150</v>
      </c>
      <c r="AN232" s="469">
        <f t="shared" si="412"/>
        <v>350</v>
      </c>
      <c r="AP232">
        <f t="shared" si="413"/>
        <v>150</v>
      </c>
      <c r="AQ232">
        <f t="shared" si="414"/>
        <v>350</v>
      </c>
      <c r="AS232" s="5">
        <f t="shared" si="345"/>
        <v>2.8571428571428572</v>
      </c>
      <c r="AT232" s="5">
        <f t="shared" si="415"/>
        <v>0.57454660927410717</v>
      </c>
      <c r="AU232" s="5">
        <f t="shared" si="287"/>
        <v>2.2825962478687503</v>
      </c>
      <c r="AV232" s="5"/>
      <c r="AW232" s="177">
        <f t="shared" si="288"/>
        <v>0.20109131324593751</v>
      </c>
      <c r="AX232" s="177"/>
      <c r="BA232" s="469">
        <f t="shared" si="416"/>
        <v>16.399012161831713</v>
      </c>
      <c r="BB232" s="469">
        <f t="shared" si="417"/>
        <v>1.2181301772045718</v>
      </c>
      <c r="BC232" s="5">
        <f t="shared" si="289"/>
        <v>0.42401168691060387</v>
      </c>
      <c r="BD232" s="469">
        <f t="shared" si="418"/>
        <v>0</v>
      </c>
      <c r="CD232" s="576">
        <f t="shared" si="419"/>
        <v>-50</v>
      </c>
      <c r="CE232">
        <f t="shared" si="420"/>
        <v>-50</v>
      </c>
    </row>
    <row r="233" spans="5:83" x14ac:dyDescent="0.25">
      <c r="E233" s="174">
        <v>16</v>
      </c>
      <c r="F233" s="221">
        <f t="shared" si="421"/>
        <v>0.16</v>
      </c>
      <c r="G233" s="221"/>
      <c r="H233" s="221">
        <f t="shared" si="387"/>
        <v>2.4</v>
      </c>
      <c r="I233" s="555">
        <f t="shared" si="388"/>
        <v>17</v>
      </c>
      <c r="J233" s="451">
        <f t="shared" si="389"/>
        <v>23.85</v>
      </c>
      <c r="K233" s="451">
        <f t="shared" si="390"/>
        <v>40.85</v>
      </c>
      <c r="L233" s="451"/>
      <c r="M233" s="221">
        <f t="shared" si="391"/>
        <v>0.58384332925336602</v>
      </c>
      <c r="N233" s="176">
        <f t="shared" si="392"/>
        <v>19.329593023255811</v>
      </c>
      <c r="O233" s="176">
        <f t="shared" si="344"/>
        <v>2.4</v>
      </c>
      <c r="P233" s="221">
        <f t="shared" si="393"/>
        <v>1.2886395348837207</v>
      </c>
      <c r="Q233" s="221">
        <f t="shared" si="394"/>
        <v>15</v>
      </c>
      <c r="R233" s="221"/>
      <c r="S233" s="176">
        <f t="shared" si="395"/>
        <v>195.64043938314686</v>
      </c>
      <c r="T233" s="176">
        <f t="shared" si="396"/>
        <v>15</v>
      </c>
      <c r="U233" s="221">
        <f t="shared" si="397"/>
        <v>0.50906400295967447</v>
      </c>
      <c r="V233" s="221">
        <f t="shared" si="398"/>
        <v>0.20961458945398359</v>
      </c>
      <c r="W233" s="221">
        <f t="shared" si="399"/>
        <v>0.14941081847873044</v>
      </c>
      <c r="X233" s="201">
        <f t="shared" si="400"/>
        <v>350</v>
      </c>
      <c r="Y233" s="451">
        <f t="shared" si="401"/>
        <v>350</v>
      </c>
      <c r="AA233" s="221">
        <f t="shared" si="402"/>
        <v>4.0511577948192743</v>
      </c>
      <c r="AB233" s="177">
        <f t="shared" si="403"/>
        <v>1.1890190592760972</v>
      </c>
      <c r="AC233" s="177">
        <f t="shared" si="404"/>
        <v>1.2644372554209482</v>
      </c>
      <c r="AD233" s="177"/>
      <c r="AE233" s="177">
        <f t="shared" si="405"/>
        <v>0.24067085953878403</v>
      </c>
      <c r="AF233" s="559">
        <f t="shared" si="406"/>
        <v>1080.9892071046149</v>
      </c>
      <c r="AG233" s="542">
        <f t="shared" si="407"/>
        <v>5.1804402515723262E-2</v>
      </c>
      <c r="AI233" s="177">
        <f t="shared" si="408"/>
        <v>1.441088024333542</v>
      </c>
      <c r="AJ233" s="177">
        <f t="shared" si="409"/>
        <v>1.441088024333542</v>
      </c>
      <c r="AK233" s="177">
        <f t="shared" si="410"/>
        <v>1.6600652032100311</v>
      </c>
      <c r="AM233" s="559">
        <f t="shared" si="411"/>
        <v>160</v>
      </c>
      <c r="AN233" s="469">
        <f t="shared" si="412"/>
        <v>350</v>
      </c>
      <c r="AP233">
        <f t="shared" si="413"/>
        <v>160</v>
      </c>
      <c r="AQ233">
        <f t="shared" si="414"/>
        <v>350</v>
      </c>
      <c r="AS233" s="5">
        <f t="shared" si="345"/>
        <v>2.8571428571428572</v>
      </c>
      <c r="AT233" s="5">
        <f t="shared" si="415"/>
        <v>0.59338918649028205</v>
      </c>
      <c r="AU233" s="5">
        <f t="shared" si="287"/>
        <v>2.2637536706525752</v>
      </c>
      <c r="AV233" s="5"/>
      <c r="AW233" s="177">
        <f t="shared" si="288"/>
        <v>0.20768621527159872</v>
      </c>
      <c r="AX233" s="177"/>
      <c r="BA233" s="469">
        <f t="shared" si="416"/>
        <v>16.399012161831713</v>
      </c>
      <c r="BB233" s="469">
        <f t="shared" si="417"/>
        <v>1.3539614460638685</v>
      </c>
      <c r="BC233" s="5">
        <f t="shared" si="289"/>
        <v>0.44854561895283224</v>
      </c>
      <c r="BD233" s="469">
        <f t="shared" si="418"/>
        <v>0</v>
      </c>
      <c r="CD233" s="576">
        <f t="shared" si="419"/>
        <v>-50</v>
      </c>
      <c r="CE233">
        <f t="shared" si="420"/>
        <v>-50</v>
      </c>
    </row>
    <row r="234" spans="5:83" x14ac:dyDescent="0.25">
      <c r="E234" s="174">
        <v>17</v>
      </c>
      <c r="F234" s="221">
        <f t="shared" si="421"/>
        <v>0.17</v>
      </c>
      <c r="G234" s="221"/>
      <c r="H234" s="221">
        <f t="shared" si="387"/>
        <v>2.5500000000000003</v>
      </c>
      <c r="I234" s="555">
        <f t="shared" si="388"/>
        <v>17</v>
      </c>
      <c r="J234" s="451">
        <f t="shared" si="389"/>
        <v>23.85</v>
      </c>
      <c r="K234" s="451">
        <f t="shared" si="390"/>
        <v>40.85</v>
      </c>
      <c r="L234" s="451"/>
      <c r="M234" s="221">
        <f t="shared" si="391"/>
        <v>0.58384332925336602</v>
      </c>
      <c r="N234" s="176">
        <f t="shared" si="392"/>
        <v>19.329593023255811</v>
      </c>
      <c r="O234" s="176">
        <f t="shared" si="344"/>
        <v>2.5500000000000003</v>
      </c>
      <c r="P234" s="221">
        <f t="shared" si="393"/>
        <v>1.2886395348837207</v>
      </c>
      <c r="Q234" s="221">
        <f t="shared" si="394"/>
        <v>15</v>
      </c>
      <c r="R234" s="221"/>
      <c r="S234" s="176">
        <f t="shared" si="395"/>
        <v>183.47198960385418</v>
      </c>
      <c r="T234" s="176">
        <f t="shared" si="396"/>
        <v>15</v>
      </c>
      <c r="U234" s="221">
        <f t="shared" si="397"/>
        <v>0.54088050314465419</v>
      </c>
      <c r="V234" s="221">
        <f t="shared" si="398"/>
        <v>0.22271550129485759</v>
      </c>
      <c r="W234" s="221">
        <f t="shared" si="399"/>
        <v>0.15874899463365111</v>
      </c>
      <c r="X234" s="201">
        <f t="shared" si="400"/>
        <v>350</v>
      </c>
      <c r="Y234" s="451">
        <f t="shared" si="401"/>
        <v>350</v>
      </c>
      <c r="AA234" s="221">
        <f t="shared" si="402"/>
        <v>4.0511577948192743</v>
      </c>
      <c r="AB234" s="177">
        <f t="shared" si="403"/>
        <v>1.1890190592760972</v>
      </c>
      <c r="AC234" s="177">
        <f t="shared" si="404"/>
        <v>1.2644372554209482</v>
      </c>
      <c r="AD234" s="177"/>
      <c r="AE234" s="177">
        <f t="shared" si="405"/>
        <v>0.24067085953878403</v>
      </c>
      <c r="AF234" s="559">
        <f t="shared" si="406"/>
        <v>1148.5510325486532</v>
      </c>
      <c r="AG234" s="542">
        <f t="shared" si="407"/>
        <v>5.1804402515723262E-2</v>
      </c>
      <c r="AI234" s="177">
        <f t="shared" si="408"/>
        <v>1.485439535034967</v>
      </c>
      <c r="AJ234" s="177">
        <f t="shared" si="409"/>
        <v>1.485439535034967</v>
      </c>
      <c r="AK234" s="177">
        <f t="shared" si="410"/>
        <v>1.6929181740999755</v>
      </c>
      <c r="AM234" s="559">
        <f t="shared" si="411"/>
        <v>170</v>
      </c>
      <c r="AN234" s="469">
        <f t="shared" si="412"/>
        <v>350</v>
      </c>
      <c r="AP234">
        <f t="shared" si="413"/>
        <v>170</v>
      </c>
      <c r="AQ234">
        <f t="shared" si="414"/>
        <v>350</v>
      </c>
      <c r="AS234" s="5">
        <f t="shared" si="345"/>
        <v>2.8571428571428572</v>
      </c>
      <c r="AT234" s="5">
        <f t="shared" si="415"/>
        <v>0.61165157324969233</v>
      </c>
      <c r="AU234" s="5">
        <f t="shared" si="287"/>
        <v>2.2454912838931649</v>
      </c>
      <c r="AV234" s="5"/>
      <c r="AW234" s="177">
        <f t="shared" si="288"/>
        <v>0.2140780506373923</v>
      </c>
      <c r="AX234" s="177"/>
      <c r="BA234" s="469">
        <f t="shared" si="416"/>
        <v>16.399012161831713</v>
      </c>
      <c r="BB234" s="469">
        <f t="shared" si="417"/>
        <v>1.4966205387205394</v>
      </c>
      <c r="BC234" s="5">
        <f t="shared" ref="BC234:BC297" si="422">H234/Efficiency/I234*AU234/Vinripple1</f>
        <v>0.47273500713540323</v>
      </c>
      <c r="BD234" s="469">
        <f t="shared" si="418"/>
        <v>0</v>
      </c>
      <c r="CD234" s="576">
        <f t="shared" si="419"/>
        <v>-50</v>
      </c>
      <c r="CE234">
        <f t="shared" si="420"/>
        <v>-50</v>
      </c>
    </row>
    <row r="235" spans="5:83" x14ac:dyDescent="0.25">
      <c r="E235" s="174">
        <v>18</v>
      </c>
      <c r="F235" s="221">
        <f t="shared" si="421"/>
        <v>0.18</v>
      </c>
      <c r="G235" s="221"/>
      <c r="H235" s="221">
        <f t="shared" si="387"/>
        <v>2.6999999999999997</v>
      </c>
      <c r="I235" s="555">
        <f t="shared" si="388"/>
        <v>17</v>
      </c>
      <c r="J235" s="451">
        <f t="shared" si="389"/>
        <v>23.85</v>
      </c>
      <c r="K235" s="451">
        <f t="shared" si="390"/>
        <v>40.85</v>
      </c>
      <c r="L235" s="451"/>
      <c r="M235" s="221">
        <f t="shared" si="391"/>
        <v>0.58384332925336602</v>
      </c>
      <c r="N235" s="176">
        <f t="shared" si="392"/>
        <v>19.329593023255811</v>
      </c>
      <c r="O235" s="176">
        <f t="shared" si="344"/>
        <v>2.6999999999999997</v>
      </c>
      <c r="P235" s="221">
        <f t="shared" si="393"/>
        <v>1.2886395348837207</v>
      </c>
      <c r="Q235" s="221">
        <f t="shared" si="394"/>
        <v>15</v>
      </c>
      <c r="R235" s="221"/>
      <c r="S235" s="176">
        <f t="shared" si="395"/>
        <v>172.65599288079005</v>
      </c>
      <c r="T235" s="176">
        <f t="shared" si="396"/>
        <v>15</v>
      </c>
      <c r="U235" s="221">
        <f t="shared" si="397"/>
        <v>0.57269700332963369</v>
      </c>
      <c r="V235" s="221">
        <f t="shared" si="398"/>
        <v>0.23581641313573148</v>
      </c>
      <c r="W235" s="221">
        <f t="shared" si="399"/>
        <v>0.16808717078857172</v>
      </c>
      <c r="X235" s="201">
        <f t="shared" si="400"/>
        <v>350</v>
      </c>
      <c r="Y235" s="451">
        <f t="shared" si="401"/>
        <v>350</v>
      </c>
      <c r="AA235" s="221">
        <f t="shared" si="402"/>
        <v>4.0511577948192743</v>
      </c>
      <c r="AB235" s="177">
        <f t="shared" si="403"/>
        <v>1.1890190592760972</v>
      </c>
      <c r="AC235" s="177">
        <f t="shared" si="404"/>
        <v>1.2644372554209482</v>
      </c>
      <c r="AD235" s="177"/>
      <c r="AE235" s="177">
        <f t="shared" si="405"/>
        <v>0.24067085953878403</v>
      </c>
      <c r="AF235" s="559">
        <f t="shared" si="406"/>
        <v>1216.1128579926917</v>
      </c>
      <c r="AG235" s="542">
        <f t="shared" si="407"/>
        <v>5.1804402515723262E-2</v>
      </c>
      <c r="AI235" s="177">
        <f t="shared" si="408"/>
        <v>1.5285046714394579</v>
      </c>
      <c r="AJ235" s="177">
        <f t="shared" si="409"/>
        <v>1.5285046714394579</v>
      </c>
      <c r="AK235" s="177">
        <f t="shared" si="410"/>
        <v>1.7248182751403391</v>
      </c>
      <c r="AM235" s="559">
        <f t="shared" si="411"/>
        <v>180</v>
      </c>
      <c r="AN235" s="469">
        <f t="shared" si="412"/>
        <v>350</v>
      </c>
      <c r="AP235">
        <f t="shared" si="413"/>
        <v>180</v>
      </c>
      <c r="AQ235">
        <f t="shared" si="414"/>
        <v>350</v>
      </c>
      <c r="AS235" s="5">
        <f t="shared" si="345"/>
        <v>2.8571428571428572</v>
      </c>
      <c r="AT235" s="5">
        <f t="shared" si="415"/>
        <v>0.62938427647507078</v>
      </c>
      <c r="AU235" s="5">
        <f t="shared" ref="AU235:AU298" si="423">AS235-AT235</f>
        <v>2.2277585806677864</v>
      </c>
      <c r="AV235" s="5"/>
      <c r="AW235" s="177">
        <f t="shared" ref="AW235:AW298" si="424">AT235/AS235</f>
        <v>0.22028449676627476</v>
      </c>
      <c r="AX235" s="177"/>
      <c r="BA235" s="469">
        <f t="shared" si="416"/>
        <v>16.399012161831713</v>
      </c>
      <c r="BB235" s="469">
        <f t="shared" si="417"/>
        <v>1.6461074551745838</v>
      </c>
      <c r="BC235" s="5">
        <f t="shared" si="422"/>
        <v>0.49659014801263351</v>
      </c>
      <c r="BD235" s="469">
        <f t="shared" si="418"/>
        <v>0</v>
      </c>
      <c r="CD235" s="576">
        <f t="shared" si="419"/>
        <v>-50</v>
      </c>
      <c r="CE235">
        <f t="shared" si="420"/>
        <v>-50</v>
      </c>
    </row>
    <row r="236" spans="5:83" x14ac:dyDescent="0.25">
      <c r="E236" s="174">
        <v>19</v>
      </c>
      <c r="F236" s="221">
        <f t="shared" si="421"/>
        <v>0.19</v>
      </c>
      <c r="G236" s="221"/>
      <c r="H236" s="221">
        <f t="shared" si="387"/>
        <v>2.85</v>
      </c>
      <c r="I236" s="555">
        <f t="shared" si="388"/>
        <v>17</v>
      </c>
      <c r="J236" s="451">
        <f t="shared" si="389"/>
        <v>23.85</v>
      </c>
      <c r="K236" s="451">
        <f t="shared" si="390"/>
        <v>40.85</v>
      </c>
      <c r="L236" s="451"/>
      <c r="M236" s="221">
        <f t="shared" si="391"/>
        <v>0.58384332925336602</v>
      </c>
      <c r="N236" s="176">
        <f t="shared" si="392"/>
        <v>19.329593023255811</v>
      </c>
      <c r="O236" s="176">
        <f t="shared" si="344"/>
        <v>2.85</v>
      </c>
      <c r="P236" s="221">
        <f t="shared" si="393"/>
        <v>1.2886395348837207</v>
      </c>
      <c r="Q236" s="221">
        <f t="shared" si="394"/>
        <v>15</v>
      </c>
      <c r="R236" s="221"/>
      <c r="S236" s="176">
        <f t="shared" si="395"/>
        <v>162.9789077454017</v>
      </c>
      <c r="T236" s="176">
        <f t="shared" si="396"/>
        <v>15</v>
      </c>
      <c r="U236" s="221">
        <f t="shared" si="397"/>
        <v>0.60451350351461353</v>
      </c>
      <c r="V236" s="221">
        <f t="shared" si="398"/>
        <v>0.2489173249766056</v>
      </c>
      <c r="W236" s="221">
        <f t="shared" si="399"/>
        <v>0.17742534694349246</v>
      </c>
      <c r="X236" s="201">
        <f t="shared" si="400"/>
        <v>350</v>
      </c>
      <c r="Y236" s="451">
        <f t="shared" si="401"/>
        <v>350</v>
      </c>
      <c r="AA236" s="221">
        <f t="shared" si="402"/>
        <v>4.0511577948192743</v>
      </c>
      <c r="AB236" s="177">
        <f t="shared" si="403"/>
        <v>1.1890190592760972</v>
      </c>
      <c r="AC236" s="177">
        <f t="shared" si="404"/>
        <v>1.2644372554209482</v>
      </c>
      <c r="AD236" s="177"/>
      <c r="AE236" s="177">
        <f t="shared" si="405"/>
        <v>0.24067085953878403</v>
      </c>
      <c r="AF236" s="559">
        <f t="shared" si="406"/>
        <v>1283.6746834367302</v>
      </c>
      <c r="AG236" s="542">
        <f t="shared" si="407"/>
        <v>5.1804402515723262E-2</v>
      </c>
      <c r="AI236" s="177">
        <f t="shared" si="408"/>
        <v>1.5703892667041484</v>
      </c>
      <c r="AJ236" s="177">
        <f t="shared" si="409"/>
        <v>1.5703892667041484</v>
      </c>
      <c r="AK236" s="177">
        <f t="shared" si="410"/>
        <v>1.7558439012623319</v>
      </c>
      <c r="AM236" s="559">
        <f t="shared" si="411"/>
        <v>190</v>
      </c>
      <c r="AN236" s="469">
        <f t="shared" si="412"/>
        <v>350</v>
      </c>
      <c r="AP236">
        <f t="shared" si="413"/>
        <v>190</v>
      </c>
      <c r="AQ236">
        <f t="shared" si="414"/>
        <v>350</v>
      </c>
      <c r="AS236" s="5">
        <f t="shared" si="345"/>
        <v>2.8571428571428572</v>
      </c>
      <c r="AT236" s="5">
        <f t="shared" si="415"/>
        <v>0.64663087452523749</v>
      </c>
      <c r="AU236" s="5">
        <f t="shared" si="423"/>
        <v>2.2105119826176196</v>
      </c>
      <c r="AV236" s="5"/>
      <c r="AW236" s="177">
        <f t="shared" si="424"/>
        <v>0.22632080608383312</v>
      </c>
      <c r="AX236" s="177"/>
      <c r="BA236" s="469">
        <f t="shared" si="416"/>
        <v>16.399012161831713</v>
      </c>
      <c r="BB236" s="469">
        <f t="shared" si="417"/>
        <v>1.8024221954260022</v>
      </c>
      <c r="BC236" s="5">
        <f t="shared" si="422"/>
        <v>0.5201204664982636</v>
      </c>
      <c r="BD236" s="469">
        <f t="shared" si="418"/>
        <v>0</v>
      </c>
      <c r="CD236" s="576">
        <f t="shared" si="419"/>
        <v>-50</v>
      </c>
      <c r="CE236">
        <f t="shared" si="420"/>
        <v>-50</v>
      </c>
    </row>
    <row r="237" spans="5:83" x14ac:dyDescent="0.25">
      <c r="E237" s="174">
        <v>20</v>
      </c>
      <c r="F237" s="221">
        <f t="shared" si="421"/>
        <v>0.2</v>
      </c>
      <c r="G237" s="221"/>
      <c r="H237" s="221">
        <f t="shared" si="387"/>
        <v>3</v>
      </c>
      <c r="I237" s="555">
        <f t="shared" si="388"/>
        <v>17</v>
      </c>
      <c r="J237" s="451">
        <f t="shared" si="389"/>
        <v>23.85</v>
      </c>
      <c r="K237" s="451">
        <f t="shared" si="390"/>
        <v>40.85</v>
      </c>
      <c r="L237" s="451"/>
      <c r="M237" s="221">
        <f t="shared" si="391"/>
        <v>0.58384332925336602</v>
      </c>
      <c r="N237" s="176">
        <f t="shared" si="392"/>
        <v>19.329593023255811</v>
      </c>
      <c r="O237" s="176">
        <f t="shared" si="344"/>
        <v>3</v>
      </c>
      <c r="P237" s="221">
        <f t="shared" si="393"/>
        <v>1.2886395348837207</v>
      </c>
      <c r="Q237" s="221">
        <f t="shared" si="394"/>
        <v>15</v>
      </c>
      <c r="R237" s="221"/>
      <c r="S237" s="176">
        <f t="shared" si="395"/>
        <v>154.26990106444629</v>
      </c>
      <c r="T237" s="176">
        <f t="shared" si="396"/>
        <v>15</v>
      </c>
      <c r="U237" s="221">
        <f t="shared" si="397"/>
        <v>0.63633000369959314</v>
      </c>
      <c r="V237" s="221">
        <f t="shared" si="398"/>
        <v>0.26201823681747949</v>
      </c>
      <c r="W237" s="221">
        <f t="shared" si="399"/>
        <v>0.18676352309841307</v>
      </c>
      <c r="X237" s="201">
        <f t="shared" si="400"/>
        <v>350</v>
      </c>
      <c r="Y237" s="451">
        <f t="shared" si="401"/>
        <v>350</v>
      </c>
      <c r="AA237" s="221">
        <f t="shared" si="402"/>
        <v>4.0511577948192743</v>
      </c>
      <c r="AB237" s="177">
        <f t="shared" si="403"/>
        <v>1.1890190592760972</v>
      </c>
      <c r="AC237" s="177">
        <f t="shared" si="404"/>
        <v>1.2644372554209482</v>
      </c>
      <c r="AD237" s="177"/>
      <c r="AE237" s="177">
        <f t="shared" si="405"/>
        <v>0.24067085953878403</v>
      </c>
      <c r="AF237" s="559">
        <f t="shared" si="406"/>
        <v>1351.2365088807687</v>
      </c>
      <c r="AG237" s="542">
        <f t="shared" si="407"/>
        <v>5.1804402515723262E-2</v>
      </c>
      <c r="AI237" s="177">
        <f t="shared" si="408"/>
        <v>1.6111853919853356</v>
      </c>
      <c r="AJ237" s="177">
        <f t="shared" si="409"/>
        <v>1.6111853919853356</v>
      </c>
      <c r="AK237" s="177">
        <f t="shared" si="410"/>
        <v>1.7860632533224707</v>
      </c>
      <c r="AM237" s="559">
        <f t="shared" si="411"/>
        <v>200</v>
      </c>
      <c r="AN237" s="469">
        <f t="shared" si="412"/>
        <v>350</v>
      </c>
      <c r="AP237">
        <f t="shared" si="413"/>
        <v>200</v>
      </c>
      <c r="AQ237">
        <f t="shared" si="414"/>
        <v>350</v>
      </c>
      <c r="AS237" s="5">
        <f t="shared" si="345"/>
        <v>2.8571428571428572</v>
      </c>
      <c r="AT237" s="5">
        <f t="shared" si="415"/>
        <v>0.66342927905278515</v>
      </c>
      <c r="AU237" s="5">
        <f t="shared" si="423"/>
        <v>2.1937135780900721</v>
      </c>
      <c r="AV237" s="5"/>
      <c r="AW237" s="177">
        <f t="shared" si="424"/>
        <v>0.2322002476684748</v>
      </c>
      <c r="AX237" s="177"/>
      <c r="BA237" s="469">
        <f t="shared" si="416"/>
        <v>16.399012161831713</v>
      </c>
      <c r="BB237" s="469">
        <f t="shared" si="417"/>
        <v>1.9655647594747951</v>
      </c>
      <c r="BC237" s="5">
        <f t="shared" si="422"/>
        <v>0.54333463234429036</v>
      </c>
      <c r="BD237" s="469">
        <f t="shared" si="418"/>
        <v>0</v>
      </c>
      <c r="CD237" s="576">
        <f t="shared" si="419"/>
        <v>-50</v>
      </c>
      <c r="CE237">
        <f t="shared" si="420"/>
        <v>-50</v>
      </c>
    </row>
    <row r="238" spans="5:83" x14ac:dyDescent="0.25">
      <c r="E238" s="174">
        <v>21</v>
      </c>
      <c r="F238" s="221">
        <f t="shared" si="421"/>
        <v>0.21</v>
      </c>
      <c r="G238" s="221"/>
      <c r="H238" s="221">
        <f t="shared" si="387"/>
        <v>3.15</v>
      </c>
      <c r="I238" s="555">
        <f t="shared" si="388"/>
        <v>17</v>
      </c>
      <c r="J238" s="451">
        <f t="shared" si="389"/>
        <v>23.85</v>
      </c>
      <c r="K238" s="451">
        <f t="shared" si="390"/>
        <v>40.85</v>
      </c>
      <c r="L238" s="451"/>
      <c r="M238" s="221">
        <f t="shared" si="391"/>
        <v>0.58384332925336602</v>
      </c>
      <c r="N238" s="176">
        <f t="shared" si="392"/>
        <v>19.329593023255811</v>
      </c>
      <c r="O238" s="176">
        <f t="shared" si="344"/>
        <v>3.15</v>
      </c>
      <c r="P238" s="221">
        <f t="shared" si="393"/>
        <v>1.2886395348837207</v>
      </c>
      <c r="Q238" s="221">
        <f t="shared" si="394"/>
        <v>15</v>
      </c>
      <c r="R238" s="221"/>
      <c r="S238" s="176">
        <f t="shared" si="395"/>
        <v>146.39067938921485</v>
      </c>
      <c r="T238" s="176">
        <f t="shared" si="396"/>
        <v>15</v>
      </c>
      <c r="U238" s="221">
        <f t="shared" si="397"/>
        <v>0.66814650388457275</v>
      </c>
      <c r="V238" s="221">
        <f t="shared" si="398"/>
        <v>0.27511914865835346</v>
      </c>
      <c r="W238" s="221">
        <f t="shared" si="399"/>
        <v>0.19610169925333371</v>
      </c>
      <c r="X238" s="201">
        <f t="shared" si="400"/>
        <v>350</v>
      </c>
      <c r="Y238" s="451">
        <f t="shared" si="401"/>
        <v>350</v>
      </c>
      <c r="AA238" s="221">
        <f t="shared" si="402"/>
        <v>4.0511577948192743</v>
      </c>
      <c r="AB238" s="177">
        <f t="shared" si="403"/>
        <v>1.1890190592760972</v>
      </c>
      <c r="AC238" s="177">
        <f t="shared" si="404"/>
        <v>1.2644372554209482</v>
      </c>
      <c r="AD238" s="177"/>
      <c r="AE238" s="177">
        <f t="shared" si="405"/>
        <v>0.24067085953878403</v>
      </c>
      <c r="AF238" s="559">
        <f t="shared" si="406"/>
        <v>1418.798334324807</v>
      </c>
      <c r="AG238" s="542">
        <f t="shared" si="407"/>
        <v>5.1804402515723262E-2</v>
      </c>
      <c r="AI238" s="177">
        <f t="shared" si="408"/>
        <v>1.6509737386507051</v>
      </c>
      <c r="AJ238" s="177">
        <f t="shared" si="409"/>
        <v>1.6509737386507051</v>
      </c>
      <c r="AK238" s="177">
        <f t="shared" si="410"/>
        <v>1.8155361027042261</v>
      </c>
      <c r="AM238" s="559">
        <f t="shared" si="411"/>
        <v>210</v>
      </c>
      <c r="AN238" s="469">
        <f t="shared" si="412"/>
        <v>350</v>
      </c>
      <c r="AP238">
        <f t="shared" si="413"/>
        <v>210</v>
      </c>
      <c r="AQ238">
        <f t="shared" si="414"/>
        <v>350</v>
      </c>
      <c r="AS238" s="5">
        <f t="shared" si="345"/>
        <v>2.8571428571428572</v>
      </c>
      <c r="AT238" s="5">
        <f t="shared" si="415"/>
        <v>0.67981271591499626</v>
      </c>
      <c r="AU238" s="5">
        <f t="shared" si="423"/>
        <v>2.1773301412278609</v>
      </c>
      <c r="AV238" s="5"/>
      <c r="AW238" s="177">
        <f t="shared" si="424"/>
        <v>0.23793445057024867</v>
      </c>
      <c r="AX238" s="177"/>
      <c r="BA238" s="469">
        <f t="shared" si="416"/>
        <v>16.399012161831713</v>
      </c>
      <c r="BB238" s="469">
        <f t="shared" si="417"/>
        <v>2.1355351473209607</v>
      </c>
      <c r="BC238" s="5">
        <f t="shared" si="422"/>
        <v>0.56624065592303507</v>
      </c>
      <c r="BD238" s="469">
        <f t="shared" si="418"/>
        <v>0</v>
      </c>
      <c r="CD238" s="576">
        <f t="shared" si="419"/>
        <v>-50</v>
      </c>
      <c r="CE238">
        <f t="shared" si="420"/>
        <v>-50</v>
      </c>
    </row>
    <row r="239" spans="5:83" x14ac:dyDescent="0.25">
      <c r="E239" s="174">
        <v>22</v>
      </c>
      <c r="F239" s="221">
        <f t="shared" si="421"/>
        <v>0.22</v>
      </c>
      <c r="G239" s="221"/>
      <c r="H239" s="221">
        <f t="shared" si="387"/>
        <v>3.3</v>
      </c>
      <c r="I239" s="555">
        <f t="shared" si="388"/>
        <v>17</v>
      </c>
      <c r="J239" s="451">
        <f t="shared" si="389"/>
        <v>23.85</v>
      </c>
      <c r="K239" s="451">
        <f t="shared" si="390"/>
        <v>40.85</v>
      </c>
      <c r="L239" s="451"/>
      <c r="M239" s="221">
        <f t="shared" si="391"/>
        <v>0.58384332925336602</v>
      </c>
      <c r="N239" s="176">
        <f t="shared" si="392"/>
        <v>19.329593023255811</v>
      </c>
      <c r="O239" s="176">
        <f t="shared" si="344"/>
        <v>3.3</v>
      </c>
      <c r="P239" s="221">
        <f t="shared" si="393"/>
        <v>1.2886395348837207</v>
      </c>
      <c r="Q239" s="221">
        <f t="shared" si="394"/>
        <v>15</v>
      </c>
      <c r="R239" s="221"/>
      <c r="S239" s="176">
        <f t="shared" si="395"/>
        <v>139.22809357315498</v>
      </c>
      <c r="T239" s="176">
        <f t="shared" si="396"/>
        <v>15</v>
      </c>
      <c r="U239" s="221">
        <f t="shared" si="397"/>
        <v>0.69996300406955236</v>
      </c>
      <c r="V239" s="221">
        <f t="shared" si="398"/>
        <v>0.28822006049922744</v>
      </c>
      <c r="W239" s="221">
        <f t="shared" si="399"/>
        <v>0.20543987540825434</v>
      </c>
      <c r="X239" s="201">
        <f t="shared" si="400"/>
        <v>350</v>
      </c>
      <c r="Y239" s="451">
        <f t="shared" si="401"/>
        <v>350</v>
      </c>
      <c r="AA239" s="221">
        <f t="shared" si="402"/>
        <v>4.0511577948192743</v>
      </c>
      <c r="AB239" s="177">
        <f t="shared" si="403"/>
        <v>1.1890190592760972</v>
      </c>
      <c r="AC239" s="177">
        <f t="shared" si="404"/>
        <v>1.2644372554209482</v>
      </c>
      <c r="AD239" s="177"/>
      <c r="AE239" s="177">
        <f t="shared" si="405"/>
        <v>0.24067085953878403</v>
      </c>
      <c r="AF239" s="559">
        <f t="shared" si="406"/>
        <v>1486.3601597688455</v>
      </c>
      <c r="AG239" s="542">
        <f t="shared" si="407"/>
        <v>5.1804402515723262E-2</v>
      </c>
      <c r="AI239" s="177">
        <f t="shared" si="408"/>
        <v>1.6898254951567138</v>
      </c>
      <c r="AJ239" s="177">
        <f t="shared" si="409"/>
        <v>1.6898254951567138</v>
      </c>
      <c r="AK239" s="177">
        <f t="shared" si="410"/>
        <v>1.8443151815975658</v>
      </c>
      <c r="AM239" s="559">
        <f t="shared" si="411"/>
        <v>220</v>
      </c>
      <c r="AN239" s="469">
        <f t="shared" si="412"/>
        <v>350</v>
      </c>
      <c r="AP239">
        <f t="shared" si="413"/>
        <v>220</v>
      </c>
      <c r="AQ239">
        <f t="shared" si="414"/>
        <v>350</v>
      </c>
      <c r="AS239" s="5">
        <f t="shared" si="345"/>
        <v>2.8571428571428572</v>
      </c>
      <c r="AT239" s="5">
        <f t="shared" si="415"/>
        <v>0.6958104980057056</v>
      </c>
      <c r="AU239" s="5">
        <f t="shared" si="423"/>
        <v>2.1613323591371518</v>
      </c>
      <c r="AV239" s="5"/>
      <c r="AW239" s="177">
        <f t="shared" si="424"/>
        <v>0.24353367430199696</v>
      </c>
      <c r="AX239" s="177"/>
      <c r="BA239" s="469">
        <f t="shared" si="416"/>
        <v>16.399012161831713</v>
      </c>
      <c r="BB239" s="469">
        <f t="shared" si="417"/>
        <v>2.3123333589645014</v>
      </c>
      <c r="BC239" s="5">
        <f t="shared" si="422"/>
        <v>0.58884596781445619</v>
      </c>
      <c r="BD239" s="469">
        <f t="shared" si="418"/>
        <v>0</v>
      </c>
      <c r="CD239" s="576">
        <f t="shared" si="419"/>
        <v>-50</v>
      </c>
      <c r="CE239">
        <f t="shared" si="420"/>
        <v>-50</v>
      </c>
    </row>
    <row r="240" spans="5:83" x14ac:dyDescent="0.25">
      <c r="E240" s="174">
        <v>23</v>
      </c>
      <c r="F240" s="221">
        <f t="shared" si="421"/>
        <v>0.23</v>
      </c>
      <c r="G240" s="221"/>
      <c r="H240" s="221">
        <f t="shared" si="387"/>
        <v>3.45</v>
      </c>
      <c r="I240" s="555">
        <f t="shared" si="388"/>
        <v>17</v>
      </c>
      <c r="J240" s="451">
        <f t="shared" si="389"/>
        <v>23.85</v>
      </c>
      <c r="K240" s="451">
        <f t="shared" si="390"/>
        <v>40.85</v>
      </c>
      <c r="L240" s="451"/>
      <c r="M240" s="221">
        <f t="shared" si="391"/>
        <v>0.58384332925336602</v>
      </c>
      <c r="N240" s="176">
        <f t="shared" si="392"/>
        <v>19.329593023255811</v>
      </c>
      <c r="O240" s="176">
        <f t="shared" si="344"/>
        <v>3.45</v>
      </c>
      <c r="P240" s="221">
        <f t="shared" si="393"/>
        <v>1.2886395348837207</v>
      </c>
      <c r="Q240" s="221">
        <f t="shared" si="394"/>
        <v>15</v>
      </c>
      <c r="R240" s="221"/>
      <c r="S240" s="176">
        <f t="shared" si="395"/>
        <v>132.6886726196837</v>
      </c>
      <c r="T240" s="176">
        <f t="shared" si="396"/>
        <v>15</v>
      </c>
      <c r="U240" s="221">
        <f t="shared" si="397"/>
        <v>0.73177950425453209</v>
      </c>
      <c r="V240" s="221">
        <f t="shared" si="398"/>
        <v>0.30132097234010147</v>
      </c>
      <c r="W240" s="221">
        <f t="shared" si="399"/>
        <v>0.21477805156317503</v>
      </c>
      <c r="X240" s="201">
        <f t="shared" si="400"/>
        <v>350</v>
      </c>
      <c r="Y240" s="451">
        <f t="shared" si="401"/>
        <v>350</v>
      </c>
      <c r="AA240" s="221">
        <f t="shared" si="402"/>
        <v>4.0511577948192743</v>
      </c>
      <c r="AB240" s="177">
        <f t="shared" si="403"/>
        <v>1.1890190592760972</v>
      </c>
      <c r="AC240" s="177">
        <f t="shared" si="404"/>
        <v>1.2644372554209482</v>
      </c>
      <c r="AD240" s="177"/>
      <c r="AE240" s="177">
        <f t="shared" si="405"/>
        <v>0.24067085953878403</v>
      </c>
      <c r="AF240" s="559">
        <f t="shared" si="406"/>
        <v>1553.921985212884</v>
      </c>
      <c r="AG240" s="542">
        <f t="shared" si="407"/>
        <v>5.1804402515723262E-2</v>
      </c>
      <c r="AI240" s="177">
        <f t="shared" si="408"/>
        <v>1.7278038437418122</v>
      </c>
      <c r="AJ240" s="177">
        <f t="shared" si="409"/>
        <v>1.7278038437418122</v>
      </c>
      <c r="AK240" s="177">
        <f t="shared" si="410"/>
        <v>1.8724472916606016</v>
      </c>
      <c r="AM240" s="559">
        <f t="shared" si="411"/>
        <v>230</v>
      </c>
      <c r="AN240" s="469">
        <f t="shared" si="412"/>
        <v>350</v>
      </c>
      <c r="AP240">
        <f t="shared" si="413"/>
        <v>230</v>
      </c>
      <c r="AQ240">
        <f t="shared" si="414"/>
        <v>350</v>
      </c>
      <c r="AS240" s="5">
        <f t="shared" si="345"/>
        <v>2.8571428571428572</v>
      </c>
      <c r="AT240" s="5">
        <f t="shared" si="415"/>
        <v>0.71144864154074616</v>
      </c>
      <c r="AU240" s="5">
        <f t="shared" si="423"/>
        <v>2.145694215602111</v>
      </c>
      <c r="AV240" s="5"/>
      <c r="AW240" s="177">
        <f t="shared" si="424"/>
        <v>0.24900702453926116</v>
      </c>
      <c r="AX240" s="177"/>
      <c r="BA240" s="469">
        <f t="shared" si="416"/>
        <v>16.399012161831713</v>
      </c>
      <c r="BB240" s="469">
        <f t="shared" si="417"/>
        <v>2.4959593944054164</v>
      </c>
      <c r="BC240" s="5">
        <f t="shared" si="422"/>
        <v>0.61115748555849614</v>
      </c>
      <c r="BD240" s="469">
        <f t="shared" si="418"/>
        <v>0</v>
      </c>
      <c r="CD240" s="576">
        <f t="shared" si="419"/>
        <v>-50</v>
      </c>
      <c r="CE240">
        <f t="shared" si="420"/>
        <v>-50</v>
      </c>
    </row>
    <row r="241" spans="5:83" x14ac:dyDescent="0.25">
      <c r="E241" s="174">
        <v>24</v>
      </c>
      <c r="F241" s="221">
        <f t="shared" si="421"/>
        <v>0.24</v>
      </c>
      <c r="G241" s="221"/>
      <c r="H241" s="221">
        <f t="shared" si="387"/>
        <v>3.5999999999999996</v>
      </c>
      <c r="I241" s="555">
        <f t="shared" si="388"/>
        <v>17</v>
      </c>
      <c r="J241" s="451">
        <f t="shared" si="389"/>
        <v>23.85</v>
      </c>
      <c r="K241" s="451">
        <f t="shared" si="390"/>
        <v>40.85</v>
      </c>
      <c r="L241" s="451"/>
      <c r="M241" s="221">
        <f t="shared" si="391"/>
        <v>0.58384332925336602</v>
      </c>
      <c r="N241" s="176">
        <f t="shared" si="392"/>
        <v>19.329593023255811</v>
      </c>
      <c r="O241" s="176">
        <f t="shared" si="344"/>
        <v>3.5999999999999996</v>
      </c>
      <c r="P241" s="221">
        <f t="shared" si="393"/>
        <v>1.2886395348837207</v>
      </c>
      <c r="Q241" s="221">
        <f t="shared" si="394"/>
        <v>15</v>
      </c>
      <c r="R241" s="221"/>
      <c r="S241" s="176">
        <f t="shared" si="395"/>
        <v>126.69452406805136</v>
      </c>
      <c r="T241" s="176">
        <f t="shared" si="396"/>
        <v>15</v>
      </c>
      <c r="U241" s="221">
        <f t="shared" si="397"/>
        <v>0.7635960044395117</v>
      </c>
      <c r="V241" s="221">
        <f t="shared" si="398"/>
        <v>0.31442188418097539</v>
      </c>
      <c r="W241" s="221">
        <f t="shared" si="399"/>
        <v>0.22411622771809567</v>
      </c>
      <c r="X241" s="201">
        <f t="shared" si="400"/>
        <v>350</v>
      </c>
      <c r="Y241" s="451">
        <f t="shared" si="401"/>
        <v>350</v>
      </c>
      <c r="AA241" s="221">
        <f t="shared" si="402"/>
        <v>4.0511577948192743</v>
      </c>
      <c r="AB241" s="177">
        <f t="shared" si="403"/>
        <v>1.1890190592760972</v>
      </c>
      <c r="AC241" s="177">
        <f t="shared" si="404"/>
        <v>1.2644372554209482</v>
      </c>
      <c r="AD241" s="177"/>
      <c r="AE241" s="177">
        <f t="shared" si="405"/>
        <v>0.24067085953878403</v>
      </c>
      <c r="AF241" s="559">
        <f t="shared" si="406"/>
        <v>1621.4838106569221</v>
      </c>
      <c r="AG241" s="542">
        <f t="shared" si="407"/>
        <v>5.1804402515723262E-2</v>
      </c>
      <c r="AI241" s="177">
        <f t="shared" si="408"/>
        <v>1.7649651670263431</v>
      </c>
      <c r="AJ241" s="177">
        <f t="shared" si="409"/>
        <v>1.7649651670263431</v>
      </c>
      <c r="AK241" s="177">
        <f t="shared" si="410"/>
        <v>1.8999741977972913</v>
      </c>
      <c r="AM241" s="559">
        <f t="shared" si="411"/>
        <v>240</v>
      </c>
      <c r="AN241" s="469">
        <f t="shared" si="412"/>
        <v>350</v>
      </c>
      <c r="AP241">
        <f t="shared" si="413"/>
        <v>240</v>
      </c>
      <c r="AQ241">
        <f t="shared" si="414"/>
        <v>350</v>
      </c>
      <c r="AS241" s="5">
        <f t="shared" si="345"/>
        <v>2.8571428571428572</v>
      </c>
      <c r="AT241" s="5">
        <f t="shared" si="415"/>
        <v>0.72675036289320005</v>
      </c>
      <c r="AU241" s="5">
        <f t="shared" si="423"/>
        <v>2.1303924942496573</v>
      </c>
      <c r="AV241" s="5"/>
      <c r="AW241" s="177">
        <f t="shared" si="424"/>
        <v>0.25436262701262002</v>
      </c>
      <c r="AX241" s="177"/>
      <c r="BA241" s="469">
        <f t="shared" si="416"/>
        <v>16.399012161831713</v>
      </c>
      <c r="BB241" s="469">
        <f t="shared" si="417"/>
        <v>2.6864132536437042</v>
      </c>
      <c r="BC241" s="5">
        <f t="shared" si="422"/>
        <v>0.63318167011754511</v>
      </c>
      <c r="BD241" s="469">
        <f t="shared" si="418"/>
        <v>0</v>
      </c>
      <c r="CD241" s="576">
        <f t="shared" si="419"/>
        <v>-50</v>
      </c>
      <c r="CE241">
        <f t="shared" si="420"/>
        <v>-50</v>
      </c>
    </row>
    <row r="242" spans="5:83" x14ac:dyDescent="0.25">
      <c r="E242" s="174">
        <v>25</v>
      </c>
      <c r="F242" s="221">
        <f t="shared" si="421"/>
        <v>0.25</v>
      </c>
      <c r="G242" s="221"/>
      <c r="H242" s="221">
        <f t="shared" si="387"/>
        <v>3.75</v>
      </c>
      <c r="I242" s="555">
        <f t="shared" si="388"/>
        <v>17</v>
      </c>
      <c r="J242" s="451">
        <f t="shared" si="389"/>
        <v>23.85</v>
      </c>
      <c r="K242" s="451">
        <f t="shared" si="390"/>
        <v>40.85</v>
      </c>
      <c r="L242" s="451"/>
      <c r="M242" s="221">
        <f t="shared" si="391"/>
        <v>0.58384332925336602</v>
      </c>
      <c r="N242" s="176">
        <f t="shared" si="392"/>
        <v>19.329593023255811</v>
      </c>
      <c r="O242" s="176">
        <f t="shared" si="344"/>
        <v>3.75</v>
      </c>
      <c r="P242" s="221">
        <f t="shared" si="393"/>
        <v>1.2886395348837207</v>
      </c>
      <c r="Q242" s="221">
        <f t="shared" si="394"/>
        <v>15</v>
      </c>
      <c r="R242" s="221"/>
      <c r="S242" s="176">
        <f t="shared" si="395"/>
        <v>121.18021828660278</v>
      </c>
      <c r="T242" s="176">
        <f t="shared" si="396"/>
        <v>15</v>
      </c>
      <c r="U242" s="221">
        <f t="shared" si="397"/>
        <v>0.79541250462449142</v>
      </c>
      <c r="V242" s="221">
        <f t="shared" si="398"/>
        <v>0.32752279602184942</v>
      </c>
      <c r="W242" s="221">
        <f t="shared" si="399"/>
        <v>0.23345440387301633</v>
      </c>
      <c r="X242" s="201">
        <f t="shared" si="400"/>
        <v>350</v>
      </c>
      <c r="Y242" s="451">
        <f t="shared" si="401"/>
        <v>350</v>
      </c>
      <c r="AA242" s="221">
        <f t="shared" si="402"/>
        <v>4.0511577948192743</v>
      </c>
      <c r="AB242" s="177">
        <f t="shared" si="403"/>
        <v>1.1890190592760972</v>
      </c>
      <c r="AC242" s="177">
        <f t="shared" si="404"/>
        <v>1.2644372554209482</v>
      </c>
      <c r="AD242" s="177"/>
      <c r="AE242" s="177">
        <f t="shared" si="405"/>
        <v>0.24067085953878403</v>
      </c>
      <c r="AF242" s="559">
        <f t="shared" si="406"/>
        <v>1689.0456361009606</v>
      </c>
      <c r="AG242" s="542">
        <f t="shared" si="407"/>
        <v>5.1804402515723262E-2</v>
      </c>
      <c r="AI242" s="177">
        <f t="shared" si="408"/>
        <v>1.8013600304169275</v>
      </c>
      <c r="AJ242" s="177">
        <f t="shared" si="409"/>
        <v>1.8013600304169275</v>
      </c>
      <c r="AK242" s="177">
        <f t="shared" si="410"/>
        <v>1.9269333558643909</v>
      </c>
      <c r="AM242" s="559">
        <f t="shared" si="411"/>
        <v>250</v>
      </c>
      <c r="AN242" s="469">
        <f t="shared" si="412"/>
        <v>350</v>
      </c>
      <c r="AP242">
        <f t="shared" si="413"/>
        <v>250</v>
      </c>
      <c r="AQ242">
        <f t="shared" si="414"/>
        <v>350</v>
      </c>
      <c r="AS242" s="5">
        <f t="shared" si="345"/>
        <v>2.8571428571428572</v>
      </c>
      <c r="AT242" s="5">
        <f t="shared" si="415"/>
        <v>0.74173648311285245</v>
      </c>
      <c r="AU242" s="5">
        <f t="shared" si="423"/>
        <v>2.1154063740300049</v>
      </c>
      <c r="AV242" s="5"/>
      <c r="AW242" s="177">
        <f t="shared" si="424"/>
        <v>0.25960776908949834</v>
      </c>
      <c r="AX242" s="177"/>
      <c r="BA242" s="469">
        <f t="shared" si="416"/>
        <v>16.399012161831713</v>
      </c>
      <c r="BB242" s="469">
        <f t="shared" si="417"/>
        <v>2.8836949366793667</v>
      </c>
      <c r="BC242" s="5">
        <f t="shared" si="422"/>
        <v>0.65492457400309756</v>
      </c>
      <c r="BD242" s="469">
        <f t="shared" si="418"/>
        <v>0</v>
      </c>
      <c r="CD242" s="576">
        <f t="shared" si="419"/>
        <v>-50</v>
      </c>
      <c r="CE242">
        <f t="shared" si="420"/>
        <v>-50</v>
      </c>
    </row>
    <row r="243" spans="5:83" x14ac:dyDescent="0.25">
      <c r="E243" s="174">
        <v>26</v>
      </c>
      <c r="F243" s="221">
        <f t="shared" si="421"/>
        <v>0.26</v>
      </c>
      <c r="G243" s="221"/>
      <c r="H243" s="221">
        <f t="shared" si="387"/>
        <v>3.9000000000000004</v>
      </c>
      <c r="I243" s="555">
        <f t="shared" si="388"/>
        <v>17</v>
      </c>
      <c r="J243" s="451">
        <f t="shared" si="389"/>
        <v>23.85</v>
      </c>
      <c r="K243" s="451">
        <f t="shared" si="390"/>
        <v>40.85</v>
      </c>
      <c r="L243" s="451"/>
      <c r="M243" s="221">
        <f t="shared" si="391"/>
        <v>0.58384332925336602</v>
      </c>
      <c r="N243" s="176">
        <f t="shared" si="392"/>
        <v>19.329593023255811</v>
      </c>
      <c r="O243" s="176">
        <f t="shared" si="344"/>
        <v>3.9000000000000004</v>
      </c>
      <c r="P243" s="221">
        <f t="shared" si="393"/>
        <v>1.2886395348837207</v>
      </c>
      <c r="Q243" s="221">
        <f t="shared" si="394"/>
        <v>15</v>
      </c>
      <c r="R243" s="221"/>
      <c r="S243" s="176">
        <f t="shared" si="395"/>
        <v>116.0903917752897</v>
      </c>
      <c r="T243" s="176">
        <f t="shared" si="396"/>
        <v>15</v>
      </c>
      <c r="U243" s="221">
        <f t="shared" si="397"/>
        <v>0.82722900480947115</v>
      </c>
      <c r="V243" s="221">
        <f t="shared" si="398"/>
        <v>0.34062370786272339</v>
      </c>
      <c r="W243" s="221">
        <f t="shared" si="399"/>
        <v>0.24279258002793699</v>
      </c>
      <c r="X243" s="201">
        <f t="shared" si="400"/>
        <v>350</v>
      </c>
      <c r="Y243" s="451">
        <f t="shared" si="401"/>
        <v>350</v>
      </c>
      <c r="AA243" s="221">
        <f t="shared" si="402"/>
        <v>4.0511577948192743</v>
      </c>
      <c r="AB243" s="177">
        <f t="shared" si="403"/>
        <v>1.1890190592760972</v>
      </c>
      <c r="AC243" s="177">
        <f t="shared" si="404"/>
        <v>1.2644372554209482</v>
      </c>
      <c r="AD243" s="177"/>
      <c r="AE243" s="177">
        <f t="shared" si="405"/>
        <v>0.24067085953878403</v>
      </c>
      <c r="AF243" s="559">
        <f t="shared" si="406"/>
        <v>1756.6074615449991</v>
      </c>
      <c r="AG243" s="542">
        <f t="shared" si="407"/>
        <v>5.1804402515723262E-2</v>
      </c>
      <c r="AI243" s="177">
        <f t="shared" si="408"/>
        <v>1.8370339892204013</v>
      </c>
      <c r="AJ243" s="177">
        <f t="shared" si="409"/>
        <v>1.8370339892204013</v>
      </c>
      <c r="AK243" s="177">
        <f t="shared" si="410"/>
        <v>1.9533585105336304</v>
      </c>
      <c r="AM243" s="559">
        <f t="shared" si="411"/>
        <v>260</v>
      </c>
      <c r="AN243" s="469">
        <f t="shared" si="412"/>
        <v>350</v>
      </c>
      <c r="AP243">
        <f t="shared" si="413"/>
        <v>260</v>
      </c>
      <c r="AQ243">
        <f t="shared" si="414"/>
        <v>350</v>
      </c>
      <c r="AS243" s="5">
        <f t="shared" si="345"/>
        <v>2.8571428571428572</v>
      </c>
      <c r="AT243" s="5">
        <f t="shared" si="415"/>
        <v>0.75642576026722408</v>
      </c>
      <c r="AU243" s="5">
        <f t="shared" si="423"/>
        <v>2.1007170968756332</v>
      </c>
      <c r="AV243" s="5"/>
      <c r="AW243" s="177">
        <f t="shared" si="424"/>
        <v>0.26474901609352841</v>
      </c>
      <c r="AX243" s="177"/>
      <c r="BA243" s="469">
        <f t="shared" si="416"/>
        <v>16.399012161831713</v>
      </c>
      <c r="BB243" s="469">
        <f t="shared" si="417"/>
        <v>3.087804443512403</v>
      </c>
      <c r="BC243" s="5">
        <f t="shared" si="422"/>
        <v>0.67639188258534322</v>
      </c>
      <c r="BD243" s="469">
        <f t="shared" si="418"/>
        <v>0</v>
      </c>
      <c r="CD243" s="576">
        <f t="shared" si="419"/>
        <v>-50</v>
      </c>
      <c r="CE243">
        <f t="shared" si="420"/>
        <v>-50</v>
      </c>
    </row>
    <row r="244" spans="5:83" x14ac:dyDescent="0.25">
      <c r="E244" s="174">
        <v>27</v>
      </c>
      <c r="F244" s="221">
        <f t="shared" si="421"/>
        <v>0.27</v>
      </c>
      <c r="G244" s="221"/>
      <c r="H244" s="221">
        <f t="shared" si="387"/>
        <v>4.0500000000000007</v>
      </c>
      <c r="I244" s="555">
        <f t="shared" si="388"/>
        <v>17</v>
      </c>
      <c r="J244" s="451">
        <f t="shared" si="389"/>
        <v>23.85</v>
      </c>
      <c r="K244" s="451">
        <f t="shared" si="390"/>
        <v>40.85</v>
      </c>
      <c r="L244" s="451"/>
      <c r="M244" s="221">
        <f t="shared" si="391"/>
        <v>0.58384332925336602</v>
      </c>
      <c r="N244" s="176">
        <f t="shared" si="392"/>
        <v>19.329593023255811</v>
      </c>
      <c r="O244" s="176">
        <f t="shared" si="344"/>
        <v>4.0500000000000007</v>
      </c>
      <c r="P244" s="221">
        <f t="shared" si="393"/>
        <v>1.2886395348837207</v>
      </c>
      <c r="Q244" s="221">
        <f t="shared" si="394"/>
        <v>15</v>
      </c>
      <c r="R244" s="221"/>
      <c r="S244" s="176">
        <f t="shared" si="395"/>
        <v>111.37788306762928</v>
      </c>
      <c r="T244" s="176">
        <f t="shared" si="396"/>
        <v>15</v>
      </c>
      <c r="U244" s="221">
        <f t="shared" si="397"/>
        <v>0.85904550499445087</v>
      </c>
      <c r="V244" s="221">
        <f t="shared" si="398"/>
        <v>0.35372461970359736</v>
      </c>
      <c r="W244" s="221">
        <f t="shared" si="399"/>
        <v>0.25213075618285763</v>
      </c>
      <c r="X244" s="201">
        <f t="shared" si="400"/>
        <v>350</v>
      </c>
      <c r="Y244" s="451">
        <f t="shared" si="401"/>
        <v>350</v>
      </c>
      <c r="AA244" s="221">
        <f t="shared" si="402"/>
        <v>4.0511577948192743</v>
      </c>
      <c r="AB244" s="177">
        <f t="shared" si="403"/>
        <v>1.1890190592760972</v>
      </c>
      <c r="AC244" s="177">
        <f t="shared" si="404"/>
        <v>1.2644372554209482</v>
      </c>
      <c r="AD244" s="177"/>
      <c r="AE244" s="177">
        <f t="shared" si="405"/>
        <v>0.24067085953878403</v>
      </c>
      <c r="AF244" s="559">
        <f t="shared" si="406"/>
        <v>1824.1692869890376</v>
      </c>
      <c r="AG244" s="542">
        <f t="shared" si="407"/>
        <v>5.1804402515723262E-2</v>
      </c>
      <c r="AI244" s="177">
        <f t="shared" si="408"/>
        <v>1.8720282572435623</v>
      </c>
      <c r="AJ244" s="177">
        <f t="shared" si="409"/>
        <v>1.8720282572435623</v>
      </c>
      <c r="AK244" s="177">
        <f t="shared" si="410"/>
        <v>1.9792801905507869</v>
      </c>
      <c r="AM244" s="559">
        <f t="shared" si="411"/>
        <v>270</v>
      </c>
      <c r="AN244" s="469">
        <f t="shared" si="412"/>
        <v>350</v>
      </c>
      <c r="AP244">
        <f t="shared" si="413"/>
        <v>270</v>
      </c>
      <c r="AQ244">
        <f t="shared" si="414"/>
        <v>350</v>
      </c>
      <c r="AS244" s="5">
        <f t="shared" si="345"/>
        <v>2.8571428571428572</v>
      </c>
      <c r="AT244" s="5">
        <f t="shared" si="415"/>
        <v>0.77083516474734914</v>
      </c>
      <c r="AU244" s="5">
        <f t="shared" si="423"/>
        <v>2.0863076923955082</v>
      </c>
      <c r="AV244" s="5"/>
      <c r="AW244" s="177">
        <f t="shared" si="424"/>
        <v>0.26979230766157219</v>
      </c>
      <c r="AX244" s="177"/>
      <c r="BA244" s="469">
        <f t="shared" si="416"/>
        <v>16.399012161831713</v>
      </c>
      <c r="BB244" s="469">
        <f t="shared" si="417"/>
        <v>3.2987417741428136</v>
      </c>
      <c r="BC244" s="5">
        <f t="shared" si="422"/>
        <v>0.69758894977930319</v>
      </c>
      <c r="BD244" s="469">
        <f t="shared" si="418"/>
        <v>0</v>
      </c>
      <c r="CD244" s="576">
        <f t="shared" si="419"/>
        <v>-50</v>
      </c>
      <c r="CE244">
        <f t="shared" si="420"/>
        <v>-50</v>
      </c>
    </row>
    <row r="245" spans="5:83" x14ac:dyDescent="0.25">
      <c r="E245" s="174">
        <v>28</v>
      </c>
      <c r="F245" s="221">
        <f t="shared" si="421"/>
        <v>0.28000000000000003</v>
      </c>
      <c r="G245" s="221"/>
      <c r="H245" s="221">
        <f t="shared" si="387"/>
        <v>4.2</v>
      </c>
      <c r="I245" s="555">
        <f t="shared" si="388"/>
        <v>17</v>
      </c>
      <c r="J245" s="451">
        <f t="shared" si="389"/>
        <v>23.85</v>
      </c>
      <c r="K245" s="451">
        <f t="shared" si="390"/>
        <v>40.85</v>
      </c>
      <c r="L245" s="451"/>
      <c r="M245" s="221">
        <f t="shared" si="391"/>
        <v>0.58384332925336602</v>
      </c>
      <c r="N245" s="176">
        <f t="shared" si="392"/>
        <v>19.329593023255811</v>
      </c>
      <c r="O245" s="176">
        <f t="shared" si="344"/>
        <v>4.2</v>
      </c>
      <c r="P245" s="221">
        <f t="shared" si="393"/>
        <v>1.2886395348837207</v>
      </c>
      <c r="Q245" s="221">
        <f t="shared" si="394"/>
        <v>15</v>
      </c>
      <c r="R245" s="221"/>
      <c r="S245" s="176">
        <f t="shared" si="395"/>
        <v>107.00226808224657</v>
      </c>
      <c r="T245" s="176">
        <f t="shared" si="396"/>
        <v>15</v>
      </c>
      <c r="U245" s="221">
        <f t="shared" si="397"/>
        <v>0.89086200517943037</v>
      </c>
      <c r="V245" s="221">
        <f t="shared" si="398"/>
        <v>0.36682553154447134</v>
      </c>
      <c r="W245" s="221">
        <f t="shared" si="399"/>
        <v>0.26146893233777829</v>
      </c>
      <c r="X245" s="201">
        <f t="shared" si="400"/>
        <v>350</v>
      </c>
      <c r="Y245" s="451">
        <f t="shared" si="401"/>
        <v>350</v>
      </c>
      <c r="AA245" s="221">
        <f t="shared" si="402"/>
        <v>4.0511577948192743</v>
      </c>
      <c r="AB245" s="177">
        <f t="shared" si="403"/>
        <v>1.1890190592760972</v>
      </c>
      <c r="AC245" s="177">
        <f t="shared" si="404"/>
        <v>1.2644372554209482</v>
      </c>
      <c r="AD245" s="177"/>
      <c r="AE245" s="177">
        <f t="shared" si="405"/>
        <v>0.24067085953878403</v>
      </c>
      <c r="AF245" s="559">
        <f t="shared" si="406"/>
        <v>1891.7311124330761</v>
      </c>
      <c r="AG245" s="542">
        <f t="shared" si="407"/>
        <v>5.1804402515723262E-2</v>
      </c>
      <c r="AI245" s="177">
        <f t="shared" si="408"/>
        <v>1.9063802648699748</v>
      </c>
      <c r="AJ245" s="177">
        <f t="shared" si="409"/>
        <v>1.9063802648699748</v>
      </c>
      <c r="AK245" s="177">
        <f t="shared" si="410"/>
        <v>2.0047261221259074</v>
      </c>
      <c r="AM245" s="559">
        <f t="shared" si="411"/>
        <v>280</v>
      </c>
      <c r="AN245" s="469">
        <f t="shared" si="412"/>
        <v>350</v>
      </c>
      <c r="AP245">
        <f t="shared" si="413"/>
        <v>280</v>
      </c>
      <c r="AQ245">
        <f t="shared" si="414"/>
        <v>350</v>
      </c>
      <c r="AS245" s="5">
        <f t="shared" si="345"/>
        <v>2.8571428571428572</v>
      </c>
      <c r="AT245" s="5">
        <f t="shared" si="415"/>
        <v>0.78498010906410731</v>
      </c>
      <c r="AU245" s="5">
        <f t="shared" si="423"/>
        <v>2.0721627480787497</v>
      </c>
      <c r="AV245" s="5"/>
      <c r="AW245" s="177">
        <f t="shared" si="424"/>
        <v>0.27474303817243756</v>
      </c>
      <c r="AX245" s="177"/>
      <c r="BA245" s="469">
        <f t="shared" si="416"/>
        <v>16.399012161831713</v>
      </c>
      <c r="BB245" s="469">
        <f t="shared" si="417"/>
        <v>3.5165069285705979</v>
      </c>
      <c r="BC245" s="5">
        <f t="shared" si="422"/>
        <v>0.71852082905517012</v>
      </c>
      <c r="BD245" s="469">
        <f t="shared" si="418"/>
        <v>0</v>
      </c>
      <c r="CD245" s="576">
        <f t="shared" si="419"/>
        <v>-50</v>
      </c>
      <c r="CE245">
        <f t="shared" si="420"/>
        <v>-50</v>
      </c>
    </row>
    <row r="246" spans="5:83" x14ac:dyDescent="0.25">
      <c r="E246" s="174">
        <v>29</v>
      </c>
      <c r="F246" s="221">
        <f t="shared" si="421"/>
        <v>0.28999999999999998</v>
      </c>
      <c r="G246" s="221"/>
      <c r="H246" s="221">
        <f t="shared" si="387"/>
        <v>4.3499999999999996</v>
      </c>
      <c r="I246" s="555">
        <f t="shared" si="388"/>
        <v>17</v>
      </c>
      <c r="J246" s="451">
        <f t="shared" si="389"/>
        <v>23.85</v>
      </c>
      <c r="K246" s="451">
        <f t="shared" si="390"/>
        <v>40.85</v>
      </c>
      <c r="L246" s="451"/>
      <c r="M246" s="221">
        <f t="shared" si="391"/>
        <v>0.58384332925336602</v>
      </c>
      <c r="N246" s="176">
        <f t="shared" si="392"/>
        <v>19.329593023255811</v>
      </c>
      <c r="O246" s="176">
        <f t="shared" si="344"/>
        <v>4.3499999999999996</v>
      </c>
      <c r="P246" s="221">
        <f t="shared" si="393"/>
        <v>1.2886395348837207</v>
      </c>
      <c r="Q246" s="221">
        <f t="shared" si="394"/>
        <v>15</v>
      </c>
      <c r="R246" s="221"/>
      <c r="S246" s="176">
        <f t="shared" si="395"/>
        <v>102.92869850513574</v>
      </c>
      <c r="T246" s="176">
        <f t="shared" si="396"/>
        <v>15</v>
      </c>
      <c r="U246" s="221">
        <f t="shared" si="397"/>
        <v>0.92267850536440998</v>
      </c>
      <c r="V246" s="221">
        <f t="shared" si="398"/>
        <v>0.37992644338534526</v>
      </c>
      <c r="W246" s="221">
        <f t="shared" si="399"/>
        <v>0.2708071084926989</v>
      </c>
      <c r="X246" s="201">
        <f t="shared" si="400"/>
        <v>350</v>
      </c>
      <c r="Y246" s="451">
        <f t="shared" si="401"/>
        <v>350</v>
      </c>
      <c r="AA246" s="221">
        <f t="shared" si="402"/>
        <v>4.0511577948192743</v>
      </c>
      <c r="AB246" s="177">
        <f t="shared" si="403"/>
        <v>1.1890190592760972</v>
      </c>
      <c r="AC246" s="177">
        <f t="shared" si="404"/>
        <v>1.2644372554209482</v>
      </c>
      <c r="AD246" s="177"/>
      <c r="AE246" s="177">
        <f t="shared" si="405"/>
        <v>0.24067085953878403</v>
      </c>
      <c r="AF246" s="559">
        <f t="shared" si="406"/>
        <v>1959.2929378771141</v>
      </c>
      <c r="AG246" s="542">
        <f t="shared" si="407"/>
        <v>5.1804402515723262E-2</v>
      </c>
      <c r="AI246" s="177">
        <f t="shared" si="408"/>
        <v>1.9401241281559956</v>
      </c>
      <c r="AJ246" s="177">
        <f t="shared" si="409"/>
        <v>1.9401241281559956</v>
      </c>
      <c r="AK246" s="177">
        <f t="shared" si="410"/>
        <v>2.0297215764118484</v>
      </c>
      <c r="AM246" s="559">
        <f t="shared" si="411"/>
        <v>290</v>
      </c>
      <c r="AN246" s="469">
        <f t="shared" si="412"/>
        <v>350</v>
      </c>
      <c r="AP246">
        <f t="shared" si="413"/>
        <v>290</v>
      </c>
      <c r="AQ246">
        <f t="shared" si="414"/>
        <v>350</v>
      </c>
      <c r="AS246" s="5">
        <f t="shared" si="345"/>
        <v>2.8571428571428572</v>
      </c>
      <c r="AT246" s="5">
        <f t="shared" si="415"/>
        <v>0.79887464100540995</v>
      </c>
      <c r="AU246" s="5">
        <f t="shared" si="423"/>
        <v>2.0582682161374475</v>
      </c>
      <c r="AV246" s="5"/>
      <c r="AW246" s="177">
        <f t="shared" si="424"/>
        <v>0.27960612435189347</v>
      </c>
      <c r="AX246" s="177"/>
      <c r="BA246" s="469">
        <f t="shared" si="416"/>
        <v>16.399012161831713</v>
      </c>
      <c r="BB246" s="469">
        <f t="shared" si="417"/>
        <v>3.7410999067957551</v>
      </c>
      <c r="BC246" s="5">
        <f t="shared" si="422"/>
        <v>0.73919230053233409</v>
      </c>
      <c r="BD246" s="469">
        <f t="shared" si="418"/>
        <v>0</v>
      </c>
      <c r="CD246" s="576">
        <f t="shared" si="419"/>
        <v>-50</v>
      </c>
      <c r="CE246">
        <f t="shared" si="420"/>
        <v>-50</v>
      </c>
    </row>
    <row r="247" spans="5:83" x14ac:dyDescent="0.25">
      <c r="E247" s="174">
        <v>30</v>
      </c>
      <c r="F247" s="221">
        <f t="shared" si="421"/>
        <v>0.3</v>
      </c>
      <c r="G247" s="221"/>
      <c r="H247" s="221">
        <f t="shared" si="387"/>
        <v>4.5</v>
      </c>
      <c r="I247" s="555">
        <f t="shared" si="388"/>
        <v>17</v>
      </c>
      <c r="J247" s="451">
        <f t="shared" si="389"/>
        <v>23.85</v>
      </c>
      <c r="K247" s="451">
        <f t="shared" si="390"/>
        <v>40.85</v>
      </c>
      <c r="L247" s="451"/>
      <c r="M247" s="221">
        <f t="shared" si="391"/>
        <v>0.58384332925336602</v>
      </c>
      <c r="N247" s="176">
        <f t="shared" si="392"/>
        <v>19.329593023255811</v>
      </c>
      <c r="O247" s="176">
        <f t="shared" si="344"/>
        <v>4.5</v>
      </c>
      <c r="P247" s="221">
        <f t="shared" si="393"/>
        <v>1.2886395348837207</v>
      </c>
      <c r="Q247" s="221">
        <f t="shared" si="394"/>
        <v>15</v>
      </c>
      <c r="R247" s="221"/>
      <c r="S247" s="176">
        <f t="shared" si="395"/>
        <v>99.126972495473268</v>
      </c>
      <c r="T247" s="176">
        <f t="shared" si="396"/>
        <v>15</v>
      </c>
      <c r="U247" s="221">
        <f t="shared" si="397"/>
        <v>0.95449500554938971</v>
      </c>
      <c r="V247" s="221">
        <f t="shared" si="398"/>
        <v>0.39302735522621929</v>
      </c>
      <c r="W247" s="221">
        <f t="shared" si="399"/>
        <v>0.28014528464761962</v>
      </c>
      <c r="X247" s="201">
        <f t="shared" si="400"/>
        <v>350</v>
      </c>
      <c r="Y247" s="451">
        <f t="shared" si="401"/>
        <v>350</v>
      </c>
      <c r="AA247" s="221">
        <f t="shared" si="402"/>
        <v>4.0511577948192743</v>
      </c>
      <c r="AB247" s="177">
        <f t="shared" si="403"/>
        <v>1.1890190592760972</v>
      </c>
      <c r="AC247" s="177">
        <f t="shared" si="404"/>
        <v>1.2644372554209482</v>
      </c>
      <c r="AD247" s="177"/>
      <c r="AE247" s="177">
        <f t="shared" si="405"/>
        <v>0.24067085953878403</v>
      </c>
      <c r="AF247" s="559">
        <f t="shared" si="406"/>
        <v>2026.8547633211526</v>
      </c>
      <c r="AG247" s="542">
        <f t="shared" si="407"/>
        <v>5.1804402515723262E-2</v>
      </c>
      <c r="AI247" s="177">
        <f t="shared" si="408"/>
        <v>1.9732910456950867</v>
      </c>
      <c r="AJ247" s="177">
        <f t="shared" si="409"/>
        <v>1.9732910456950867</v>
      </c>
      <c r="AK247" s="177">
        <f t="shared" si="410"/>
        <v>2.0542896634778418</v>
      </c>
      <c r="AM247" s="559">
        <f t="shared" si="411"/>
        <v>300</v>
      </c>
      <c r="AN247" s="469">
        <f t="shared" si="412"/>
        <v>350</v>
      </c>
      <c r="AP247">
        <f t="shared" si="413"/>
        <v>300</v>
      </c>
      <c r="AQ247">
        <f t="shared" si="414"/>
        <v>350</v>
      </c>
      <c r="AS247" s="5">
        <f t="shared" si="345"/>
        <v>2.8571428571428572</v>
      </c>
      <c r="AT247" s="5">
        <f t="shared" si="415"/>
        <v>0.81253160705091809</v>
      </c>
      <c r="AU247" s="5">
        <f t="shared" si="423"/>
        <v>2.0446112500919389</v>
      </c>
      <c r="AV247" s="5"/>
      <c r="AW247" s="177">
        <f t="shared" si="424"/>
        <v>0.28438606246782133</v>
      </c>
      <c r="AX247" s="177"/>
      <c r="BA247" s="469">
        <f t="shared" si="416"/>
        <v>16.399012161831713</v>
      </c>
      <c r="BB247" s="469">
        <f t="shared" si="417"/>
        <v>3.9725207088182879</v>
      </c>
      <c r="BC247" s="5">
        <f t="shared" si="422"/>
        <v>0.7596078947709991</v>
      </c>
      <c r="BD247" s="469">
        <f t="shared" si="418"/>
        <v>0</v>
      </c>
      <c r="CD247" s="576">
        <f t="shared" si="419"/>
        <v>-50</v>
      </c>
      <c r="CE247">
        <f t="shared" si="420"/>
        <v>-50</v>
      </c>
    </row>
    <row r="248" spans="5:83" x14ac:dyDescent="0.25">
      <c r="E248" s="174">
        <v>31</v>
      </c>
      <c r="F248" s="221">
        <f t="shared" si="421"/>
        <v>0.31</v>
      </c>
      <c r="G248" s="221"/>
      <c r="H248" s="221">
        <f t="shared" si="387"/>
        <v>4.6500000000000004</v>
      </c>
      <c r="I248" s="555">
        <f t="shared" si="388"/>
        <v>17</v>
      </c>
      <c r="J248" s="451">
        <f t="shared" si="389"/>
        <v>23.85</v>
      </c>
      <c r="K248" s="451">
        <f t="shared" si="390"/>
        <v>40.85</v>
      </c>
      <c r="L248" s="451"/>
      <c r="M248" s="221">
        <f t="shared" si="391"/>
        <v>0.58384332925336602</v>
      </c>
      <c r="N248" s="176">
        <f t="shared" si="392"/>
        <v>19.329593023255811</v>
      </c>
      <c r="O248" s="176">
        <f t="shared" si="344"/>
        <v>4.6500000000000004</v>
      </c>
      <c r="P248" s="221">
        <f t="shared" si="393"/>
        <v>1.2886395348837207</v>
      </c>
      <c r="Q248" s="221">
        <f t="shared" si="394"/>
        <v>15</v>
      </c>
      <c r="R248" s="221"/>
      <c r="S248" s="176">
        <f t="shared" si="395"/>
        <v>95.570785254825083</v>
      </c>
      <c r="T248" s="176">
        <f t="shared" si="396"/>
        <v>15</v>
      </c>
      <c r="U248" s="221">
        <f t="shared" si="397"/>
        <v>0.98631150573436943</v>
      </c>
      <c r="V248" s="221">
        <f t="shared" si="398"/>
        <v>0.40612826706709332</v>
      </c>
      <c r="W248" s="221">
        <f t="shared" si="399"/>
        <v>0.28948346080254028</v>
      </c>
      <c r="X248" s="201">
        <f t="shared" si="400"/>
        <v>350</v>
      </c>
      <c r="Y248" s="451">
        <f t="shared" si="401"/>
        <v>350</v>
      </c>
      <c r="AA248" s="221">
        <f t="shared" si="402"/>
        <v>4.0511577948192743</v>
      </c>
      <c r="AB248" s="177">
        <f t="shared" si="403"/>
        <v>1.1890190592760972</v>
      </c>
      <c r="AC248" s="177">
        <f t="shared" si="404"/>
        <v>1.2644372554209482</v>
      </c>
      <c r="AD248" s="177"/>
      <c r="AE248" s="177">
        <f t="shared" si="405"/>
        <v>0.24067085953878403</v>
      </c>
      <c r="AF248" s="559">
        <f t="shared" si="406"/>
        <v>2094.4165887651911</v>
      </c>
      <c r="AG248" s="542">
        <f t="shared" si="407"/>
        <v>5.1804402515723262E-2</v>
      </c>
      <c r="AI248" s="177">
        <f t="shared" si="408"/>
        <v>2.0059096363963547</v>
      </c>
      <c r="AJ248" s="177">
        <f t="shared" si="409"/>
        <v>2.0059096363963547</v>
      </c>
      <c r="AK248" s="177">
        <f t="shared" si="410"/>
        <v>2.0784515825158181</v>
      </c>
      <c r="AM248" s="559">
        <f t="shared" si="411"/>
        <v>310</v>
      </c>
      <c r="AN248" s="469">
        <f t="shared" si="412"/>
        <v>350</v>
      </c>
      <c r="AP248">
        <f t="shared" si="413"/>
        <v>310</v>
      </c>
      <c r="AQ248">
        <f t="shared" si="414"/>
        <v>350</v>
      </c>
      <c r="AS248" s="5">
        <f t="shared" si="345"/>
        <v>2.8571428571428572</v>
      </c>
      <c r="AT248" s="5">
        <f t="shared" si="415"/>
        <v>0.82596279145732243</v>
      </c>
      <c r="AU248" s="5">
        <f t="shared" si="423"/>
        <v>2.0311800656855348</v>
      </c>
      <c r="AV248" s="5"/>
      <c r="AW248" s="177">
        <f t="shared" si="424"/>
        <v>0.28908697701006286</v>
      </c>
      <c r="AX248" s="177"/>
      <c r="BA248" s="469">
        <f t="shared" si="416"/>
        <v>16.399012161831713</v>
      </c>
      <c r="BB248" s="469">
        <f t="shared" si="417"/>
        <v>4.2107693346381945</v>
      </c>
      <c r="BC248" s="5">
        <f t="shared" si="422"/>
        <v>0.77977191376162958</v>
      </c>
      <c r="BD248" s="469">
        <f t="shared" si="418"/>
        <v>0</v>
      </c>
      <c r="CD248" s="576">
        <f t="shared" si="419"/>
        <v>-50</v>
      </c>
      <c r="CE248">
        <f t="shared" si="420"/>
        <v>-50</v>
      </c>
    </row>
    <row r="249" spans="5:83" x14ac:dyDescent="0.25">
      <c r="E249" s="174">
        <v>32</v>
      </c>
      <c r="F249" s="221">
        <f t="shared" si="421"/>
        <v>0.32</v>
      </c>
      <c r="G249" s="221"/>
      <c r="H249" s="221">
        <f t="shared" ref="H249:H280" si="425">F249*Vout</f>
        <v>4.8</v>
      </c>
      <c r="I249" s="555">
        <f t="shared" ref="I249:I280" si="426">VIN_max</f>
        <v>17</v>
      </c>
      <c r="J249" s="451">
        <f t="shared" ref="J249:J280" si="427">(T249+Vfwd1)*Nps</f>
        <v>23.85</v>
      </c>
      <c r="K249" s="451">
        <f t="shared" ref="K249:K280" si="428">(Vout+Vfwd1)*Nps+I249</f>
        <v>40.85</v>
      </c>
      <c r="L249" s="451"/>
      <c r="M249" s="221">
        <f t="shared" ref="M249:M280" si="429">(Vout+Vfwd1)*Nps/((Vout+Vfwd1)*Nps+I249)</f>
        <v>0.58384332925336602</v>
      </c>
      <c r="N249" s="176">
        <f t="shared" ref="N249:N280" si="430">M249*I249*Isw_max*0.5*Efficiency</f>
        <v>19.329593023255811</v>
      </c>
      <c r="O249" s="176">
        <f t="shared" si="344"/>
        <v>4.8</v>
      </c>
      <c r="P249" s="221">
        <f t="shared" ref="P249:P280" si="431">N249/Vout</f>
        <v>1.2886395348837207</v>
      </c>
      <c r="Q249" s="221">
        <f t="shared" ref="Q249:Q280" si="432">MIN(Vout,N249/F249)</f>
        <v>15</v>
      </c>
      <c r="R249" s="221"/>
      <c r="S249" s="176">
        <f t="shared" ref="S249:S280" si="433">(SQRT(Isw_max^2*Nps^2*I249^2+4*Isw_max*F249/Efficiency*(Nps^2*Vfwd1*I249-Nps*I249^2)+4*(F249/Efficiency)^2*Nps^2*Vfwd1^2+8*(F249/Efficiency)^2*Nps*Vfwd1*I249+4*(F249/Efficiency)^2*I249^2)-2*F249/Efficiency*I249-2*F249/Efficiency*Nps*Vfwd1+Isw_max*Nps*I249)/(4*F249/Efficiency*Nps)</f>
        <v>92.23712011463077</v>
      </c>
      <c r="T249" s="176">
        <f t="shared" ref="T249:T280" si="434">MIN(Vout, S249)</f>
        <v>15</v>
      </c>
      <c r="U249" s="221">
        <f t="shared" ref="U249:U280" si="435">MIN(2*Vout*F249/(Efficiency*I249*M249), Isw_max)</f>
        <v>1.0181280059193489</v>
      </c>
      <c r="V249" s="221">
        <f t="shared" ref="V249:V280" si="436">L*U249/I249*1000000</f>
        <v>0.41922917890796718</v>
      </c>
      <c r="W249" s="221">
        <f t="shared" ref="W249:W280" si="437">L*U249/J249*1000000</f>
        <v>0.29882163695746089</v>
      </c>
      <c r="X249" s="201">
        <f t="shared" ref="X249:X280" si="438">IF(1/((350000*L)*(1/I249+1/J249))&gt;Isw_min, 350, 0.001/((Isw_min*L)*(1/I249+1/J249)))</f>
        <v>350</v>
      </c>
      <c r="Y249" s="451">
        <f t="shared" si="401"/>
        <v>350</v>
      </c>
      <c r="AA249" s="221">
        <f t="shared" ref="AA249:AA280" si="439">1/((X249*1000*L)*(1/I249+1/J249))</f>
        <v>4.0511577948192743</v>
      </c>
      <c r="AB249" s="177">
        <f t="shared" ref="AB249:AB280" si="440">L*AA249/J249*1000000</f>
        <v>1.1890190592760972</v>
      </c>
      <c r="AC249" s="177">
        <f t="shared" ref="AC249:AC280" si="441">0.5*AB249*AA249*Nps*X249/1000</f>
        <v>1.2644372554209482</v>
      </c>
      <c r="AD249" s="177"/>
      <c r="AE249" s="177">
        <f t="shared" ref="AE249:AE280" si="442">L*Isw_min/J249*1000000</f>
        <v>0.24067085953878403</v>
      </c>
      <c r="AF249" s="559">
        <f t="shared" ref="AF249:AF280" si="443">MAX(12000,F249/(0.5*AE249/1000000*Isw_min*Nps))/1000</f>
        <v>2161.9784142092299</v>
      </c>
      <c r="AG249" s="542">
        <f t="shared" ref="AG249:AG280" si="444">0.5*AE249/1000000*Isw_min*Nps*X249*1000</f>
        <v>5.1804402515723262E-2</v>
      </c>
      <c r="AI249" s="177">
        <f t="shared" ref="AI249:AI280" si="445">SQRT(F249/(0.5*L/J249*Fsw_DCM*Nps))</f>
        <v>2.0380062285859442</v>
      </c>
      <c r="AJ249" s="177">
        <f t="shared" ref="AJ249:AJ280" si="446">MAX(IF(F249&gt;AC249,U249,AI249),Isw_min)</f>
        <v>2.0380062285859442</v>
      </c>
      <c r="AK249" s="177">
        <f t="shared" ref="AK249:AK280" si="447">IF(F249&gt;AG249, (AJ249-Isw_min)/1.08*0.8+1.2, AF249*0.2/350+1)</f>
        <v>2.1022268359895881</v>
      </c>
      <c r="AM249" s="559">
        <f t="shared" ref="AM249:AM280" si="448">F249*1000</f>
        <v>320</v>
      </c>
      <c r="AN249" s="469">
        <f t="shared" ref="AN249:AN280" si="449">IF(F249&gt;AG249, Y249, AF249)</f>
        <v>350</v>
      </c>
      <c r="AP249">
        <f t="shared" ref="AP249:AP280" si="450">IF(H249&gt;N249, "",AM249)</f>
        <v>320</v>
      </c>
      <c r="AQ249">
        <f t="shared" ref="AQ249:AQ280" si="451">IF(H249&gt;N249, "",AN249)</f>
        <v>350</v>
      </c>
      <c r="AS249" s="5">
        <f t="shared" si="345"/>
        <v>2.8571428571428572</v>
      </c>
      <c r="AT249" s="5">
        <f t="shared" ref="AT249:AT280" si="452">L*AJ249/I249*1000000</f>
        <v>0.83917903530009463</v>
      </c>
      <c r="AU249" s="5">
        <f t="shared" si="423"/>
        <v>2.0179638218427627</v>
      </c>
      <c r="AV249" s="5"/>
      <c r="AW249" s="177">
        <f t="shared" si="424"/>
        <v>0.29371266235503313</v>
      </c>
      <c r="AX249" s="177"/>
      <c r="BA249" s="469">
        <f t="shared" ref="BA249:BA280" si="453">L*Isw_max^2/(2*Vout_ripple*Vout)*1000000000*((1+M249)/2)^2</f>
        <v>16.399012161831713</v>
      </c>
      <c r="BB249" s="469">
        <f t="shared" ref="BB249:BB280" si="454">L*F249^2/(2*Cout*Vout*Nps^2)*1000000000*((1+M249)/(1-M249))^2+F249*RCoutEsr</f>
        <v>4.4558457842554748</v>
      </c>
      <c r="BC249" s="5">
        <f t="shared" si="422"/>
        <v>0.79968844952282847</v>
      </c>
      <c r="BD249" s="469">
        <f t="shared" ref="BD249:BD280" si="455">((BY249/I249/Efficiency)*AU249/Cin+(BY249/I249/Efficiency)*RCinEsr)*1000</f>
        <v>0</v>
      </c>
      <c r="CD249" s="576">
        <f t="shared" ref="CD249:CD280" si="456">IF(ABS(F249-Ioutmax_Vinmax)&lt;Iout/200, AN249, -50)</f>
        <v>-50</v>
      </c>
      <c r="CE249">
        <f t="shared" ref="CE249:CE280" si="457">IF(ABS(F249-Ioutmax_Vinmin)&lt;Iout/200, N249*BZ249, -50)</f>
        <v>-50</v>
      </c>
    </row>
    <row r="250" spans="5:83" x14ac:dyDescent="0.25">
      <c r="E250" s="174">
        <v>33</v>
      </c>
      <c r="F250" s="221">
        <f t="shared" ref="F250:F281" si="458">IF(PLOT_TYPE=1, E250/100*Iout_max, min_I*EXP(N250*rr/100))</f>
        <v>0.33</v>
      </c>
      <c r="G250" s="221"/>
      <c r="H250" s="221">
        <f t="shared" si="425"/>
        <v>4.95</v>
      </c>
      <c r="I250" s="555">
        <f t="shared" si="426"/>
        <v>17</v>
      </c>
      <c r="J250" s="451">
        <f t="shared" si="427"/>
        <v>23.85</v>
      </c>
      <c r="K250" s="451">
        <f t="shared" si="428"/>
        <v>40.85</v>
      </c>
      <c r="L250" s="451"/>
      <c r="M250" s="221">
        <f t="shared" si="429"/>
        <v>0.58384332925336602</v>
      </c>
      <c r="N250" s="176">
        <f t="shared" si="430"/>
        <v>19.329593023255811</v>
      </c>
      <c r="O250" s="176">
        <f t="shared" si="344"/>
        <v>4.95</v>
      </c>
      <c r="P250" s="221">
        <f t="shared" si="431"/>
        <v>1.2886395348837207</v>
      </c>
      <c r="Q250" s="221">
        <f t="shared" si="432"/>
        <v>15</v>
      </c>
      <c r="R250" s="221"/>
      <c r="S250" s="176">
        <f t="shared" si="433"/>
        <v>89.105750335057522</v>
      </c>
      <c r="T250" s="176">
        <f t="shared" si="434"/>
        <v>15</v>
      </c>
      <c r="U250" s="221">
        <f t="shared" si="435"/>
        <v>1.0499445061043287</v>
      </c>
      <c r="V250" s="221">
        <f t="shared" si="436"/>
        <v>0.43233009074884121</v>
      </c>
      <c r="W250" s="221">
        <f t="shared" si="437"/>
        <v>0.30815981311238155</v>
      </c>
      <c r="X250" s="201">
        <f t="shared" si="438"/>
        <v>350</v>
      </c>
      <c r="Y250" s="451">
        <f t="shared" si="401"/>
        <v>350</v>
      </c>
      <c r="AA250" s="221">
        <f t="shared" si="439"/>
        <v>4.0511577948192743</v>
      </c>
      <c r="AB250" s="177">
        <f t="shared" si="440"/>
        <v>1.1890190592760972</v>
      </c>
      <c r="AC250" s="177">
        <f t="shared" si="441"/>
        <v>1.2644372554209482</v>
      </c>
      <c r="AD250" s="177"/>
      <c r="AE250" s="177">
        <f t="shared" si="442"/>
        <v>0.24067085953878403</v>
      </c>
      <c r="AF250" s="559">
        <f t="shared" si="443"/>
        <v>2229.5402396532677</v>
      </c>
      <c r="AG250" s="542">
        <f t="shared" si="444"/>
        <v>5.1804402515723262E-2</v>
      </c>
      <c r="AI250" s="177">
        <f t="shared" si="445"/>
        <v>2.0696051087399381</v>
      </c>
      <c r="AJ250" s="177">
        <f t="shared" si="446"/>
        <v>2.0696051087399381</v>
      </c>
      <c r="AK250" s="177">
        <f t="shared" si="447"/>
        <v>2.1256334138814355</v>
      </c>
      <c r="AM250" s="559">
        <f t="shared" si="448"/>
        <v>330</v>
      </c>
      <c r="AN250" s="469">
        <f t="shared" si="449"/>
        <v>350</v>
      </c>
      <c r="AP250">
        <f t="shared" si="450"/>
        <v>330</v>
      </c>
      <c r="AQ250">
        <f t="shared" si="451"/>
        <v>350</v>
      </c>
      <c r="AS250" s="5">
        <f t="shared" si="345"/>
        <v>2.8571428571428572</v>
      </c>
      <c r="AT250" s="5">
        <f t="shared" si="452"/>
        <v>0.85219033889291562</v>
      </c>
      <c r="AU250" s="5">
        <f t="shared" si="423"/>
        <v>2.0049525182499415</v>
      </c>
      <c r="AV250" s="5"/>
      <c r="AW250" s="177">
        <f t="shared" si="424"/>
        <v>0.29826661861252046</v>
      </c>
      <c r="AX250" s="177"/>
      <c r="BA250" s="469">
        <f t="shared" si="453"/>
        <v>16.399012161831713</v>
      </c>
      <c r="BB250" s="469">
        <f t="shared" si="454"/>
        <v>4.707750057670129</v>
      </c>
      <c r="BC250" s="5">
        <f t="shared" si="422"/>
        <v>0.819361400647035</v>
      </c>
      <c r="BD250" s="469">
        <f t="shared" si="455"/>
        <v>0</v>
      </c>
      <c r="CD250" s="576">
        <f t="shared" si="456"/>
        <v>-50</v>
      </c>
      <c r="CE250">
        <f t="shared" si="457"/>
        <v>-50</v>
      </c>
    </row>
    <row r="251" spans="5:83" x14ac:dyDescent="0.25">
      <c r="E251" s="174">
        <v>34</v>
      </c>
      <c r="F251" s="221">
        <f t="shared" si="458"/>
        <v>0.34</v>
      </c>
      <c r="G251" s="221"/>
      <c r="H251" s="221">
        <f t="shared" si="425"/>
        <v>5.1000000000000005</v>
      </c>
      <c r="I251" s="555">
        <f t="shared" si="426"/>
        <v>17</v>
      </c>
      <c r="J251" s="451">
        <f t="shared" si="427"/>
        <v>23.85</v>
      </c>
      <c r="K251" s="451">
        <f t="shared" si="428"/>
        <v>40.85</v>
      </c>
      <c r="L251" s="451"/>
      <c r="M251" s="221">
        <f t="shared" si="429"/>
        <v>0.58384332925336602</v>
      </c>
      <c r="N251" s="176">
        <f t="shared" si="430"/>
        <v>19.329593023255811</v>
      </c>
      <c r="O251" s="176">
        <f t="shared" si="344"/>
        <v>5.1000000000000005</v>
      </c>
      <c r="P251" s="221">
        <f t="shared" si="431"/>
        <v>1.2886395348837207</v>
      </c>
      <c r="Q251" s="221">
        <f t="shared" si="432"/>
        <v>15</v>
      </c>
      <c r="R251" s="221"/>
      <c r="S251" s="176">
        <f t="shared" si="433"/>
        <v>86.158828821706535</v>
      </c>
      <c r="T251" s="176">
        <f t="shared" si="434"/>
        <v>15</v>
      </c>
      <c r="U251" s="221">
        <f t="shared" si="435"/>
        <v>1.0817610062893084</v>
      </c>
      <c r="V251" s="221">
        <f t="shared" si="436"/>
        <v>0.44543100258971519</v>
      </c>
      <c r="W251" s="221">
        <f t="shared" si="437"/>
        <v>0.31749798926730222</v>
      </c>
      <c r="X251" s="201">
        <f t="shared" si="438"/>
        <v>350</v>
      </c>
      <c r="Y251" s="451">
        <f t="shared" si="401"/>
        <v>350</v>
      </c>
      <c r="AA251" s="221">
        <f t="shared" si="439"/>
        <v>4.0511577948192743</v>
      </c>
      <c r="AB251" s="177">
        <f t="shared" si="440"/>
        <v>1.1890190592760972</v>
      </c>
      <c r="AC251" s="177">
        <f t="shared" si="441"/>
        <v>1.2644372554209482</v>
      </c>
      <c r="AD251" s="177"/>
      <c r="AE251" s="177">
        <f t="shared" si="442"/>
        <v>0.24067085953878403</v>
      </c>
      <c r="AF251" s="559">
        <f t="shared" si="443"/>
        <v>2297.1020650973064</v>
      </c>
      <c r="AG251" s="542">
        <f t="shared" si="444"/>
        <v>5.1804402515723262E-2</v>
      </c>
      <c r="AI251" s="177">
        <f t="shared" si="445"/>
        <v>2.1007287365316345</v>
      </c>
      <c r="AJ251" s="177">
        <f t="shared" si="446"/>
        <v>2.1007287365316345</v>
      </c>
      <c r="AK251" s="177">
        <f t="shared" si="447"/>
        <v>2.1486879529863958</v>
      </c>
      <c r="AM251" s="559">
        <f t="shared" si="448"/>
        <v>340</v>
      </c>
      <c r="AN251" s="469">
        <f t="shared" si="449"/>
        <v>350</v>
      </c>
      <c r="AP251">
        <f t="shared" si="450"/>
        <v>340</v>
      </c>
      <c r="AQ251">
        <f t="shared" si="451"/>
        <v>350</v>
      </c>
      <c r="AS251" s="5">
        <f t="shared" si="345"/>
        <v>2.8571428571428572</v>
      </c>
      <c r="AT251" s="5">
        <f t="shared" si="452"/>
        <v>0.86500595033655536</v>
      </c>
      <c r="AU251" s="5">
        <f t="shared" si="423"/>
        <v>1.992136906806302</v>
      </c>
      <c r="AV251" s="5"/>
      <c r="AW251" s="177">
        <f t="shared" si="424"/>
        <v>0.30275208261779435</v>
      </c>
      <c r="AX251" s="177"/>
      <c r="BA251" s="469">
        <f t="shared" si="453"/>
        <v>16.399012161831713</v>
      </c>
      <c r="BB251" s="469">
        <f t="shared" si="454"/>
        <v>4.9664821548821578</v>
      </c>
      <c r="BC251" s="5">
        <f t="shared" si="422"/>
        <v>0.83879448707633786</v>
      </c>
      <c r="BD251" s="469">
        <f t="shared" si="455"/>
        <v>0</v>
      </c>
      <c r="CD251" s="576">
        <f t="shared" si="456"/>
        <v>-50</v>
      </c>
      <c r="CE251">
        <f t="shared" si="457"/>
        <v>-50</v>
      </c>
    </row>
    <row r="252" spans="5:83" x14ac:dyDescent="0.25">
      <c r="E252" s="174">
        <v>35</v>
      </c>
      <c r="F252" s="221">
        <f t="shared" si="458"/>
        <v>0.35</v>
      </c>
      <c r="G252" s="221"/>
      <c r="H252" s="221">
        <f t="shared" si="425"/>
        <v>5.25</v>
      </c>
      <c r="I252" s="555">
        <f t="shared" si="426"/>
        <v>17</v>
      </c>
      <c r="J252" s="451">
        <f t="shared" si="427"/>
        <v>23.85</v>
      </c>
      <c r="K252" s="451">
        <f t="shared" si="428"/>
        <v>40.85</v>
      </c>
      <c r="L252" s="451"/>
      <c r="M252" s="221">
        <f t="shared" si="429"/>
        <v>0.58384332925336602</v>
      </c>
      <c r="N252" s="176">
        <f t="shared" si="430"/>
        <v>19.329593023255811</v>
      </c>
      <c r="O252" s="176">
        <f t="shared" si="344"/>
        <v>5.25</v>
      </c>
      <c r="P252" s="221">
        <f t="shared" si="431"/>
        <v>1.2886395348837207</v>
      </c>
      <c r="Q252" s="221">
        <f t="shared" si="432"/>
        <v>15</v>
      </c>
      <c r="R252" s="221"/>
      <c r="S252" s="176">
        <f t="shared" si="433"/>
        <v>83.38054817660111</v>
      </c>
      <c r="T252" s="176">
        <f t="shared" si="434"/>
        <v>15</v>
      </c>
      <c r="U252" s="221">
        <f t="shared" si="435"/>
        <v>1.1135775064742879</v>
      </c>
      <c r="V252" s="221">
        <f t="shared" si="436"/>
        <v>0.4585319144305891</v>
      </c>
      <c r="W252" s="221">
        <f t="shared" si="437"/>
        <v>0.32683616542222282</v>
      </c>
      <c r="X252" s="201">
        <f t="shared" si="438"/>
        <v>350</v>
      </c>
      <c r="Y252" s="451">
        <f t="shared" si="401"/>
        <v>350</v>
      </c>
      <c r="AA252" s="221">
        <f t="shared" si="439"/>
        <v>4.0511577948192743</v>
      </c>
      <c r="AB252" s="177">
        <f t="shared" si="440"/>
        <v>1.1890190592760972</v>
      </c>
      <c r="AC252" s="177">
        <f t="shared" si="441"/>
        <v>1.2644372554209482</v>
      </c>
      <c r="AD252" s="177"/>
      <c r="AE252" s="177">
        <f t="shared" si="442"/>
        <v>0.24067085953878403</v>
      </c>
      <c r="AF252" s="559">
        <f t="shared" si="443"/>
        <v>2364.6638905413447</v>
      </c>
      <c r="AG252" s="542">
        <f t="shared" si="444"/>
        <v>5.1804402515723262E-2</v>
      </c>
      <c r="AI252" s="177">
        <f t="shared" si="445"/>
        <v>2.1313979316066587</v>
      </c>
      <c r="AJ252" s="177">
        <f t="shared" si="446"/>
        <v>2.1313979316066587</v>
      </c>
      <c r="AK252" s="177">
        <f t="shared" si="447"/>
        <v>2.1714058752641918</v>
      </c>
      <c r="AM252" s="559">
        <f t="shared" si="448"/>
        <v>350</v>
      </c>
      <c r="AN252" s="469">
        <f t="shared" si="449"/>
        <v>350</v>
      </c>
      <c r="AP252">
        <f t="shared" si="450"/>
        <v>350</v>
      </c>
      <c r="AQ252">
        <f t="shared" si="451"/>
        <v>350</v>
      </c>
      <c r="AS252" s="5">
        <f t="shared" si="345"/>
        <v>2.8571428571428572</v>
      </c>
      <c r="AT252" s="5">
        <f t="shared" si="452"/>
        <v>0.8776344424262712</v>
      </c>
      <c r="AU252" s="5">
        <f t="shared" si="423"/>
        <v>1.979508414716586</v>
      </c>
      <c r="AV252" s="5"/>
      <c r="AW252" s="177">
        <f t="shared" si="424"/>
        <v>0.30717205484919491</v>
      </c>
      <c r="AX252" s="177"/>
      <c r="BA252" s="469">
        <f t="shared" si="453"/>
        <v>16.399012161831713</v>
      </c>
      <c r="BB252" s="469">
        <f t="shared" si="454"/>
        <v>5.2320420758915578</v>
      </c>
      <c r="BC252" s="5">
        <f t="shared" si="422"/>
        <v>0.85799126334465026</v>
      </c>
      <c r="BD252" s="469">
        <f t="shared" si="455"/>
        <v>0</v>
      </c>
      <c r="CD252" s="576">
        <f t="shared" si="456"/>
        <v>-50</v>
      </c>
      <c r="CE252">
        <f t="shared" si="457"/>
        <v>-50</v>
      </c>
    </row>
    <row r="253" spans="5:83" x14ac:dyDescent="0.25">
      <c r="E253" s="174">
        <v>36</v>
      </c>
      <c r="F253" s="221">
        <f t="shared" si="458"/>
        <v>0.36</v>
      </c>
      <c r="G253" s="221"/>
      <c r="H253" s="221">
        <f t="shared" si="425"/>
        <v>5.3999999999999995</v>
      </c>
      <c r="I253" s="555">
        <f t="shared" si="426"/>
        <v>17</v>
      </c>
      <c r="J253" s="451">
        <f t="shared" si="427"/>
        <v>23.85</v>
      </c>
      <c r="K253" s="451">
        <f t="shared" si="428"/>
        <v>40.85</v>
      </c>
      <c r="L253" s="451"/>
      <c r="M253" s="221">
        <f t="shared" si="429"/>
        <v>0.58384332925336602</v>
      </c>
      <c r="N253" s="176">
        <f t="shared" si="430"/>
        <v>19.329593023255811</v>
      </c>
      <c r="O253" s="176">
        <f t="shared" si="344"/>
        <v>5.3999999999999995</v>
      </c>
      <c r="P253" s="221">
        <f t="shared" si="431"/>
        <v>1.2886395348837207</v>
      </c>
      <c r="Q253" s="221">
        <f t="shared" si="432"/>
        <v>15</v>
      </c>
      <c r="R253" s="221"/>
      <c r="S253" s="176">
        <f t="shared" si="433"/>
        <v>80.756857407346232</v>
      </c>
      <c r="T253" s="176">
        <f t="shared" si="434"/>
        <v>15</v>
      </c>
      <c r="U253" s="221">
        <f t="shared" si="435"/>
        <v>1.1453940066592674</v>
      </c>
      <c r="V253" s="221">
        <f t="shared" si="436"/>
        <v>0.47163282627146297</v>
      </c>
      <c r="W253" s="221">
        <f t="shared" si="437"/>
        <v>0.33617434157714343</v>
      </c>
      <c r="X253" s="201">
        <f t="shared" si="438"/>
        <v>350</v>
      </c>
      <c r="Y253" s="451">
        <f t="shared" si="401"/>
        <v>350</v>
      </c>
      <c r="AA253" s="221">
        <f t="shared" si="439"/>
        <v>4.0511577948192743</v>
      </c>
      <c r="AB253" s="177">
        <f t="shared" si="440"/>
        <v>1.1890190592760972</v>
      </c>
      <c r="AC253" s="177">
        <f t="shared" si="441"/>
        <v>1.2644372554209482</v>
      </c>
      <c r="AD253" s="177"/>
      <c r="AE253" s="177">
        <f t="shared" si="442"/>
        <v>0.24067085953878403</v>
      </c>
      <c r="AF253" s="559">
        <f t="shared" si="443"/>
        <v>2432.2257159853834</v>
      </c>
      <c r="AG253" s="542">
        <f t="shared" si="444"/>
        <v>5.1804402515723262E-2</v>
      </c>
      <c r="AI253" s="177">
        <f t="shared" si="445"/>
        <v>2.161632036500313</v>
      </c>
      <c r="AJ253" s="177">
        <f t="shared" si="446"/>
        <v>2.161632036500313</v>
      </c>
      <c r="AK253" s="177">
        <f t="shared" si="447"/>
        <v>2.1938015085187503</v>
      </c>
      <c r="AM253" s="559">
        <f t="shared" si="448"/>
        <v>360</v>
      </c>
      <c r="AN253" s="469">
        <f t="shared" si="449"/>
        <v>350</v>
      </c>
      <c r="AP253">
        <f t="shared" si="450"/>
        <v>360</v>
      </c>
      <c r="AQ253">
        <f t="shared" si="451"/>
        <v>350</v>
      </c>
      <c r="AS253" s="5">
        <f t="shared" si="345"/>
        <v>2.8571428571428572</v>
      </c>
      <c r="AT253" s="5">
        <f t="shared" si="452"/>
        <v>0.89008377973542296</v>
      </c>
      <c r="AU253" s="5">
        <f t="shared" si="423"/>
        <v>1.9670590774074341</v>
      </c>
      <c r="AV253" s="5"/>
      <c r="AW253" s="177">
        <f t="shared" si="424"/>
        <v>0.31152932290739804</v>
      </c>
      <c r="AX253" s="177"/>
      <c r="BA253" s="469">
        <f t="shared" si="453"/>
        <v>16.399012161831713</v>
      </c>
      <c r="BB253" s="469">
        <f t="shared" si="454"/>
        <v>5.5044298206983351</v>
      </c>
      <c r="BC253" s="5">
        <f t="shared" si="422"/>
        <v>0.87695513048504792</v>
      </c>
      <c r="BD253" s="469">
        <f t="shared" si="455"/>
        <v>0</v>
      </c>
      <c r="CD253" s="576">
        <f t="shared" si="456"/>
        <v>-50</v>
      </c>
      <c r="CE253">
        <f t="shared" si="457"/>
        <v>-50</v>
      </c>
    </row>
    <row r="254" spans="5:83" x14ac:dyDescent="0.25">
      <c r="E254" s="174">
        <v>37</v>
      </c>
      <c r="F254" s="221">
        <f t="shared" si="458"/>
        <v>0.37</v>
      </c>
      <c r="G254" s="221"/>
      <c r="H254" s="221">
        <f t="shared" si="425"/>
        <v>5.55</v>
      </c>
      <c r="I254" s="555">
        <f t="shared" si="426"/>
        <v>17</v>
      </c>
      <c r="J254" s="451">
        <f t="shared" si="427"/>
        <v>23.85</v>
      </c>
      <c r="K254" s="451">
        <f t="shared" si="428"/>
        <v>40.85</v>
      </c>
      <c r="L254" s="451"/>
      <c r="M254" s="221">
        <f t="shared" si="429"/>
        <v>0.58384332925336602</v>
      </c>
      <c r="N254" s="176">
        <f t="shared" si="430"/>
        <v>19.329593023255811</v>
      </c>
      <c r="O254" s="176">
        <f t="shared" si="344"/>
        <v>5.55</v>
      </c>
      <c r="P254" s="221">
        <f t="shared" si="431"/>
        <v>1.2886395348837207</v>
      </c>
      <c r="Q254" s="221">
        <f t="shared" si="432"/>
        <v>15</v>
      </c>
      <c r="R254" s="221"/>
      <c r="S254" s="176">
        <f t="shared" si="433"/>
        <v>78.2752245753464</v>
      </c>
      <c r="T254" s="176">
        <f t="shared" si="434"/>
        <v>15</v>
      </c>
      <c r="U254" s="221">
        <f t="shared" si="435"/>
        <v>1.1772105068442471</v>
      </c>
      <c r="V254" s="221">
        <f t="shared" si="436"/>
        <v>0.484733738112337</v>
      </c>
      <c r="W254" s="221">
        <f t="shared" si="437"/>
        <v>0.3455125177320641</v>
      </c>
      <c r="X254" s="201">
        <f t="shared" si="438"/>
        <v>350</v>
      </c>
      <c r="Y254" s="451">
        <f t="shared" si="401"/>
        <v>350</v>
      </c>
      <c r="AA254" s="221">
        <f t="shared" si="439"/>
        <v>4.0511577948192743</v>
      </c>
      <c r="AB254" s="177">
        <f t="shared" si="440"/>
        <v>1.1890190592760972</v>
      </c>
      <c r="AC254" s="177">
        <f t="shared" si="441"/>
        <v>1.2644372554209482</v>
      </c>
      <c r="AD254" s="177"/>
      <c r="AE254" s="177">
        <f t="shared" si="442"/>
        <v>0.24067085953878403</v>
      </c>
      <c r="AF254" s="559">
        <f t="shared" si="443"/>
        <v>2499.7875414294217</v>
      </c>
      <c r="AG254" s="542">
        <f t="shared" si="444"/>
        <v>5.1804402515723262E-2</v>
      </c>
      <c r="AI254" s="177">
        <f t="shared" si="445"/>
        <v>2.1914490593193898</v>
      </c>
      <c r="AJ254" s="177">
        <f t="shared" si="446"/>
        <v>2.1914490593193898</v>
      </c>
      <c r="AK254" s="177">
        <f t="shared" si="447"/>
        <v>2.2158881920884368</v>
      </c>
      <c r="AM254" s="559">
        <f t="shared" si="448"/>
        <v>370</v>
      </c>
      <c r="AN254" s="469">
        <f t="shared" si="449"/>
        <v>350</v>
      </c>
      <c r="AP254">
        <f t="shared" si="450"/>
        <v>370</v>
      </c>
      <c r="AQ254">
        <f t="shared" si="451"/>
        <v>350</v>
      </c>
      <c r="AS254" s="5">
        <f t="shared" si="345"/>
        <v>2.8571428571428572</v>
      </c>
      <c r="AT254" s="5">
        <f t="shared" si="452"/>
        <v>0.90236137736680755</v>
      </c>
      <c r="AU254" s="5">
        <f t="shared" si="423"/>
        <v>1.9547814797760497</v>
      </c>
      <c r="AV254" s="5"/>
      <c r="AW254" s="177">
        <f t="shared" si="424"/>
        <v>0.31582648207838265</v>
      </c>
      <c r="AX254" s="177"/>
      <c r="BA254" s="469">
        <f t="shared" si="453"/>
        <v>16.399012161831713</v>
      </c>
      <c r="BB254" s="469">
        <f t="shared" si="454"/>
        <v>5.7836453893024835</v>
      </c>
      <c r="BC254" s="5">
        <f t="shared" si="422"/>
        <v>0.89568934677044998</v>
      </c>
      <c r="BD254" s="469">
        <f t="shared" si="455"/>
        <v>0</v>
      </c>
      <c r="CD254" s="576">
        <f t="shared" si="456"/>
        <v>-50</v>
      </c>
      <c r="CE254">
        <f t="shared" si="457"/>
        <v>-50</v>
      </c>
    </row>
    <row r="255" spans="5:83" x14ac:dyDescent="0.25">
      <c r="E255" s="174">
        <v>38</v>
      </c>
      <c r="F255" s="221">
        <f t="shared" si="458"/>
        <v>0.38</v>
      </c>
      <c r="G255" s="221"/>
      <c r="H255" s="221">
        <f t="shared" si="425"/>
        <v>5.7</v>
      </c>
      <c r="I255" s="555">
        <f t="shared" si="426"/>
        <v>17</v>
      </c>
      <c r="J255" s="451">
        <f t="shared" si="427"/>
        <v>23.85</v>
      </c>
      <c r="K255" s="451">
        <f t="shared" si="428"/>
        <v>40.85</v>
      </c>
      <c r="L255" s="451"/>
      <c r="M255" s="221">
        <f t="shared" si="429"/>
        <v>0.58384332925336602</v>
      </c>
      <c r="N255" s="176">
        <f t="shared" si="430"/>
        <v>19.329593023255811</v>
      </c>
      <c r="O255" s="176">
        <f t="shared" si="344"/>
        <v>5.7</v>
      </c>
      <c r="P255" s="221">
        <f t="shared" si="431"/>
        <v>1.2886395348837207</v>
      </c>
      <c r="Q255" s="221">
        <f t="shared" si="432"/>
        <v>15</v>
      </c>
      <c r="R255" s="221"/>
      <c r="S255" s="176">
        <f t="shared" si="433"/>
        <v>75.924436920622938</v>
      </c>
      <c r="T255" s="176">
        <f t="shared" si="434"/>
        <v>15</v>
      </c>
      <c r="U255" s="221">
        <f t="shared" si="435"/>
        <v>1.2090270070292271</v>
      </c>
      <c r="V255" s="221">
        <f t="shared" si="436"/>
        <v>0.49783464995321119</v>
      </c>
      <c r="W255" s="221">
        <f t="shared" si="437"/>
        <v>0.35485069388698492</v>
      </c>
      <c r="X255" s="201">
        <f t="shared" si="438"/>
        <v>350</v>
      </c>
      <c r="Y255" s="451">
        <f t="shared" si="401"/>
        <v>350</v>
      </c>
      <c r="AA255" s="221">
        <f t="shared" si="439"/>
        <v>4.0511577948192743</v>
      </c>
      <c r="AB255" s="177">
        <f t="shared" si="440"/>
        <v>1.1890190592760972</v>
      </c>
      <c r="AC255" s="177">
        <f t="shared" si="441"/>
        <v>1.2644372554209482</v>
      </c>
      <c r="AD255" s="177"/>
      <c r="AE255" s="177">
        <f t="shared" si="442"/>
        <v>0.24067085953878403</v>
      </c>
      <c r="AF255" s="559">
        <f t="shared" si="443"/>
        <v>2567.3493668734604</v>
      </c>
      <c r="AG255" s="542">
        <f t="shared" si="444"/>
        <v>5.1804402515723262E-2</v>
      </c>
      <c r="AI255" s="177">
        <f t="shared" si="445"/>
        <v>2.2208657991781462</v>
      </c>
      <c r="AJ255" s="177">
        <f t="shared" si="446"/>
        <v>2.2208657991781462</v>
      </c>
      <c r="AK255" s="177">
        <f t="shared" si="447"/>
        <v>2.2376783697615901</v>
      </c>
      <c r="AM255" s="559">
        <f t="shared" si="448"/>
        <v>380</v>
      </c>
      <c r="AN255" s="469">
        <f t="shared" si="449"/>
        <v>350</v>
      </c>
      <c r="AP255">
        <f t="shared" si="450"/>
        <v>380</v>
      </c>
      <c r="AQ255">
        <f t="shared" si="451"/>
        <v>350</v>
      </c>
      <c r="AS255" s="5">
        <f t="shared" si="345"/>
        <v>2.8571428571428572</v>
      </c>
      <c r="AT255" s="5">
        <f t="shared" si="452"/>
        <v>0.9144741526027661</v>
      </c>
      <c r="AU255" s="5">
        <f t="shared" si="423"/>
        <v>1.942668704540091</v>
      </c>
      <c r="AV255" s="5"/>
      <c r="AW255" s="177">
        <f t="shared" si="424"/>
        <v>0.32006595341096811</v>
      </c>
      <c r="AX255" s="177"/>
      <c r="BA255" s="469">
        <f t="shared" si="453"/>
        <v>16.399012161831713</v>
      </c>
      <c r="BB255" s="469">
        <f t="shared" si="454"/>
        <v>6.0696887817040093</v>
      </c>
      <c r="BC255" s="5">
        <f t="shared" si="422"/>
        <v>0.91419703743063119</v>
      </c>
      <c r="BD255" s="469">
        <f t="shared" si="455"/>
        <v>0</v>
      </c>
      <c r="CD255" s="576">
        <f t="shared" si="456"/>
        <v>-50</v>
      </c>
      <c r="CE255">
        <f t="shared" si="457"/>
        <v>-50</v>
      </c>
    </row>
    <row r="256" spans="5:83" x14ac:dyDescent="0.25">
      <c r="E256" s="174">
        <v>39</v>
      </c>
      <c r="F256" s="221">
        <f t="shared" si="458"/>
        <v>0.39</v>
      </c>
      <c r="G256" s="221"/>
      <c r="H256" s="221">
        <f t="shared" si="425"/>
        <v>5.8500000000000005</v>
      </c>
      <c r="I256" s="555">
        <f t="shared" si="426"/>
        <v>17</v>
      </c>
      <c r="J256" s="451">
        <f t="shared" si="427"/>
        <v>23.85</v>
      </c>
      <c r="K256" s="451">
        <f t="shared" si="428"/>
        <v>40.85</v>
      </c>
      <c r="L256" s="451"/>
      <c r="M256" s="221">
        <f t="shared" si="429"/>
        <v>0.58384332925336602</v>
      </c>
      <c r="N256" s="176">
        <f t="shared" si="430"/>
        <v>19.329593023255811</v>
      </c>
      <c r="O256" s="176">
        <f t="shared" si="344"/>
        <v>5.8500000000000005</v>
      </c>
      <c r="P256" s="221">
        <f t="shared" si="431"/>
        <v>1.2886395348837207</v>
      </c>
      <c r="Q256" s="221">
        <f t="shared" si="432"/>
        <v>15</v>
      </c>
      <c r="R256" s="221"/>
      <c r="S256" s="176">
        <f t="shared" si="433"/>
        <v>73.694431736662111</v>
      </c>
      <c r="T256" s="176">
        <f t="shared" si="434"/>
        <v>15</v>
      </c>
      <c r="U256" s="221">
        <f t="shared" si="435"/>
        <v>1.2408435072142068</v>
      </c>
      <c r="V256" s="221">
        <f t="shared" si="436"/>
        <v>0.51093556179408517</v>
      </c>
      <c r="W256" s="221">
        <f t="shared" si="437"/>
        <v>0.36418887004190553</v>
      </c>
      <c r="X256" s="201">
        <f t="shared" si="438"/>
        <v>350</v>
      </c>
      <c r="Y256" s="451">
        <f t="shared" si="401"/>
        <v>350</v>
      </c>
      <c r="AA256" s="221">
        <f t="shared" si="439"/>
        <v>4.0511577948192743</v>
      </c>
      <c r="AB256" s="177">
        <f t="shared" si="440"/>
        <v>1.1890190592760972</v>
      </c>
      <c r="AC256" s="177">
        <f t="shared" si="441"/>
        <v>1.2644372554209482</v>
      </c>
      <c r="AD256" s="177"/>
      <c r="AE256" s="177">
        <f t="shared" si="442"/>
        <v>0.24067085953878403</v>
      </c>
      <c r="AF256" s="559">
        <f t="shared" si="443"/>
        <v>2634.9111923174987</v>
      </c>
      <c r="AG256" s="542">
        <f t="shared" si="444"/>
        <v>5.1804402515723262E-2</v>
      </c>
      <c r="AI256" s="177">
        <f t="shared" si="445"/>
        <v>2.2498979568697184</v>
      </c>
      <c r="AJ256" s="177">
        <f t="shared" si="446"/>
        <v>2.2498979568697184</v>
      </c>
      <c r="AK256" s="177">
        <f t="shared" si="447"/>
        <v>2.2591836717553471</v>
      </c>
      <c r="AM256" s="559">
        <f t="shared" si="448"/>
        <v>390</v>
      </c>
      <c r="AN256" s="469">
        <f t="shared" si="449"/>
        <v>350</v>
      </c>
      <c r="AP256">
        <f t="shared" si="450"/>
        <v>390</v>
      </c>
      <c r="AQ256">
        <f t="shared" si="451"/>
        <v>350</v>
      </c>
      <c r="AS256" s="5">
        <f t="shared" si="345"/>
        <v>2.8571428571428572</v>
      </c>
      <c r="AT256" s="5">
        <f t="shared" si="452"/>
        <v>0.92642857047576632</v>
      </c>
      <c r="AU256" s="5">
        <f t="shared" si="423"/>
        <v>1.930714286667091</v>
      </c>
      <c r="AV256" s="5"/>
      <c r="AW256" s="177">
        <f t="shared" si="424"/>
        <v>0.32424999966651818</v>
      </c>
      <c r="AX256" s="177"/>
      <c r="BA256" s="469">
        <f t="shared" si="453"/>
        <v>16.399012161831713</v>
      </c>
      <c r="BB256" s="469">
        <f t="shared" si="454"/>
        <v>6.3625599979029079</v>
      </c>
      <c r="BC256" s="5">
        <f t="shared" si="422"/>
        <v>0.93248120346769736</v>
      </c>
      <c r="BD256" s="469">
        <f t="shared" si="455"/>
        <v>0</v>
      </c>
      <c r="CD256" s="576">
        <f t="shared" si="456"/>
        <v>-50</v>
      </c>
      <c r="CE256">
        <f t="shared" si="457"/>
        <v>-50</v>
      </c>
    </row>
    <row r="257" spans="5:83" x14ac:dyDescent="0.25">
      <c r="E257" s="174">
        <v>40</v>
      </c>
      <c r="F257" s="221">
        <f t="shared" si="458"/>
        <v>0.4</v>
      </c>
      <c r="G257" s="221"/>
      <c r="H257" s="221">
        <f t="shared" si="425"/>
        <v>6</v>
      </c>
      <c r="I257" s="555">
        <f t="shared" si="426"/>
        <v>17</v>
      </c>
      <c r="J257" s="451">
        <f t="shared" si="427"/>
        <v>23.85</v>
      </c>
      <c r="K257" s="451">
        <f t="shared" si="428"/>
        <v>40.85</v>
      </c>
      <c r="L257" s="451"/>
      <c r="M257" s="221">
        <f t="shared" si="429"/>
        <v>0.58384332925336602</v>
      </c>
      <c r="N257" s="176">
        <f t="shared" si="430"/>
        <v>19.329593023255811</v>
      </c>
      <c r="O257" s="176">
        <f t="shared" si="344"/>
        <v>6</v>
      </c>
      <c r="P257" s="221">
        <f t="shared" si="431"/>
        <v>1.2886395348837207</v>
      </c>
      <c r="Q257" s="221">
        <f t="shared" si="432"/>
        <v>15</v>
      </c>
      <c r="R257" s="221"/>
      <c r="S257" s="176">
        <f t="shared" si="433"/>
        <v>71.576152614038463</v>
      </c>
      <c r="T257" s="176">
        <f t="shared" si="434"/>
        <v>15</v>
      </c>
      <c r="U257" s="221">
        <f t="shared" si="435"/>
        <v>1.2726600073991863</v>
      </c>
      <c r="V257" s="221">
        <f t="shared" si="436"/>
        <v>0.52403647363495898</v>
      </c>
      <c r="W257" s="221">
        <f t="shared" si="437"/>
        <v>0.37352704619682614</v>
      </c>
      <c r="X257" s="201">
        <f t="shared" si="438"/>
        <v>350</v>
      </c>
      <c r="Y257" s="451">
        <f t="shared" si="401"/>
        <v>350</v>
      </c>
      <c r="AA257" s="221">
        <f t="shared" si="439"/>
        <v>4.0511577948192743</v>
      </c>
      <c r="AB257" s="177">
        <f t="shared" si="440"/>
        <v>1.1890190592760972</v>
      </c>
      <c r="AC257" s="177">
        <f t="shared" si="441"/>
        <v>1.2644372554209482</v>
      </c>
      <c r="AD257" s="177"/>
      <c r="AE257" s="177">
        <f t="shared" si="442"/>
        <v>0.24067085953878403</v>
      </c>
      <c r="AF257" s="559">
        <f t="shared" si="443"/>
        <v>2702.4730177615374</v>
      </c>
      <c r="AG257" s="542">
        <f t="shared" si="444"/>
        <v>5.1804402515723262E-2</v>
      </c>
      <c r="AI257" s="177">
        <f t="shared" si="445"/>
        <v>2.278560232843073</v>
      </c>
      <c r="AJ257" s="177">
        <f t="shared" si="446"/>
        <v>2.278560232843073</v>
      </c>
      <c r="AK257" s="177">
        <f t="shared" si="447"/>
        <v>2.2804149872911652</v>
      </c>
      <c r="AM257" s="559">
        <f t="shared" si="448"/>
        <v>400</v>
      </c>
      <c r="AN257" s="469">
        <f t="shared" si="449"/>
        <v>350</v>
      </c>
      <c r="AP257">
        <f t="shared" si="450"/>
        <v>400</v>
      </c>
      <c r="AQ257">
        <f t="shared" si="451"/>
        <v>350</v>
      </c>
      <c r="AS257" s="5">
        <f t="shared" si="345"/>
        <v>2.8571428571428572</v>
      </c>
      <c r="AT257" s="5">
        <f t="shared" si="452"/>
        <v>0.93823068411185362</v>
      </c>
      <c r="AU257" s="5">
        <f t="shared" si="423"/>
        <v>1.9189121730310035</v>
      </c>
      <c r="AV257" s="5"/>
      <c r="AW257" s="177">
        <f t="shared" si="424"/>
        <v>0.32838073943914875</v>
      </c>
      <c r="AX257" s="177"/>
      <c r="BA257" s="469">
        <f t="shared" si="453"/>
        <v>16.399012161831713</v>
      </c>
      <c r="BB257" s="469">
        <f t="shared" si="454"/>
        <v>6.6622590378991804</v>
      </c>
      <c r="BC257" s="5">
        <f t="shared" si="422"/>
        <v>0.95054472967480053</v>
      </c>
      <c r="BD257" s="469">
        <f t="shared" si="455"/>
        <v>0</v>
      </c>
      <c r="CD257" s="576">
        <f t="shared" si="456"/>
        <v>-50</v>
      </c>
      <c r="CE257">
        <f t="shared" si="457"/>
        <v>-50</v>
      </c>
    </row>
    <row r="258" spans="5:83" x14ac:dyDescent="0.25">
      <c r="E258" s="174">
        <v>41</v>
      </c>
      <c r="F258" s="221">
        <f t="shared" si="458"/>
        <v>0.41</v>
      </c>
      <c r="G258" s="221"/>
      <c r="H258" s="221">
        <f t="shared" si="425"/>
        <v>6.1499999999999995</v>
      </c>
      <c r="I258" s="555">
        <f t="shared" si="426"/>
        <v>17</v>
      </c>
      <c r="J258" s="451">
        <f t="shared" si="427"/>
        <v>23.85</v>
      </c>
      <c r="K258" s="451">
        <f t="shared" si="428"/>
        <v>40.85</v>
      </c>
      <c r="L258" s="451"/>
      <c r="M258" s="221">
        <f t="shared" si="429"/>
        <v>0.58384332925336602</v>
      </c>
      <c r="N258" s="176">
        <f t="shared" si="430"/>
        <v>19.329593023255811</v>
      </c>
      <c r="O258" s="176">
        <f t="shared" si="344"/>
        <v>6.1499999999999995</v>
      </c>
      <c r="P258" s="221">
        <f t="shared" si="431"/>
        <v>1.2886395348837207</v>
      </c>
      <c r="Q258" s="221">
        <f t="shared" si="432"/>
        <v>15</v>
      </c>
      <c r="R258" s="221"/>
      <c r="S258" s="176">
        <f t="shared" si="433"/>
        <v>69.561426721558931</v>
      </c>
      <c r="T258" s="176">
        <f t="shared" si="434"/>
        <v>15</v>
      </c>
      <c r="U258" s="221">
        <f t="shared" si="435"/>
        <v>1.3044765075841658</v>
      </c>
      <c r="V258" s="221">
        <f t="shared" si="436"/>
        <v>0.53713738547583301</v>
      </c>
      <c r="W258" s="221">
        <f t="shared" si="437"/>
        <v>0.38286522235174675</v>
      </c>
      <c r="X258" s="201">
        <f t="shared" si="438"/>
        <v>350</v>
      </c>
      <c r="Y258" s="451">
        <f t="shared" si="401"/>
        <v>350</v>
      </c>
      <c r="AA258" s="221">
        <f t="shared" si="439"/>
        <v>4.0511577948192743</v>
      </c>
      <c r="AB258" s="177">
        <f t="shared" si="440"/>
        <v>1.1890190592760972</v>
      </c>
      <c r="AC258" s="177">
        <f t="shared" si="441"/>
        <v>1.2644372554209482</v>
      </c>
      <c r="AD258" s="177"/>
      <c r="AE258" s="177">
        <f t="shared" si="442"/>
        <v>0.24067085953878403</v>
      </c>
      <c r="AF258" s="559">
        <f t="shared" si="443"/>
        <v>2770.0348432055753</v>
      </c>
      <c r="AG258" s="542">
        <f t="shared" si="444"/>
        <v>5.1804402515723262E-2</v>
      </c>
      <c r="AI258" s="177">
        <f t="shared" si="445"/>
        <v>2.3068664142210804</v>
      </c>
      <c r="AJ258" s="177">
        <f t="shared" si="446"/>
        <v>2.3068664142210804</v>
      </c>
      <c r="AK258" s="177">
        <f t="shared" si="447"/>
        <v>2.3013825290526522</v>
      </c>
      <c r="AM258" s="559">
        <f t="shared" si="448"/>
        <v>410</v>
      </c>
      <c r="AN258" s="469">
        <f t="shared" si="449"/>
        <v>350</v>
      </c>
      <c r="AP258">
        <f t="shared" si="450"/>
        <v>410</v>
      </c>
      <c r="AQ258">
        <f t="shared" si="451"/>
        <v>350</v>
      </c>
      <c r="AS258" s="5">
        <f t="shared" si="345"/>
        <v>2.8571428571428572</v>
      </c>
      <c r="AT258" s="5">
        <f t="shared" si="452"/>
        <v>0.94988617056162139</v>
      </c>
      <c r="AU258" s="5">
        <f t="shared" si="423"/>
        <v>1.9072566865812357</v>
      </c>
      <c r="AV258" s="5"/>
      <c r="AW258" s="177">
        <f t="shared" si="424"/>
        <v>0.3324601596965675</v>
      </c>
      <c r="AX258" s="177"/>
      <c r="BA258" s="469">
        <f t="shared" si="453"/>
        <v>16.399012161831713</v>
      </c>
      <c r="BB258" s="469">
        <f t="shared" si="454"/>
        <v>6.968785901692824</v>
      </c>
      <c r="BC258" s="5">
        <f t="shared" si="422"/>
        <v>0.9683903919483674</v>
      </c>
      <c r="BD258" s="469">
        <f t="shared" si="455"/>
        <v>0</v>
      </c>
      <c r="CD258" s="576">
        <f t="shared" si="456"/>
        <v>-50</v>
      </c>
      <c r="CE258">
        <f t="shared" si="457"/>
        <v>-50</v>
      </c>
    </row>
    <row r="259" spans="5:83" x14ac:dyDescent="0.25">
      <c r="E259" s="174">
        <v>42</v>
      </c>
      <c r="F259" s="221">
        <f t="shared" si="458"/>
        <v>0.42</v>
      </c>
      <c r="G259" s="221"/>
      <c r="H259" s="221">
        <f t="shared" si="425"/>
        <v>6.3</v>
      </c>
      <c r="I259" s="555">
        <f t="shared" si="426"/>
        <v>17</v>
      </c>
      <c r="J259" s="451">
        <f t="shared" si="427"/>
        <v>23.85</v>
      </c>
      <c r="K259" s="451">
        <f t="shared" si="428"/>
        <v>40.85</v>
      </c>
      <c r="L259" s="451"/>
      <c r="M259" s="221">
        <f t="shared" si="429"/>
        <v>0.58384332925336602</v>
      </c>
      <c r="N259" s="176">
        <f t="shared" si="430"/>
        <v>19.329593023255811</v>
      </c>
      <c r="O259" s="176">
        <f t="shared" si="344"/>
        <v>6.3</v>
      </c>
      <c r="P259" s="221">
        <f t="shared" si="431"/>
        <v>1.2886395348837207</v>
      </c>
      <c r="Q259" s="221">
        <f t="shared" si="432"/>
        <v>15</v>
      </c>
      <c r="R259" s="221"/>
      <c r="S259" s="176">
        <f t="shared" si="433"/>
        <v>67.642859618674507</v>
      </c>
      <c r="T259" s="176">
        <f t="shared" si="434"/>
        <v>15</v>
      </c>
      <c r="U259" s="221">
        <f t="shared" si="435"/>
        <v>1.3362930077691455</v>
      </c>
      <c r="V259" s="221">
        <f t="shared" si="436"/>
        <v>0.55023829731670693</v>
      </c>
      <c r="W259" s="221">
        <f t="shared" si="437"/>
        <v>0.39220339850666741</v>
      </c>
      <c r="X259" s="201">
        <f t="shared" si="438"/>
        <v>350</v>
      </c>
      <c r="Y259" s="451">
        <f t="shared" si="401"/>
        <v>350</v>
      </c>
      <c r="AA259" s="221">
        <f t="shared" si="439"/>
        <v>4.0511577948192743</v>
      </c>
      <c r="AB259" s="177">
        <f t="shared" si="440"/>
        <v>1.1890190592760972</v>
      </c>
      <c r="AC259" s="177">
        <f t="shared" si="441"/>
        <v>1.2644372554209482</v>
      </c>
      <c r="AD259" s="177"/>
      <c r="AE259" s="177">
        <f t="shared" si="442"/>
        <v>0.24067085953878403</v>
      </c>
      <c r="AF259" s="559">
        <f t="shared" si="443"/>
        <v>2837.596668649614</v>
      </c>
      <c r="AG259" s="542">
        <f t="shared" si="444"/>
        <v>5.1804402515723262E-2</v>
      </c>
      <c r="AI259" s="177">
        <f t="shared" si="445"/>
        <v>2.3348294523216406</v>
      </c>
      <c r="AJ259" s="177">
        <f t="shared" si="446"/>
        <v>2.3348294523216406</v>
      </c>
      <c r="AK259" s="177">
        <f t="shared" si="447"/>
        <v>2.3220958906086229</v>
      </c>
      <c r="AM259" s="559">
        <f t="shared" si="448"/>
        <v>420</v>
      </c>
      <c r="AN259" s="469">
        <f t="shared" si="449"/>
        <v>350</v>
      </c>
      <c r="AP259">
        <f t="shared" si="450"/>
        <v>420</v>
      </c>
      <c r="AQ259">
        <f t="shared" si="451"/>
        <v>350</v>
      </c>
      <c r="AS259" s="5">
        <f t="shared" si="345"/>
        <v>2.8571428571428572</v>
      </c>
      <c r="AT259" s="5">
        <f t="shared" si="452"/>
        <v>0.96140036272067564</v>
      </c>
      <c r="AU259" s="5">
        <f t="shared" si="423"/>
        <v>1.8957424944221817</v>
      </c>
      <c r="AV259" s="5"/>
      <c r="AW259" s="177">
        <f t="shared" si="424"/>
        <v>0.33649012695223646</v>
      </c>
      <c r="AX259" s="177"/>
      <c r="BA259" s="469">
        <f t="shared" si="453"/>
        <v>16.399012161831713</v>
      </c>
      <c r="BB259" s="469">
        <f t="shared" si="454"/>
        <v>7.2821405892838431</v>
      </c>
      <c r="BC259" s="5">
        <f t="shared" si="422"/>
        <v>0.98602086397190869</v>
      </c>
      <c r="BD259" s="469">
        <f t="shared" si="455"/>
        <v>0</v>
      </c>
      <c r="CD259" s="576">
        <f t="shared" si="456"/>
        <v>-50</v>
      </c>
      <c r="CE259">
        <f t="shared" si="457"/>
        <v>-50</v>
      </c>
    </row>
    <row r="260" spans="5:83" x14ac:dyDescent="0.25">
      <c r="E260" s="174">
        <v>43</v>
      </c>
      <c r="F260" s="221">
        <f t="shared" si="458"/>
        <v>0.43</v>
      </c>
      <c r="G260" s="221"/>
      <c r="H260" s="221">
        <f t="shared" si="425"/>
        <v>6.45</v>
      </c>
      <c r="I260" s="555">
        <f t="shared" si="426"/>
        <v>17</v>
      </c>
      <c r="J260" s="451">
        <f t="shared" si="427"/>
        <v>23.85</v>
      </c>
      <c r="K260" s="451">
        <f t="shared" si="428"/>
        <v>40.85</v>
      </c>
      <c r="L260" s="451"/>
      <c r="M260" s="221">
        <f t="shared" si="429"/>
        <v>0.58384332925336602</v>
      </c>
      <c r="N260" s="176">
        <f t="shared" si="430"/>
        <v>19.329593023255811</v>
      </c>
      <c r="O260" s="176">
        <f t="shared" si="344"/>
        <v>6.45</v>
      </c>
      <c r="P260" s="221">
        <f t="shared" si="431"/>
        <v>1.2886395348837207</v>
      </c>
      <c r="Q260" s="221">
        <f t="shared" si="432"/>
        <v>15</v>
      </c>
      <c r="R260" s="221"/>
      <c r="S260" s="176">
        <f t="shared" si="433"/>
        <v>65.813744745231844</v>
      </c>
      <c r="T260" s="176">
        <f t="shared" si="434"/>
        <v>15</v>
      </c>
      <c r="U260" s="221">
        <f t="shared" si="435"/>
        <v>1.3681095079541252</v>
      </c>
      <c r="V260" s="221">
        <f t="shared" si="436"/>
        <v>0.56333920915758096</v>
      </c>
      <c r="W260" s="221">
        <f t="shared" si="437"/>
        <v>0.40154157466158807</v>
      </c>
      <c r="X260" s="201">
        <f t="shared" si="438"/>
        <v>350</v>
      </c>
      <c r="Y260" s="451">
        <f t="shared" si="401"/>
        <v>350</v>
      </c>
      <c r="AA260" s="221">
        <f t="shared" si="439"/>
        <v>4.0511577948192743</v>
      </c>
      <c r="AB260" s="177">
        <f t="shared" si="440"/>
        <v>1.1890190592760972</v>
      </c>
      <c r="AC260" s="177">
        <f t="shared" si="441"/>
        <v>1.2644372554209482</v>
      </c>
      <c r="AD260" s="177"/>
      <c r="AE260" s="177">
        <f t="shared" si="442"/>
        <v>0.24067085953878403</v>
      </c>
      <c r="AF260" s="559">
        <f t="shared" si="443"/>
        <v>2905.1584940936523</v>
      </c>
      <c r="AG260" s="542">
        <f t="shared" si="444"/>
        <v>5.1804402515723262E-2</v>
      </c>
      <c r="AI260" s="177">
        <f t="shared" si="445"/>
        <v>2.3624615319187567</v>
      </c>
      <c r="AJ260" s="177">
        <f t="shared" si="446"/>
        <v>2.3624615319187567</v>
      </c>
      <c r="AK260" s="177">
        <f t="shared" si="447"/>
        <v>2.3425640977175979</v>
      </c>
      <c r="AM260" s="559">
        <f t="shared" si="448"/>
        <v>430</v>
      </c>
      <c r="AN260" s="469">
        <f t="shared" si="449"/>
        <v>350</v>
      </c>
      <c r="AP260">
        <f t="shared" si="450"/>
        <v>430</v>
      </c>
      <c r="AQ260">
        <f t="shared" si="451"/>
        <v>350</v>
      </c>
      <c r="AS260" s="5">
        <f t="shared" si="345"/>
        <v>2.8571428571428572</v>
      </c>
      <c r="AT260" s="5">
        <f t="shared" si="452"/>
        <v>0.97277827784889992</v>
      </c>
      <c r="AU260" s="5">
        <f t="shared" si="423"/>
        <v>1.8843645792939574</v>
      </c>
      <c r="AV260" s="5"/>
      <c r="AW260" s="177">
        <f t="shared" si="424"/>
        <v>0.34047239724711498</v>
      </c>
      <c r="AX260" s="177"/>
      <c r="BA260" s="469">
        <f t="shared" si="453"/>
        <v>16.399012161831713</v>
      </c>
      <c r="BB260" s="469">
        <f t="shared" si="454"/>
        <v>7.6023231006722369</v>
      </c>
      <c r="BC260" s="5">
        <f t="shared" si="422"/>
        <v>1.0034387233391973</v>
      </c>
      <c r="BD260" s="469">
        <f t="shared" si="455"/>
        <v>0</v>
      </c>
      <c r="CD260" s="576">
        <f t="shared" si="456"/>
        <v>-50</v>
      </c>
      <c r="CE260">
        <f t="shared" si="457"/>
        <v>-50</v>
      </c>
    </row>
    <row r="261" spans="5:83" x14ac:dyDescent="0.25">
      <c r="E261" s="174">
        <v>44</v>
      </c>
      <c r="F261" s="221">
        <f t="shared" si="458"/>
        <v>0.44</v>
      </c>
      <c r="G261" s="221"/>
      <c r="H261" s="221">
        <f t="shared" si="425"/>
        <v>6.6</v>
      </c>
      <c r="I261" s="555">
        <f t="shared" si="426"/>
        <v>17</v>
      </c>
      <c r="J261" s="451">
        <f t="shared" si="427"/>
        <v>23.85</v>
      </c>
      <c r="K261" s="451">
        <f t="shared" si="428"/>
        <v>40.85</v>
      </c>
      <c r="L261" s="451"/>
      <c r="M261" s="221">
        <f t="shared" si="429"/>
        <v>0.58384332925336602</v>
      </c>
      <c r="N261" s="176">
        <f t="shared" si="430"/>
        <v>19.329593023255811</v>
      </c>
      <c r="O261" s="176">
        <f t="shared" si="344"/>
        <v>6.6</v>
      </c>
      <c r="P261" s="221">
        <f t="shared" si="431"/>
        <v>1.2886395348837207</v>
      </c>
      <c r="Q261" s="221">
        <f t="shared" si="432"/>
        <v>15</v>
      </c>
      <c r="R261" s="221"/>
      <c r="S261" s="176">
        <f t="shared" si="433"/>
        <v>64.067985253533507</v>
      </c>
      <c r="T261" s="176">
        <f t="shared" si="434"/>
        <v>15</v>
      </c>
      <c r="U261" s="221">
        <f t="shared" si="435"/>
        <v>1.3999260081391047</v>
      </c>
      <c r="V261" s="221">
        <f t="shared" si="436"/>
        <v>0.57644012099845487</v>
      </c>
      <c r="W261" s="221">
        <f t="shared" si="437"/>
        <v>0.41087975081650868</v>
      </c>
      <c r="X261" s="201">
        <f t="shared" si="438"/>
        <v>350</v>
      </c>
      <c r="Y261" s="451">
        <f t="shared" si="401"/>
        <v>350</v>
      </c>
      <c r="AA261" s="221">
        <f t="shared" si="439"/>
        <v>4.0511577948192743</v>
      </c>
      <c r="AB261" s="177">
        <f t="shared" si="440"/>
        <v>1.1890190592760972</v>
      </c>
      <c r="AC261" s="177">
        <f t="shared" si="441"/>
        <v>1.2644372554209482</v>
      </c>
      <c r="AD261" s="177"/>
      <c r="AE261" s="177">
        <f t="shared" si="442"/>
        <v>0.24067085953878403</v>
      </c>
      <c r="AF261" s="559">
        <f t="shared" si="443"/>
        <v>2972.720319537691</v>
      </c>
      <c r="AG261" s="542">
        <f t="shared" si="444"/>
        <v>5.1804402515723262E-2</v>
      </c>
      <c r="AI261" s="177">
        <f t="shared" si="445"/>
        <v>2.3897741332944555</v>
      </c>
      <c r="AJ261" s="177">
        <f t="shared" si="446"/>
        <v>2.3897741332944555</v>
      </c>
      <c r="AK261" s="177">
        <f t="shared" si="447"/>
        <v>2.3627956542921895</v>
      </c>
      <c r="AM261" s="559">
        <f t="shared" si="448"/>
        <v>440</v>
      </c>
      <c r="AN261" s="469">
        <f t="shared" si="449"/>
        <v>350</v>
      </c>
      <c r="AP261">
        <f t="shared" si="450"/>
        <v>440</v>
      </c>
      <c r="AQ261">
        <f t="shared" si="451"/>
        <v>350</v>
      </c>
      <c r="AS261" s="5">
        <f t="shared" si="345"/>
        <v>2.8571428571428572</v>
      </c>
      <c r="AT261" s="5">
        <f t="shared" si="452"/>
        <v>0.98402464312124638</v>
      </c>
      <c r="AU261" s="5">
        <f t="shared" si="423"/>
        <v>1.8731182140216109</v>
      </c>
      <c r="AV261" s="5"/>
      <c r="AW261" s="177">
        <f t="shared" si="424"/>
        <v>0.34440862509243625</v>
      </c>
      <c r="AX261" s="177"/>
      <c r="BA261" s="469">
        <f t="shared" si="453"/>
        <v>16.399012161831713</v>
      </c>
      <c r="BB261" s="469">
        <f t="shared" si="454"/>
        <v>7.9293334358580063</v>
      </c>
      <c r="BC261" s="5">
        <f t="shared" si="422"/>
        <v>1.0206464571758624</v>
      </c>
      <c r="BD261" s="469">
        <f t="shared" si="455"/>
        <v>0</v>
      </c>
      <c r="CD261" s="576">
        <f t="shared" si="456"/>
        <v>-50</v>
      </c>
      <c r="CE261">
        <f t="shared" si="457"/>
        <v>-50</v>
      </c>
    </row>
    <row r="262" spans="5:83" x14ac:dyDescent="0.25">
      <c r="E262" s="174">
        <v>45</v>
      </c>
      <c r="F262" s="221">
        <f t="shared" si="458"/>
        <v>0.45</v>
      </c>
      <c r="G262" s="221"/>
      <c r="H262" s="221">
        <f t="shared" si="425"/>
        <v>6.75</v>
      </c>
      <c r="I262" s="555">
        <f t="shared" si="426"/>
        <v>17</v>
      </c>
      <c r="J262" s="451">
        <f t="shared" si="427"/>
        <v>23.85</v>
      </c>
      <c r="K262" s="451">
        <f t="shared" si="428"/>
        <v>40.85</v>
      </c>
      <c r="L262" s="451"/>
      <c r="M262" s="221">
        <f t="shared" si="429"/>
        <v>0.58384332925336602</v>
      </c>
      <c r="N262" s="176">
        <f t="shared" si="430"/>
        <v>19.329593023255811</v>
      </c>
      <c r="O262" s="176">
        <f t="shared" si="344"/>
        <v>6.75</v>
      </c>
      <c r="P262" s="221">
        <f t="shared" si="431"/>
        <v>1.2886395348837207</v>
      </c>
      <c r="Q262" s="221">
        <f t="shared" si="432"/>
        <v>15</v>
      </c>
      <c r="R262" s="221"/>
      <c r="S262" s="176">
        <f t="shared" si="433"/>
        <v>62.400026262792238</v>
      </c>
      <c r="T262" s="176">
        <f t="shared" si="434"/>
        <v>15</v>
      </c>
      <c r="U262" s="221">
        <f t="shared" si="435"/>
        <v>1.4317425083240845</v>
      </c>
      <c r="V262" s="221">
        <f t="shared" si="436"/>
        <v>0.5895410328393289</v>
      </c>
      <c r="W262" s="221">
        <f t="shared" si="437"/>
        <v>0.42021792697142935</v>
      </c>
      <c r="X262" s="201">
        <f t="shared" si="438"/>
        <v>350</v>
      </c>
      <c r="Y262" s="451">
        <f t="shared" si="401"/>
        <v>350</v>
      </c>
      <c r="AA262" s="221">
        <f t="shared" si="439"/>
        <v>4.0511577948192743</v>
      </c>
      <c r="AB262" s="177">
        <f t="shared" si="440"/>
        <v>1.1890190592760972</v>
      </c>
      <c r="AC262" s="177">
        <f t="shared" si="441"/>
        <v>1.2644372554209482</v>
      </c>
      <c r="AD262" s="177"/>
      <c r="AE262" s="177">
        <f t="shared" si="442"/>
        <v>0.24067085953878403</v>
      </c>
      <c r="AF262" s="559">
        <f t="shared" si="443"/>
        <v>3040.2821449817293</v>
      </c>
      <c r="AG262" s="542">
        <f t="shared" si="444"/>
        <v>5.1804402515723262E-2</v>
      </c>
      <c r="AI262" s="177">
        <f t="shared" si="445"/>
        <v>2.4167780879780034</v>
      </c>
      <c r="AJ262" s="177">
        <f t="shared" si="446"/>
        <v>2.4167780879780034</v>
      </c>
      <c r="AK262" s="177">
        <f t="shared" si="447"/>
        <v>2.3827985836874102</v>
      </c>
      <c r="AM262" s="559">
        <f t="shared" si="448"/>
        <v>450</v>
      </c>
      <c r="AN262" s="469">
        <f t="shared" si="449"/>
        <v>350</v>
      </c>
      <c r="AP262">
        <f t="shared" si="450"/>
        <v>450</v>
      </c>
      <c r="AQ262">
        <f t="shared" si="451"/>
        <v>350</v>
      </c>
      <c r="AS262" s="5">
        <f t="shared" si="345"/>
        <v>2.8571428571428572</v>
      </c>
      <c r="AT262" s="5">
        <f t="shared" si="452"/>
        <v>0.99514391857917794</v>
      </c>
      <c r="AU262" s="5">
        <f t="shared" si="423"/>
        <v>1.8619989385636793</v>
      </c>
      <c r="AV262" s="5"/>
      <c r="AW262" s="177">
        <f t="shared" si="424"/>
        <v>0.34830037150271226</v>
      </c>
      <c r="AX262" s="177"/>
      <c r="BA262" s="469">
        <f t="shared" si="453"/>
        <v>16.399012161831713</v>
      </c>
      <c r="BB262" s="469">
        <f t="shared" si="454"/>
        <v>8.2631715948411486</v>
      </c>
      <c r="BC262" s="5">
        <f t="shared" si="422"/>
        <v>1.0376464673110286</v>
      </c>
      <c r="BD262" s="469">
        <f t="shared" si="455"/>
        <v>0</v>
      </c>
      <c r="CD262" s="576">
        <f t="shared" si="456"/>
        <v>-50</v>
      </c>
      <c r="CE262">
        <f t="shared" si="457"/>
        <v>-50</v>
      </c>
    </row>
    <row r="263" spans="5:83" x14ac:dyDescent="0.25">
      <c r="E263" s="174">
        <v>46</v>
      </c>
      <c r="F263" s="221">
        <f t="shared" si="458"/>
        <v>0.46</v>
      </c>
      <c r="G263" s="221"/>
      <c r="H263" s="221">
        <f t="shared" si="425"/>
        <v>6.9</v>
      </c>
      <c r="I263" s="555">
        <f t="shared" si="426"/>
        <v>17</v>
      </c>
      <c r="J263" s="451">
        <f t="shared" si="427"/>
        <v>23.85</v>
      </c>
      <c r="K263" s="451">
        <f t="shared" si="428"/>
        <v>40.85</v>
      </c>
      <c r="L263" s="451"/>
      <c r="M263" s="221">
        <f t="shared" si="429"/>
        <v>0.58384332925336602</v>
      </c>
      <c r="N263" s="176">
        <f t="shared" si="430"/>
        <v>19.329593023255811</v>
      </c>
      <c r="O263" s="176">
        <f t="shared" ref="O263:O317" si="459">T263*F263</f>
        <v>6.9</v>
      </c>
      <c r="P263" s="221">
        <f t="shared" si="431"/>
        <v>1.2886395348837207</v>
      </c>
      <c r="Q263" s="221">
        <f t="shared" si="432"/>
        <v>15</v>
      </c>
      <c r="R263" s="221"/>
      <c r="S263" s="176">
        <f t="shared" si="433"/>
        <v>60.804795949962589</v>
      </c>
      <c r="T263" s="176">
        <f t="shared" si="434"/>
        <v>15</v>
      </c>
      <c r="U263" s="221">
        <f t="shared" si="435"/>
        <v>1.4635590085090642</v>
      </c>
      <c r="V263" s="221">
        <f t="shared" si="436"/>
        <v>0.60264194468020293</v>
      </c>
      <c r="W263" s="221">
        <f t="shared" si="437"/>
        <v>0.42955610312635006</v>
      </c>
      <c r="X263" s="201">
        <f t="shared" si="438"/>
        <v>350</v>
      </c>
      <c r="Y263" s="451">
        <f t="shared" si="401"/>
        <v>350</v>
      </c>
      <c r="AA263" s="221">
        <f t="shared" si="439"/>
        <v>4.0511577948192743</v>
      </c>
      <c r="AB263" s="177">
        <f t="shared" si="440"/>
        <v>1.1890190592760972</v>
      </c>
      <c r="AC263" s="177">
        <f t="shared" si="441"/>
        <v>1.2644372554209482</v>
      </c>
      <c r="AD263" s="177"/>
      <c r="AE263" s="177">
        <f t="shared" si="442"/>
        <v>0.24067085953878403</v>
      </c>
      <c r="AF263" s="559">
        <f t="shared" si="443"/>
        <v>3107.843970425768</v>
      </c>
      <c r="AG263" s="542">
        <f t="shared" si="444"/>
        <v>5.1804402515723262E-2</v>
      </c>
      <c r="AI263" s="177">
        <f t="shared" si="445"/>
        <v>2.4434836289400348</v>
      </c>
      <c r="AJ263" s="177">
        <f t="shared" si="446"/>
        <v>2.4434836289400348</v>
      </c>
      <c r="AK263" s="177">
        <f t="shared" si="447"/>
        <v>2.4025804658815071</v>
      </c>
      <c r="AM263" s="559">
        <f t="shared" si="448"/>
        <v>460</v>
      </c>
      <c r="AN263" s="469">
        <f t="shared" si="449"/>
        <v>350</v>
      </c>
      <c r="AP263">
        <f t="shared" si="450"/>
        <v>460</v>
      </c>
      <c r="AQ263">
        <f t="shared" si="451"/>
        <v>350</v>
      </c>
      <c r="AS263" s="5">
        <f t="shared" si="345"/>
        <v>2.8571428571428572</v>
      </c>
      <c r="AT263" s="5">
        <f t="shared" si="452"/>
        <v>1.0061403177988379</v>
      </c>
      <c r="AU263" s="5">
        <f t="shared" si="423"/>
        <v>1.8510025393440193</v>
      </c>
      <c r="AV263" s="5"/>
      <c r="AW263" s="177">
        <f t="shared" si="424"/>
        <v>0.35214911122959325</v>
      </c>
      <c r="AX263" s="177"/>
      <c r="BA263" s="469">
        <f t="shared" si="453"/>
        <v>16.399012161831713</v>
      </c>
      <c r="BB263" s="469">
        <f t="shared" si="454"/>
        <v>8.6038375776216647</v>
      </c>
      <c r="BC263" s="5">
        <f t="shared" si="422"/>
        <v>1.0544410750442712</v>
      </c>
      <c r="BD263" s="469">
        <f t="shared" si="455"/>
        <v>0</v>
      </c>
      <c r="CD263" s="576">
        <f t="shared" si="456"/>
        <v>-50</v>
      </c>
      <c r="CE263">
        <f t="shared" si="457"/>
        <v>-50</v>
      </c>
    </row>
    <row r="264" spans="5:83" x14ac:dyDescent="0.25">
      <c r="E264" s="174">
        <v>47</v>
      </c>
      <c r="F264" s="221">
        <f t="shared" si="458"/>
        <v>0.47</v>
      </c>
      <c r="G264" s="221"/>
      <c r="H264" s="221">
        <f t="shared" si="425"/>
        <v>7.05</v>
      </c>
      <c r="I264" s="555">
        <f t="shared" si="426"/>
        <v>17</v>
      </c>
      <c r="J264" s="451">
        <f t="shared" si="427"/>
        <v>23.85</v>
      </c>
      <c r="K264" s="451">
        <f t="shared" si="428"/>
        <v>40.85</v>
      </c>
      <c r="L264" s="451"/>
      <c r="M264" s="221">
        <f t="shared" si="429"/>
        <v>0.58384332925336602</v>
      </c>
      <c r="N264" s="176">
        <f t="shared" si="430"/>
        <v>19.329593023255811</v>
      </c>
      <c r="O264" s="176">
        <f t="shared" si="459"/>
        <v>7.05</v>
      </c>
      <c r="P264" s="221">
        <f t="shared" si="431"/>
        <v>1.2886395348837207</v>
      </c>
      <c r="Q264" s="221">
        <f t="shared" si="432"/>
        <v>15</v>
      </c>
      <c r="R264" s="221"/>
      <c r="S264" s="176">
        <f t="shared" si="433"/>
        <v>59.277654160893682</v>
      </c>
      <c r="T264" s="176">
        <f t="shared" si="434"/>
        <v>15</v>
      </c>
      <c r="U264" s="221">
        <f t="shared" si="435"/>
        <v>1.4953755086940437</v>
      </c>
      <c r="V264" s="221">
        <f t="shared" si="436"/>
        <v>0.61574285652107674</v>
      </c>
      <c r="W264" s="221">
        <f t="shared" si="437"/>
        <v>0.43889427928127062</v>
      </c>
      <c r="X264" s="201">
        <f t="shared" si="438"/>
        <v>350</v>
      </c>
      <c r="Y264" s="451">
        <f t="shared" si="401"/>
        <v>350</v>
      </c>
      <c r="AA264" s="221">
        <f t="shared" si="439"/>
        <v>4.0511577948192743</v>
      </c>
      <c r="AB264" s="177">
        <f t="shared" si="440"/>
        <v>1.1890190592760972</v>
      </c>
      <c r="AC264" s="177">
        <f t="shared" si="441"/>
        <v>1.2644372554209482</v>
      </c>
      <c r="AD264" s="177"/>
      <c r="AE264" s="177">
        <f t="shared" si="442"/>
        <v>0.24067085953878403</v>
      </c>
      <c r="AF264" s="559">
        <f t="shared" si="443"/>
        <v>3175.4057958698058</v>
      </c>
      <c r="AG264" s="542">
        <f t="shared" si="444"/>
        <v>5.1804402515723262E-2</v>
      </c>
      <c r="AI264" s="177">
        <f t="shared" si="445"/>
        <v>2.4699004359012746</v>
      </c>
      <c r="AJ264" s="177">
        <f t="shared" si="446"/>
        <v>2.4699004359012746</v>
      </c>
      <c r="AK264" s="177">
        <f t="shared" si="447"/>
        <v>2.422148471037981</v>
      </c>
      <c r="AM264" s="559">
        <f t="shared" si="448"/>
        <v>470</v>
      </c>
      <c r="AN264" s="469">
        <f t="shared" si="449"/>
        <v>350</v>
      </c>
      <c r="AP264">
        <f t="shared" si="450"/>
        <v>470</v>
      </c>
      <c r="AQ264">
        <f t="shared" si="451"/>
        <v>350</v>
      </c>
      <c r="AS264" s="5">
        <f t="shared" ref="AS264:AS317" si="460">1/AN264*1000</f>
        <v>2.8571428571428572</v>
      </c>
      <c r="AT264" s="5">
        <f t="shared" si="452"/>
        <v>1.0170178265475835</v>
      </c>
      <c r="AU264" s="5">
        <f t="shared" si="423"/>
        <v>1.8401250305952737</v>
      </c>
      <c r="AV264" s="5"/>
      <c r="AW264" s="177">
        <f t="shared" si="424"/>
        <v>0.35595623929165421</v>
      </c>
      <c r="AX264" s="177"/>
      <c r="BA264" s="469">
        <f t="shared" si="453"/>
        <v>16.399012161831713</v>
      </c>
      <c r="BB264" s="469">
        <f t="shared" si="454"/>
        <v>8.9513313841995537</v>
      </c>
      <c r="BC264" s="5">
        <f t="shared" si="422"/>
        <v>1.0710325255477136</v>
      </c>
      <c r="BD264" s="469">
        <f t="shared" si="455"/>
        <v>0</v>
      </c>
      <c r="CD264" s="576">
        <f t="shared" si="456"/>
        <v>-50</v>
      </c>
      <c r="CE264">
        <f t="shared" si="457"/>
        <v>-50</v>
      </c>
    </row>
    <row r="265" spans="5:83" x14ac:dyDescent="0.25">
      <c r="E265" s="174">
        <v>48</v>
      </c>
      <c r="F265" s="221">
        <f t="shared" si="458"/>
        <v>0.48</v>
      </c>
      <c r="G265" s="221"/>
      <c r="H265" s="221">
        <f t="shared" si="425"/>
        <v>7.1999999999999993</v>
      </c>
      <c r="I265" s="555">
        <f t="shared" si="426"/>
        <v>17</v>
      </c>
      <c r="J265" s="451">
        <f t="shared" si="427"/>
        <v>23.85</v>
      </c>
      <c r="K265" s="451">
        <f t="shared" si="428"/>
        <v>40.85</v>
      </c>
      <c r="L265" s="451"/>
      <c r="M265" s="221">
        <f t="shared" si="429"/>
        <v>0.58384332925336602</v>
      </c>
      <c r="N265" s="176">
        <f t="shared" si="430"/>
        <v>19.329593023255811</v>
      </c>
      <c r="O265" s="176">
        <f t="shared" si="459"/>
        <v>7.1999999999999993</v>
      </c>
      <c r="P265" s="221">
        <f t="shared" si="431"/>
        <v>1.2886395348837207</v>
      </c>
      <c r="Q265" s="221">
        <f t="shared" si="432"/>
        <v>15</v>
      </c>
      <c r="R265" s="221"/>
      <c r="S265" s="176">
        <f t="shared" si="433"/>
        <v>57.814347445089581</v>
      </c>
      <c r="T265" s="176">
        <f t="shared" si="434"/>
        <v>15</v>
      </c>
      <c r="U265" s="221">
        <f t="shared" si="435"/>
        <v>1.5271920088790234</v>
      </c>
      <c r="V265" s="221">
        <f t="shared" si="436"/>
        <v>0.62884376836195077</v>
      </c>
      <c r="W265" s="221">
        <f t="shared" si="437"/>
        <v>0.44823245543619133</v>
      </c>
      <c r="X265" s="201">
        <f t="shared" si="438"/>
        <v>350</v>
      </c>
      <c r="Y265" s="451">
        <f t="shared" si="401"/>
        <v>350</v>
      </c>
      <c r="AA265" s="221">
        <f t="shared" si="439"/>
        <v>4.0511577948192743</v>
      </c>
      <c r="AB265" s="177">
        <f t="shared" si="440"/>
        <v>1.1890190592760972</v>
      </c>
      <c r="AC265" s="177">
        <f t="shared" si="441"/>
        <v>1.2644372554209482</v>
      </c>
      <c r="AD265" s="177"/>
      <c r="AE265" s="177">
        <f t="shared" si="442"/>
        <v>0.24067085953878403</v>
      </c>
      <c r="AF265" s="559">
        <f t="shared" si="443"/>
        <v>3242.9676213138441</v>
      </c>
      <c r="AG265" s="542">
        <f t="shared" si="444"/>
        <v>5.1804402515723262E-2</v>
      </c>
      <c r="AI265" s="177">
        <f t="shared" si="445"/>
        <v>2.4960376763247494</v>
      </c>
      <c r="AJ265" s="177">
        <f t="shared" si="446"/>
        <v>2.4960376763247494</v>
      </c>
      <c r="AK265" s="177">
        <f t="shared" si="447"/>
        <v>2.441509389870185</v>
      </c>
      <c r="AM265" s="559">
        <f t="shared" si="448"/>
        <v>480</v>
      </c>
      <c r="AN265" s="469">
        <f t="shared" si="449"/>
        <v>350</v>
      </c>
      <c r="AP265">
        <f t="shared" si="450"/>
        <v>480</v>
      </c>
      <c r="AQ265">
        <f t="shared" si="451"/>
        <v>350</v>
      </c>
      <c r="AS265" s="5">
        <f t="shared" si="460"/>
        <v>2.8571428571428572</v>
      </c>
      <c r="AT265" s="5">
        <f t="shared" si="452"/>
        <v>1.027780219663132</v>
      </c>
      <c r="AU265" s="5">
        <f t="shared" si="423"/>
        <v>1.8293626374797252</v>
      </c>
      <c r="AV265" s="5"/>
      <c r="AW265" s="177">
        <f t="shared" si="424"/>
        <v>0.3597230768820962</v>
      </c>
      <c r="AX265" s="177"/>
      <c r="BA265" s="469">
        <f t="shared" si="453"/>
        <v>16.399012161831713</v>
      </c>
      <c r="BB265" s="469">
        <f t="shared" si="454"/>
        <v>9.3056530145748155</v>
      </c>
      <c r="BC265" s="5">
        <f t="shared" si="422"/>
        <v>1.0874229919384124</v>
      </c>
      <c r="BD265" s="469">
        <f t="shared" si="455"/>
        <v>0</v>
      </c>
      <c r="CD265" s="576">
        <f t="shared" si="456"/>
        <v>-50</v>
      </c>
      <c r="CE265">
        <f t="shared" si="457"/>
        <v>-50</v>
      </c>
    </row>
    <row r="266" spans="5:83" x14ac:dyDescent="0.25">
      <c r="E266" s="174">
        <v>49</v>
      </c>
      <c r="F266" s="221">
        <f t="shared" si="458"/>
        <v>0.49</v>
      </c>
      <c r="G266" s="221"/>
      <c r="H266" s="221">
        <f t="shared" si="425"/>
        <v>7.35</v>
      </c>
      <c r="I266" s="555">
        <f t="shared" si="426"/>
        <v>17</v>
      </c>
      <c r="J266" s="451">
        <f t="shared" si="427"/>
        <v>23.85</v>
      </c>
      <c r="K266" s="451">
        <f t="shared" si="428"/>
        <v>40.85</v>
      </c>
      <c r="L266" s="451"/>
      <c r="M266" s="221">
        <f t="shared" si="429"/>
        <v>0.58384332925336602</v>
      </c>
      <c r="N266" s="176">
        <f t="shared" si="430"/>
        <v>19.329593023255811</v>
      </c>
      <c r="O266" s="176">
        <f t="shared" si="459"/>
        <v>7.35</v>
      </c>
      <c r="P266" s="221">
        <f t="shared" si="431"/>
        <v>1.2886395348837207</v>
      </c>
      <c r="Q266" s="221">
        <f t="shared" si="432"/>
        <v>15</v>
      </c>
      <c r="R266" s="221"/>
      <c r="S266" s="176">
        <f t="shared" si="433"/>
        <v>56.410969596419037</v>
      </c>
      <c r="T266" s="176">
        <f t="shared" si="434"/>
        <v>15</v>
      </c>
      <c r="U266" s="221">
        <f t="shared" si="435"/>
        <v>1.5590085090640031</v>
      </c>
      <c r="V266" s="221">
        <f t="shared" si="436"/>
        <v>0.6419446802028248</v>
      </c>
      <c r="W266" s="221">
        <f t="shared" si="437"/>
        <v>0.45757063159111205</v>
      </c>
      <c r="X266" s="201">
        <f t="shared" si="438"/>
        <v>350</v>
      </c>
      <c r="Y266" s="451">
        <f t="shared" si="401"/>
        <v>350</v>
      </c>
      <c r="AA266" s="221">
        <f t="shared" si="439"/>
        <v>4.0511577948192743</v>
      </c>
      <c r="AB266" s="177">
        <f t="shared" si="440"/>
        <v>1.1890190592760972</v>
      </c>
      <c r="AC266" s="177">
        <f t="shared" si="441"/>
        <v>1.2644372554209482</v>
      </c>
      <c r="AD266" s="177"/>
      <c r="AE266" s="177">
        <f t="shared" si="442"/>
        <v>0.24067085953878403</v>
      </c>
      <c r="AF266" s="559">
        <f t="shared" si="443"/>
        <v>3310.5294467578829</v>
      </c>
      <c r="AG266" s="542">
        <f t="shared" si="444"/>
        <v>5.1804402515723262E-2</v>
      </c>
      <c r="AI266" s="177">
        <f t="shared" si="445"/>
        <v>2.5219040425836985</v>
      </c>
      <c r="AJ266" s="177">
        <f t="shared" si="446"/>
        <v>2.5219040425836985</v>
      </c>
      <c r="AK266" s="177">
        <f t="shared" si="447"/>
        <v>2.4606696611731103</v>
      </c>
      <c r="AM266" s="559">
        <f t="shared" si="448"/>
        <v>490</v>
      </c>
      <c r="AN266" s="469">
        <f t="shared" si="449"/>
        <v>350</v>
      </c>
      <c r="AP266">
        <f t="shared" si="450"/>
        <v>490</v>
      </c>
      <c r="AQ266">
        <f t="shared" si="451"/>
        <v>350</v>
      </c>
      <c r="AS266" s="5">
        <f t="shared" si="460"/>
        <v>2.8571428571428572</v>
      </c>
      <c r="AT266" s="5">
        <f t="shared" si="452"/>
        <v>1.0384310763579936</v>
      </c>
      <c r="AU266" s="5">
        <f t="shared" si="423"/>
        <v>1.8187117807848636</v>
      </c>
      <c r="AV266" s="5"/>
      <c r="AW266" s="177">
        <f t="shared" si="424"/>
        <v>0.36345087672529774</v>
      </c>
      <c r="AX266" s="177"/>
      <c r="BA266" s="469">
        <f t="shared" si="453"/>
        <v>16.399012161831713</v>
      </c>
      <c r="BB266" s="469">
        <f t="shared" si="454"/>
        <v>9.6668024687474556</v>
      </c>
      <c r="BC266" s="5">
        <f t="shared" si="422"/>
        <v>1.1036145790521152</v>
      </c>
      <c r="BD266" s="469">
        <f t="shared" si="455"/>
        <v>0</v>
      </c>
      <c r="CD266" s="576">
        <f t="shared" si="456"/>
        <v>-50</v>
      </c>
      <c r="CE266">
        <f t="shared" si="457"/>
        <v>-50</v>
      </c>
    </row>
    <row r="267" spans="5:83" x14ac:dyDescent="0.25">
      <c r="E267" s="174">
        <v>50</v>
      </c>
      <c r="F267" s="221">
        <f t="shared" si="458"/>
        <v>0.5</v>
      </c>
      <c r="G267" s="221"/>
      <c r="H267" s="221">
        <f t="shared" si="425"/>
        <v>7.5</v>
      </c>
      <c r="I267" s="555">
        <f t="shared" si="426"/>
        <v>17</v>
      </c>
      <c r="J267" s="451">
        <f t="shared" si="427"/>
        <v>23.85</v>
      </c>
      <c r="K267" s="451">
        <f t="shared" si="428"/>
        <v>40.85</v>
      </c>
      <c r="L267" s="451"/>
      <c r="M267" s="221">
        <f t="shared" si="429"/>
        <v>0.58384332925336602</v>
      </c>
      <c r="N267" s="176">
        <f t="shared" si="430"/>
        <v>19.329593023255811</v>
      </c>
      <c r="O267" s="176">
        <f t="shared" si="459"/>
        <v>7.5</v>
      </c>
      <c r="P267" s="221">
        <f t="shared" si="431"/>
        <v>1.2886395348837207</v>
      </c>
      <c r="Q267" s="221">
        <f t="shared" si="432"/>
        <v>15</v>
      </c>
      <c r="R267" s="221"/>
      <c r="S267" s="176">
        <f t="shared" si="433"/>
        <v>55.06392692894152</v>
      </c>
      <c r="T267" s="176">
        <f t="shared" si="434"/>
        <v>15</v>
      </c>
      <c r="U267" s="221">
        <f t="shared" si="435"/>
        <v>1.5908250092489828</v>
      </c>
      <c r="V267" s="221">
        <f t="shared" si="436"/>
        <v>0.65504559204369883</v>
      </c>
      <c r="W267" s="221">
        <f t="shared" si="437"/>
        <v>0.46690880774603266</v>
      </c>
      <c r="X267" s="201">
        <f t="shared" si="438"/>
        <v>350</v>
      </c>
      <c r="Y267" s="451">
        <f t="shared" si="401"/>
        <v>350</v>
      </c>
      <c r="AA267" s="221">
        <f t="shared" si="439"/>
        <v>4.0511577948192743</v>
      </c>
      <c r="AB267" s="177">
        <f t="shared" si="440"/>
        <v>1.1890190592760972</v>
      </c>
      <c r="AC267" s="177">
        <f t="shared" si="441"/>
        <v>1.2644372554209482</v>
      </c>
      <c r="AD267" s="177"/>
      <c r="AE267" s="177">
        <f t="shared" si="442"/>
        <v>0.24067085953878403</v>
      </c>
      <c r="AF267" s="559">
        <f t="shared" si="443"/>
        <v>3378.0912722019211</v>
      </c>
      <c r="AG267" s="542">
        <f t="shared" si="444"/>
        <v>5.1804402515723262E-2</v>
      </c>
      <c r="AI267" s="177">
        <f t="shared" si="445"/>
        <v>2.5475077857324302</v>
      </c>
      <c r="AJ267" s="177">
        <f t="shared" si="446"/>
        <v>2.5475077857324302</v>
      </c>
      <c r="AK267" s="177">
        <f t="shared" si="447"/>
        <v>2.4796353968388374</v>
      </c>
      <c r="AM267" s="559">
        <f t="shared" si="448"/>
        <v>500</v>
      </c>
      <c r="AN267" s="469">
        <f t="shared" si="449"/>
        <v>350</v>
      </c>
      <c r="AP267">
        <f t="shared" si="450"/>
        <v>500</v>
      </c>
      <c r="AQ267">
        <f t="shared" si="451"/>
        <v>350</v>
      </c>
      <c r="AS267" s="5">
        <f t="shared" si="460"/>
        <v>2.8571428571428572</v>
      </c>
      <c r="AT267" s="5">
        <f t="shared" si="452"/>
        <v>1.0489737941251185</v>
      </c>
      <c r="AU267" s="5">
        <f t="shared" si="423"/>
        <v>1.8081690630177387</v>
      </c>
      <c r="AV267" s="5"/>
      <c r="AW267" s="177">
        <f t="shared" si="424"/>
        <v>0.36714082794379144</v>
      </c>
      <c r="AX267" s="177"/>
      <c r="BA267" s="469">
        <f t="shared" si="453"/>
        <v>16.399012161831713</v>
      </c>
      <c r="BB267" s="469">
        <f t="shared" si="454"/>
        <v>10.034779746717467</v>
      </c>
      <c r="BC267" s="5">
        <f t="shared" si="422"/>
        <v>1.1196093269459684</v>
      </c>
      <c r="BD267" s="469">
        <f t="shared" si="455"/>
        <v>0</v>
      </c>
      <c r="CD267" s="576">
        <f t="shared" si="456"/>
        <v>-50</v>
      </c>
      <c r="CE267">
        <f t="shared" si="457"/>
        <v>-50</v>
      </c>
    </row>
    <row r="268" spans="5:83" x14ac:dyDescent="0.25">
      <c r="E268" s="174">
        <v>51</v>
      </c>
      <c r="F268" s="221">
        <f t="shared" si="458"/>
        <v>0.51</v>
      </c>
      <c r="G268" s="221"/>
      <c r="H268" s="221">
        <f t="shared" si="425"/>
        <v>7.65</v>
      </c>
      <c r="I268" s="555">
        <f t="shared" si="426"/>
        <v>17</v>
      </c>
      <c r="J268" s="451">
        <f t="shared" si="427"/>
        <v>23.85</v>
      </c>
      <c r="K268" s="451">
        <f t="shared" si="428"/>
        <v>40.85</v>
      </c>
      <c r="L268" s="451"/>
      <c r="M268" s="221">
        <f t="shared" si="429"/>
        <v>0.58384332925336602</v>
      </c>
      <c r="N268" s="176">
        <f t="shared" si="430"/>
        <v>19.329593023255811</v>
      </c>
      <c r="O268" s="176">
        <f t="shared" si="459"/>
        <v>7.65</v>
      </c>
      <c r="P268" s="221">
        <f t="shared" si="431"/>
        <v>1.2886395348837207</v>
      </c>
      <c r="Q268" s="221">
        <f t="shared" si="432"/>
        <v>15</v>
      </c>
      <c r="R268" s="221"/>
      <c r="S268" s="176">
        <f t="shared" si="433"/>
        <v>53.769907637931617</v>
      </c>
      <c r="T268" s="176">
        <f t="shared" si="434"/>
        <v>15</v>
      </c>
      <c r="U268" s="221">
        <f t="shared" si="435"/>
        <v>1.6226415094339626</v>
      </c>
      <c r="V268" s="221">
        <f t="shared" si="436"/>
        <v>0.66814650388457286</v>
      </c>
      <c r="W268" s="221">
        <f t="shared" si="437"/>
        <v>0.47624698390095338</v>
      </c>
      <c r="X268" s="201">
        <f t="shared" si="438"/>
        <v>350</v>
      </c>
      <c r="Y268" s="451">
        <f t="shared" si="401"/>
        <v>350</v>
      </c>
      <c r="AA268" s="221">
        <f t="shared" si="439"/>
        <v>4.0511577948192743</v>
      </c>
      <c r="AB268" s="177">
        <f t="shared" si="440"/>
        <v>1.1890190592760972</v>
      </c>
      <c r="AC268" s="177">
        <f t="shared" si="441"/>
        <v>1.2644372554209482</v>
      </c>
      <c r="AD268" s="177"/>
      <c r="AE268" s="177">
        <f t="shared" si="442"/>
        <v>0.24067085953878403</v>
      </c>
      <c r="AF268" s="559">
        <f t="shared" si="443"/>
        <v>3445.6530976459599</v>
      </c>
      <c r="AG268" s="542">
        <f t="shared" si="444"/>
        <v>5.1804402515723262E-2</v>
      </c>
      <c r="AI268" s="177">
        <f t="shared" si="445"/>
        <v>2.572856746252052</v>
      </c>
      <c r="AJ268" s="177">
        <f t="shared" si="446"/>
        <v>2.572856746252052</v>
      </c>
      <c r="AK268" s="177">
        <f t="shared" si="447"/>
        <v>2.49841240463115</v>
      </c>
      <c r="AM268" s="559">
        <f t="shared" si="448"/>
        <v>510</v>
      </c>
      <c r="AN268" s="469">
        <f t="shared" si="449"/>
        <v>350</v>
      </c>
      <c r="AP268">
        <f t="shared" si="450"/>
        <v>510</v>
      </c>
      <c r="AQ268">
        <f t="shared" si="451"/>
        <v>350</v>
      </c>
      <c r="AS268" s="5">
        <f t="shared" si="460"/>
        <v>2.8571428571428572</v>
      </c>
      <c r="AT268" s="5">
        <f t="shared" si="452"/>
        <v>1.0594116013979038</v>
      </c>
      <c r="AU268" s="5">
        <f t="shared" si="423"/>
        <v>1.7977312557449534</v>
      </c>
      <c r="AV268" s="5"/>
      <c r="AW268" s="177">
        <f t="shared" si="424"/>
        <v>0.37079406048926633</v>
      </c>
      <c r="AX268" s="177"/>
      <c r="BA268" s="469">
        <f t="shared" si="453"/>
        <v>16.399012161831713</v>
      </c>
      <c r="BB268" s="469">
        <f t="shared" si="454"/>
        <v>10.409584848484851</v>
      </c>
      <c r="BC268" s="5">
        <f t="shared" si="422"/>
        <v>1.1354092141547076</v>
      </c>
      <c r="BD268" s="469">
        <f t="shared" si="455"/>
        <v>0</v>
      </c>
      <c r="CD268" s="576">
        <f t="shared" si="456"/>
        <v>-50</v>
      </c>
      <c r="CE268">
        <f t="shared" si="457"/>
        <v>-50</v>
      </c>
    </row>
    <row r="269" spans="5:83" x14ac:dyDescent="0.25">
      <c r="E269" s="174">
        <v>52</v>
      </c>
      <c r="F269" s="221">
        <f t="shared" si="458"/>
        <v>0.52</v>
      </c>
      <c r="G269" s="221"/>
      <c r="H269" s="221">
        <f t="shared" si="425"/>
        <v>7.8000000000000007</v>
      </c>
      <c r="I269" s="555">
        <f t="shared" si="426"/>
        <v>17</v>
      </c>
      <c r="J269" s="451">
        <f t="shared" si="427"/>
        <v>23.85</v>
      </c>
      <c r="K269" s="451">
        <f t="shared" si="428"/>
        <v>40.85</v>
      </c>
      <c r="L269" s="451"/>
      <c r="M269" s="221">
        <f t="shared" si="429"/>
        <v>0.58384332925336602</v>
      </c>
      <c r="N269" s="176">
        <f t="shared" si="430"/>
        <v>19.329593023255811</v>
      </c>
      <c r="O269" s="176">
        <f t="shared" si="459"/>
        <v>7.8000000000000007</v>
      </c>
      <c r="P269" s="221">
        <f t="shared" si="431"/>
        <v>1.2886395348837207</v>
      </c>
      <c r="Q269" s="221">
        <f t="shared" si="432"/>
        <v>15</v>
      </c>
      <c r="R269" s="221"/>
      <c r="S269" s="176">
        <f t="shared" si="433"/>
        <v>52.525854696171201</v>
      </c>
      <c r="T269" s="176">
        <f t="shared" si="434"/>
        <v>15</v>
      </c>
      <c r="U269" s="221">
        <f t="shared" si="435"/>
        <v>1.6544580096189423</v>
      </c>
      <c r="V269" s="221">
        <f t="shared" si="436"/>
        <v>0.68124741572544678</v>
      </c>
      <c r="W269" s="221">
        <f t="shared" si="437"/>
        <v>0.48558516005587399</v>
      </c>
      <c r="X269" s="201">
        <f t="shared" si="438"/>
        <v>350</v>
      </c>
      <c r="Y269" s="451">
        <f t="shared" si="401"/>
        <v>350</v>
      </c>
      <c r="AA269" s="221">
        <f t="shared" si="439"/>
        <v>4.0511577948192743</v>
      </c>
      <c r="AB269" s="177">
        <f t="shared" si="440"/>
        <v>1.1890190592760972</v>
      </c>
      <c r="AC269" s="177">
        <f t="shared" si="441"/>
        <v>1.2644372554209482</v>
      </c>
      <c r="AD269" s="177"/>
      <c r="AE269" s="177">
        <f t="shared" si="442"/>
        <v>0.24067085953878403</v>
      </c>
      <c r="AF269" s="559">
        <f t="shared" si="443"/>
        <v>3513.2149230899981</v>
      </c>
      <c r="AG269" s="542">
        <f t="shared" si="444"/>
        <v>5.1804402515723262E-2</v>
      </c>
      <c r="AI269" s="177">
        <f t="shared" si="445"/>
        <v>2.5979583820958414</v>
      </c>
      <c r="AJ269" s="177">
        <f t="shared" si="446"/>
        <v>2.5979583820958414</v>
      </c>
      <c r="AK269" s="177">
        <f t="shared" si="447"/>
        <v>2.5170062089598826</v>
      </c>
      <c r="AM269" s="559">
        <f t="shared" si="448"/>
        <v>520</v>
      </c>
      <c r="AN269" s="469">
        <f t="shared" si="449"/>
        <v>350</v>
      </c>
      <c r="AP269">
        <f t="shared" si="450"/>
        <v>520</v>
      </c>
      <c r="AQ269">
        <f t="shared" si="451"/>
        <v>350</v>
      </c>
      <c r="AS269" s="5">
        <f t="shared" si="460"/>
        <v>2.8571428571428572</v>
      </c>
      <c r="AT269" s="5">
        <f t="shared" si="452"/>
        <v>1.0697475690982876</v>
      </c>
      <c r="AU269" s="5">
        <f t="shared" si="423"/>
        <v>1.7873952880445696</v>
      </c>
      <c r="AV269" s="5"/>
      <c r="AW269" s="177">
        <f t="shared" si="424"/>
        <v>0.37441164918440067</v>
      </c>
      <c r="AX269" s="177"/>
      <c r="BA269" s="469">
        <f t="shared" si="453"/>
        <v>16.399012161831713</v>
      </c>
      <c r="BB269" s="469">
        <f t="shared" si="454"/>
        <v>10.791217774049612</v>
      </c>
      <c r="BC269" s="5">
        <f t="shared" si="422"/>
        <v>1.1510161607221996</v>
      </c>
      <c r="BD269" s="469">
        <f t="shared" si="455"/>
        <v>0</v>
      </c>
      <c r="CD269" s="576">
        <f t="shared" si="456"/>
        <v>-50</v>
      </c>
      <c r="CE269">
        <f t="shared" si="457"/>
        <v>-50</v>
      </c>
    </row>
    <row r="270" spans="5:83" x14ac:dyDescent="0.25">
      <c r="E270" s="174">
        <v>53</v>
      </c>
      <c r="F270" s="221">
        <f t="shared" si="458"/>
        <v>0.53</v>
      </c>
      <c r="G270" s="221"/>
      <c r="H270" s="221">
        <f t="shared" si="425"/>
        <v>7.95</v>
      </c>
      <c r="I270" s="555">
        <f t="shared" si="426"/>
        <v>17</v>
      </c>
      <c r="J270" s="451">
        <f t="shared" si="427"/>
        <v>23.85</v>
      </c>
      <c r="K270" s="451">
        <f t="shared" si="428"/>
        <v>40.85</v>
      </c>
      <c r="L270" s="451"/>
      <c r="M270" s="221">
        <f t="shared" si="429"/>
        <v>0.58384332925336602</v>
      </c>
      <c r="N270" s="176">
        <f t="shared" si="430"/>
        <v>19.329593023255811</v>
      </c>
      <c r="O270" s="176">
        <f t="shared" si="459"/>
        <v>7.95</v>
      </c>
      <c r="P270" s="221">
        <f t="shared" si="431"/>
        <v>1.2886395348837207</v>
      </c>
      <c r="Q270" s="221">
        <f t="shared" si="432"/>
        <v>15</v>
      </c>
      <c r="R270" s="221"/>
      <c r="S270" s="176">
        <f t="shared" si="433"/>
        <v>51.328941818587076</v>
      </c>
      <c r="T270" s="176">
        <f t="shared" si="434"/>
        <v>15</v>
      </c>
      <c r="U270" s="221">
        <f t="shared" si="435"/>
        <v>1.6862745098039218</v>
      </c>
      <c r="V270" s="221">
        <f t="shared" si="436"/>
        <v>0.69434832756632081</v>
      </c>
      <c r="W270" s="221">
        <f t="shared" si="437"/>
        <v>0.4949233362107946</v>
      </c>
      <c r="X270" s="201">
        <f t="shared" si="438"/>
        <v>350</v>
      </c>
      <c r="Y270" s="451">
        <f t="shared" si="401"/>
        <v>350</v>
      </c>
      <c r="AA270" s="221">
        <f t="shared" si="439"/>
        <v>4.0511577948192743</v>
      </c>
      <c r="AB270" s="177">
        <f t="shared" si="440"/>
        <v>1.1890190592760972</v>
      </c>
      <c r="AC270" s="177">
        <f t="shared" si="441"/>
        <v>1.2644372554209482</v>
      </c>
      <c r="AD270" s="177"/>
      <c r="AE270" s="177">
        <f t="shared" si="442"/>
        <v>0.24067085953878403</v>
      </c>
      <c r="AF270" s="559">
        <f t="shared" si="443"/>
        <v>3580.7767485340369</v>
      </c>
      <c r="AG270" s="542">
        <f t="shared" si="444"/>
        <v>5.1804402515723262E-2</v>
      </c>
      <c r="AI270" s="177">
        <f t="shared" si="445"/>
        <v>2.6228197943185858</v>
      </c>
      <c r="AJ270" s="177">
        <f t="shared" si="446"/>
        <v>2.6228197943185858</v>
      </c>
      <c r="AK270" s="177">
        <f t="shared" si="447"/>
        <v>2.5354220698656196</v>
      </c>
      <c r="AM270" s="559">
        <f t="shared" si="448"/>
        <v>530</v>
      </c>
      <c r="AN270" s="469">
        <f t="shared" si="449"/>
        <v>350</v>
      </c>
      <c r="AP270">
        <f t="shared" si="450"/>
        <v>530</v>
      </c>
      <c r="AQ270">
        <f t="shared" si="451"/>
        <v>350</v>
      </c>
      <c r="AS270" s="5">
        <f t="shared" si="460"/>
        <v>2.8571428571428572</v>
      </c>
      <c r="AT270" s="5">
        <f t="shared" si="452"/>
        <v>1.0799846211900059</v>
      </c>
      <c r="AU270" s="5">
        <f t="shared" si="423"/>
        <v>1.7771582359528513</v>
      </c>
      <c r="AV270" s="5"/>
      <c r="AW270" s="177">
        <f t="shared" si="424"/>
        <v>0.37799461741650209</v>
      </c>
      <c r="AX270" s="177"/>
      <c r="BA270" s="469">
        <f t="shared" si="453"/>
        <v>16.399012161831713</v>
      </c>
      <c r="BB270" s="469">
        <f t="shared" si="454"/>
        <v>11.179678523411747</v>
      </c>
      <c r="BC270" s="5">
        <f t="shared" si="422"/>
        <v>1.1664320310278775</v>
      </c>
      <c r="BD270" s="469">
        <f t="shared" si="455"/>
        <v>0</v>
      </c>
      <c r="CD270" s="576">
        <f t="shared" si="456"/>
        <v>-50</v>
      </c>
      <c r="CE270">
        <f t="shared" si="457"/>
        <v>-50</v>
      </c>
    </row>
    <row r="271" spans="5:83" x14ac:dyDescent="0.25">
      <c r="E271" s="174">
        <v>54</v>
      </c>
      <c r="F271" s="221">
        <f t="shared" si="458"/>
        <v>0.54</v>
      </c>
      <c r="G271" s="221"/>
      <c r="H271" s="221">
        <f t="shared" si="425"/>
        <v>8.1000000000000014</v>
      </c>
      <c r="I271" s="555">
        <f t="shared" si="426"/>
        <v>17</v>
      </c>
      <c r="J271" s="451">
        <f t="shared" si="427"/>
        <v>23.85</v>
      </c>
      <c r="K271" s="451">
        <f t="shared" si="428"/>
        <v>40.85</v>
      </c>
      <c r="L271" s="451"/>
      <c r="M271" s="221">
        <f t="shared" si="429"/>
        <v>0.58384332925336602</v>
      </c>
      <c r="N271" s="176">
        <f t="shared" si="430"/>
        <v>19.329593023255811</v>
      </c>
      <c r="O271" s="176">
        <f t="shared" si="459"/>
        <v>8.1000000000000014</v>
      </c>
      <c r="P271" s="221">
        <f t="shared" si="431"/>
        <v>1.2886395348837207</v>
      </c>
      <c r="Q271" s="221">
        <f t="shared" si="432"/>
        <v>15</v>
      </c>
      <c r="R271" s="221"/>
      <c r="S271" s="176">
        <f t="shared" si="433"/>
        <v>50.176552097485725</v>
      </c>
      <c r="T271" s="176">
        <f t="shared" si="434"/>
        <v>15</v>
      </c>
      <c r="U271" s="221">
        <f t="shared" si="435"/>
        <v>1.7180910099889017</v>
      </c>
      <c r="V271" s="221">
        <f t="shared" si="436"/>
        <v>0.70744923940719473</v>
      </c>
      <c r="W271" s="221">
        <f t="shared" si="437"/>
        <v>0.50426151236571526</v>
      </c>
      <c r="X271" s="201">
        <f t="shared" si="438"/>
        <v>350</v>
      </c>
      <c r="Y271" s="451">
        <f t="shared" si="401"/>
        <v>350</v>
      </c>
      <c r="AA271" s="221">
        <f t="shared" si="439"/>
        <v>4.0511577948192743</v>
      </c>
      <c r="AB271" s="177">
        <f t="shared" si="440"/>
        <v>1.1890190592760972</v>
      </c>
      <c r="AC271" s="177">
        <f t="shared" si="441"/>
        <v>1.2644372554209482</v>
      </c>
      <c r="AD271" s="177"/>
      <c r="AE271" s="177">
        <f t="shared" si="442"/>
        <v>0.24067085953878403</v>
      </c>
      <c r="AF271" s="559">
        <f t="shared" si="443"/>
        <v>3648.3385739780751</v>
      </c>
      <c r="AG271" s="542">
        <f t="shared" si="444"/>
        <v>5.1804402515723262E-2</v>
      </c>
      <c r="AI271" s="177">
        <f t="shared" si="445"/>
        <v>2.6474477505395146</v>
      </c>
      <c r="AJ271" s="177">
        <f t="shared" si="446"/>
        <v>2.6474477505395146</v>
      </c>
      <c r="AK271" s="177">
        <f t="shared" si="447"/>
        <v>2.5536650003996408</v>
      </c>
      <c r="AM271" s="559">
        <f t="shared" si="448"/>
        <v>540</v>
      </c>
      <c r="AN271" s="469">
        <f t="shared" si="449"/>
        <v>350</v>
      </c>
      <c r="AP271">
        <f t="shared" si="450"/>
        <v>540</v>
      </c>
      <c r="AQ271">
        <f t="shared" si="451"/>
        <v>350</v>
      </c>
      <c r="AS271" s="5">
        <f t="shared" si="460"/>
        <v>2.8571428571428572</v>
      </c>
      <c r="AT271" s="5">
        <f t="shared" si="452"/>
        <v>1.0901255443398001</v>
      </c>
      <c r="AU271" s="5">
        <f t="shared" si="423"/>
        <v>1.7670173128030571</v>
      </c>
      <c r="AV271" s="5"/>
      <c r="AW271" s="177">
        <f t="shared" si="424"/>
        <v>0.38154394051893004</v>
      </c>
      <c r="AX271" s="177"/>
      <c r="BA271" s="469">
        <f t="shared" si="453"/>
        <v>16.399012161831713</v>
      </c>
      <c r="BB271" s="469">
        <f t="shared" si="454"/>
        <v>11.574967096571253</v>
      </c>
      <c r="BC271" s="5">
        <f t="shared" si="422"/>
        <v>1.1816586364255741</v>
      </c>
      <c r="BD271" s="469">
        <f t="shared" si="455"/>
        <v>0</v>
      </c>
      <c r="CD271" s="576">
        <f t="shared" si="456"/>
        <v>-50</v>
      </c>
      <c r="CE271">
        <f t="shared" si="457"/>
        <v>-50</v>
      </c>
    </row>
    <row r="272" spans="5:83" x14ac:dyDescent="0.25">
      <c r="E272" s="174">
        <v>55</v>
      </c>
      <c r="F272" s="221">
        <f t="shared" si="458"/>
        <v>0.55000000000000004</v>
      </c>
      <c r="G272" s="221"/>
      <c r="H272" s="221">
        <f t="shared" si="425"/>
        <v>8.25</v>
      </c>
      <c r="I272" s="555">
        <f t="shared" si="426"/>
        <v>17</v>
      </c>
      <c r="J272" s="451">
        <f t="shared" si="427"/>
        <v>23.85</v>
      </c>
      <c r="K272" s="451">
        <f t="shared" si="428"/>
        <v>40.85</v>
      </c>
      <c r="L272" s="451"/>
      <c r="M272" s="221">
        <f t="shared" si="429"/>
        <v>0.58384332925336602</v>
      </c>
      <c r="N272" s="176">
        <f t="shared" si="430"/>
        <v>19.329593023255811</v>
      </c>
      <c r="O272" s="176">
        <f t="shared" si="459"/>
        <v>8.25</v>
      </c>
      <c r="P272" s="221">
        <f t="shared" si="431"/>
        <v>1.2886395348837207</v>
      </c>
      <c r="Q272" s="221">
        <f t="shared" si="432"/>
        <v>15</v>
      </c>
      <c r="R272" s="221"/>
      <c r="S272" s="176">
        <f t="shared" si="433"/>
        <v>49.066258968490601</v>
      </c>
      <c r="T272" s="176">
        <f t="shared" si="434"/>
        <v>15</v>
      </c>
      <c r="U272" s="221">
        <f t="shared" si="435"/>
        <v>1.749907510173881</v>
      </c>
      <c r="V272" s="221">
        <f t="shared" si="436"/>
        <v>0.72055015124806854</v>
      </c>
      <c r="W272" s="221">
        <f t="shared" si="437"/>
        <v>0.51359968852063587</v>
      </c>
      <c r="X272" s="201">
        <f t="shared" si="438"/>
        <v>350</v>
      </c>
      <c r="Y272" s="451">
        <f t="shared" si="401"/>
        <v>350</v>
      </c>
      <c r="AA272" s="221">
        <f t="shared" si="439"/>
        <v>4.0511577948192743</v>
      </c>
      <c r="AB272" s="177">
        <f t="shared" si="440"/>
        <v>1.1890190592760972</v>
      </c>
      <c r="AC272" s="177">
        <f t="shared" si="441"/>
        <v>1.2644372554209482</v>
      </c>
      <c r="AD272" s="177"/>
      <c r="AE272" s="177">
        <f t="shared" si="442"/>
        <v>0.24067085953878403</v>
      </c>
      <c r="AF272" s="559">
        <f t="shared" si="443"/>
        <v>3715.9003994221139</v>
      </c>
      <c r="AG272" s="542">
        <f t="shared" si="444"/>
        <v>5.1804402515723262E-2</v>
      </c>
      <c r="AI272" s="177">
        <f t="shared" si="445"/>
        <v>2.6718487064585235</v>
      </c>
      <c r="AJ272" s="177">
        <f t="shared" si="446"/>
        <v>2.6718487064585235</v>
      </c>
      <c r="AK272" s="177">
        <f t="shared" si="447"/>
        <v>2.5717397825618695</v>
      </c>
      <c r="AM272" s="559">
        <f t="shared" si="448"/>
        <v>550</v>
      </c>
      <c r="AN272" s="469">
        <f t="shared" si="449"/>
        <v>350</v>
      </c>
      <c r="AP272">
        <f t="shared" si="450"/>
        <v>550</v>
      </c>
      <c r="AQ272">
        <f t="shared" si="451"/>
        <v>350</v>
      </c>
      <c r="AS272" s="5">
        <f t="shared" si="460"/>
        <v>2.8571428571428572</v>
      </c>
      <c r="AT272" s="5">
        <f t="shared" si="452"/>
        <v>1.1001729967770391</v>
      </c>
      <c r="AU272" s="5">
        <f t="shared" si="423"/>
        <v>1.7569698603658181</v>
      </c>
      <c r="AV272" s="5"/>
      <c r="AW272" s="177">
        <f t="shared" si="424"/>
        <v>0.38506054887196367</v>
      </c>
      <c r="AX272" s="177"/>
      <c r="BA272" s="469">
        <f t="shared" si="453"/>
        <v>16.399012161831713</v>
      </c>
      <c r="BB272" s="469">
        <f t="shared" si="454"/>
        <v>11.977083493528138</v>
      </c>
      <c r="BC272" s="5">
        <f t="shared" si="422"/>
        <v>1.1966977377104644</v>
      </c>
      <c r="BD272" s="469">
        <f t="shared" si="455"/>
        <v>0</v>
      </c>
      <c r="CD272" s="576">
        <f t="shared" si="456"/>
        <v>-50</v>
      </c>
      <c r="CE272">
        <f t="shared" si="457"/>
        <v>-50</v>
      </c>
    </row>
    <row r="273" spans="5:83" x14ac:dyDescent="0.25">
      <c r="E273" s="174">
        <v>56</v>
      </c>
      <c r="F273" s="221">
        <f t="shared" si="458"/>
        <v>0.56000000000000005</v>
      </c>
      <c r="G273" s="221"/>
      <c r="H273" s="221">
        <f t="shared" si="425"/>
        <v>8.4</v>
      </c>
      <c r="I273" s="555">
        <f t="shared" si="426"/>
        <v>17</v>
      </c>
      <c r="J273" s="451">
        <f t="shared" si="427"/>
        <v>23.85</v>
      </c>
      <c r="K273" s="451">
        <f t="shared" si="428"/>
        <v>40.85</v>
      </c>
      <c r="L273" s="451"/>
      <c r="M273" s="221">
        <f t="shared" si="429"/>
        <v>0.58384332925336602</v>
      </c>
      <c r="N273" s="176">
        <f t="shared" si="430"/>
        <v>19.329593023255811</v>
      </c>
      <c r="O273" s="176">
        <f t="shared" si="459"/>
        <v>8.4</v>
      </c>
      <c r="P273" s="221">
        <f t="shared" si="431"/>
        <v>1.2886395348837207</v>
      </c>
      <c r="Q273" s="221">
        <f t="shared" si="432"/>
        <v>15</v>
      </c>
      <c r="R273" s="221"/>
      <c r="S273" s="176">
        <f t="shared" si="433"/>
        <v>47.995809215844368</v>
      </c>
      <c r="T273" s="176">
        <f t="shared" si="434"/>
        <v>15</v>
      </c>
      <c r="U273" s="221">
        <f t="shared" si="435"/>
        <v>1.7817240103588607</v>
      </c>
      <c r="V273" s="221">
        <f t="shared" si="436"/>
        <v>0.73365106308894268</v>
      </c>
      <c r="W273" s="221">
        <f t="shared" si="437"/>
        <v>0.52293786467555659</v>
      </c>
      <c r="X273" s="201">
        <f t="shared" si="438"/>
        <v>350</v>
      </c>
      <c r="Y273" s="451">
        <f t="shared" si="401"/>
        <v>350</v>
      </c>
      <c r="AA273" s="221">
        <f t="shared" si="439"/>
        <v>4.0511577948192743</v>
      </c>
      <c r="AB273" s="177">
        <f t="shared" si="440"/>
        <v>1.1890190592760972</v>
      </c>
      <c r="AC273" s="177">
        <f t="shared" si="441"/>
        <v>1.2644372554209482</v>
      </c>
      <c r="AD273" s="177"/>
      <c r="AE273" s="177">
        <f t="shared" si="442"/>
        <v>0.24067085953878403</v>
      </c>
      <c r="AF273" s="559">
        <f t="shared" si="443"/>
        <v>3783.4622248661522</v>
      </c>
      <c r="AG273" s="542">
        <f t="shared" si="444"/>
        <v>5.1804402515723262E-2</v>
      </c>
      <c r="AI273" s="177">
        <f t="shared" si="445"/>
        <v>2.6960288256195315</v>
      </c>
      <c r="AJ273" s="177">
        <f t="shared" si="446"/>
        <v>2.6960288256195315</v>
      </c>
      <c r="AK273" s="177">
        <f t="shared" si="447"/>
        <v>2.5896509819403937</v>
      </c>
      <c r="AM273" s="559">
        <f t="shared" si="448"/>
        <v>560</v>
      </c>
      <c r="AN273" s="469">
        <f t="shared" si="449"/>
        <v>350</v>
      </c>
      <c r="AP273">
        <f t="shared" si="450"/>
        <v>560</v>
      </c>
      <c r="AQ273">
        <f t="shared" si="451"/>
        <v>350</v>
      </c>
      <c r="AS273" s="5">
        <f t="shared" si="460"/>
        <v>2.8571428571428572</v>
      </c>
      <c r="AT273" s="5">
        <f t="shared" si="452"/>
        <v>1.1101295164315719</v>
      </c>
      <c r="AU273" s="5">
        <f t="shared" si="423"/>
        <v>1.7470133407112853</v>
      </c>
      <c r="AV273" s="5"/>
      <c r="AW273" s="177">
        <f t="shared" si="424"/>
        <v>0.38854533075105013</v>
      </c>
      <c r="AX273" s="177"/>
      <c r="BA273" s="469">
        <f t="shared" si="453"/>
        <v>16.399012161831713</v>
      </c>
      <c r="BB273" s="469">
        <f t="shared" si="454"/>
        <v>12.38602771428239</v>
      </c>
      <c r="BC273" s="5">
        <f t="shared" si="422"/>
        <v>1.2115510474282598</v>
      </c>
      <c r="BD273" s="469">
        <f t="shared" si="455"/>
        <v>0</v>
      </c>
      <c r="CD273" s="576">
        <f t="shared" si="456"/>
        <v>-50</v>
      </c>
      <c r="CE273">
        <f t="shared" si="457"/>
        <v>-50</v>
      </c>
    </row>
    <row r="274" spans="5:83" x14ac:dyDescent="0.25">
      <c r="E274" s="174">
        <v>57</v>
      </c>
      <c r="F274" s="221">
        <f t="shared" si="458"/>
        <v>0.56999999999999995</v>
      </c>
      <c r="G274" s="221"/>
      <c r="H274" s="221">
        <f t="shared" si="425"/>
        <v>8.5499999999999989</v>
      </c>
      <c r="I274" s="555">
        <f t="shared" si="426"/>
        <v>17</v>
      </c>
      <c r="J274" s="451">
        <f t="shared" si="427"/>
        <v>23.85</v>
      </c>
      <c r="K274" s="451">
        <f t="shared" si="428"/>
        <v>40.85</v>
      </c>
      <c r="L274" s="451"/>
      <c r="M274" s="221">
        <f t="shared" si="429"/>
        <v>0.58384332925336602</v>
      </c>
      <c r="N274" s="176">
        <f t="shared" si="430"/>
        <v>19.329593023255811</v>
      </c>
      <c r="O274" s="176">
        <f t="shared" si="459"/>
        <v>8.5499999999999989</v>
      </c>
      <c r="P274" s="221">
        <f t="shared" si="431"/>
        <v>1.2886395348837207</v>
      </c>
      <c r="Q274" s="221">
        <f t="shared" si="432"/>
        <v>15</v>
      </c>
      <c r="R274" s="221"/>
      <c r="S274" s="176">
        <f t="shared" si="433"/>
        <v>46.963107766627566</v>
      </c>
      <c r="T274" s="176">
        <f t="shared" si="434"/>
        <v>15</v>
      </c>
      <c r="U274" s="221">
        <f t="shared" si="435"/>
        <v>1.81354051054384</v>
      </c>
      <c r="V274" s="221">
        <f t="shared" si="436"/>
        <v>0.74675197492981649</v>
      </c>
      <c r="W274" s="221">
        <f t="shared" si="437"/>
        <v>0.53227604083047719</v>
      </c>
      <c r="X274" s="201">
        <f t="shared" si="438"/>
        <v>350</v>
      </c>
      <c r="Y274" s="451">
        <f t="shared" si="401"/>
        <v>350</v>
      </c>
      <c r="AA274" s="221">
        <f t="shared" si="439"/>
        <v>4.0511577948192743</v>
      </c>
      <c r="AB274" s="177">
        <f t="shared" si="440"/>
        <v>1.1890190592760972</v>
      </c>
      <c r="AC274" s="177">
        <f t="shared" si="441"/>
        <v>1.2644372554209482</v>
      </c>
      <c r="AD274" s="177"/>
      <c r="AE274" s="177">
        <f t="shared" si="442"/>
        <v>0.24067085953878403</v>
      </c>
      <c r="AF274" s="559">
        <f t="shared" si="443"/>
        <v>3851.02405031019</v>
      </c>
      <c r="AG274" s="542">
        <f t="shared" si="444"/>
        <v>5.1804402515723262E-2</v>
      </c>
      <c r="AI274" s="177">
        <f t="shared" si="445"/>
        <v>2.7199939975924168</v>
      </c>
      <c r="AJ274" s="177">
        <f t="shared" si="446"/>
        <v>2.7199939975924168</v>
      </c>
      <c r="AK274" s="177">
        <f t="shared" si="447"/>
        <v>2.6074029611795684</v>
      </c>
      <c r="AM274" s="559">
        <f t="shared" si="448"/>
        <v>570</v>
      </c>
      <c r="AN274" s="469">
        <f t="shared" si="449"/>
        <v>350</v>
      </c>
      <c r="AP274">
        <f t="shared" si="450"/>
        <v>570</v>
      </c>
      <c r="AQ274">
        <f t="shared" si="451"/>
        <v>350</v>
      </c>
      <c r="AS274" s="5">
        <f t="shared" si="460"/>
        <v>2.8571428571428572</v>
      </c>
      <c r="AT274" s="5">
        <f t="shared" si="452"/>
        <v>1.1199975284204069</v>
      </c>
      <c r="AU274" s="5">
        <f t="shared" si="423"/>
        <v>1.7371453287224503</v>
      </c>
      <c r="AV274" s="5"/>
      <c r="AW274" s="177">
        <f t="shared" si="424"/>
        <v>0.39199913494714239</v>
      </c>
      <c r="AX274" s="177"/>
      <c r="BA274" s="469">
        <f t="shared" si="453"/>
        <v>16.399012161831713</v>
      </c>
      <c r="BB274" s="469">
        <f t="shared" si="454"/>
        <v>12.801799758834019</v>
      </c>
      <c r="BC274" s="5">
        <f t="shared" si="422"/>
        <v>1.2262202320393767</v>
      </c>
      <c r="BD274" s="469">
        <f t="shared" si="455"/>
        <v>0</v>
      </c>
      <c r="CD274" s="576">
        <f t="shared" si="456"/>
        <v>-50</v>
      </c>
      <c r="CE274">
        <f t="shared" si="457"/>
        <v>-50</v>
      </c>
    </row>
    <row r="275" spans="5:83" x14ac:dyDescent="0.25">
      <c r="E275" s="174">
        <v>58</v>
      </c>
      <c r="F275" s="221">
        <f t="shared" si="458"/>
        <v>0.57999999999999996</v>
      </c>
      <c r="G275" s="221"/>
      <c r="H275" s="221">
        <f t="shared" si="425"/>
        <v>8.6999999999999993</v>
      </c>
      <c r="I275" s="555">
        <f t="shared" si="426"/>
        <v>17</v>
      </c>
      <c r="J275" s="451">
        <f t="shared" si="427"/>
        <v>23.85</v>
      </c>
      <c r="K275" s="451">
        <f t="shared" si="428"/>
        <v>40.85</v>
      </c>
      <c r="L275" s="451"/>
      <c r="M275" s="221">
        <f t="shared" si="429"/>
        <v>0.58384332925336602</v>
      </c>
      <c r="N275" s="176">
        <f t="shared" si="430"/>
        <v>19.329593023255811</v>
      </c>
      <c r="O275" s="176">
        <f t="shared" si="459"/>
        <v>8.6999999999999993</v>
      </c>
      <c r="P275" s="221">
        <f t="shared" si="431"/>
        <v>1.2886395348837207</v>
      </c>
      <c r="Q275" s="221">
        <f t="shared" si="432"/>
        <v>15</v>
      </c>
      <c r="R275" s="221"/>
      <c r="S275" s="176">
        <f t="shared" si="433"/>
        <v>45.966204057989827</v>
      </c>
      <c r="T275" s="176">
        <f t="shared" si="434"/>
        <v>15</v>
      </c>
      <c r="U275" s="221">
        <f t="shared" si="435"/>
        <v>1.84535701072882</v>
      </c>
      <c r="V275" s="221">
        <f t="shared" si="436"/>
        <v>0.75985288677069052</v>
      </c>
      <c r="W275" s="221">
        <f t="shared" si="437"/>
        <v>0.5416142169853978</v>
      </c>
      <c r="X275" s="201">
        <f t="shared" si="438"/>
        <v>350</v>
      </c>
      <c r="Y275" s="451">
        <f t="shared" si="401"/>
        <v>350</v>
      </c>
      <c r="AA275" s="221">
        <f t="shared" si="439"/>
        <v>4.0511577948192743</v>
      </c>
      <c r="AB275" s="177">
        <f t="shared" si="440"/>
        <v>1.1890190592760972</v>
      </c>
      <c r="AC275" s="177">
        <f t="shared" si="441"/>
        <v>1.2644372554209482</v>
      </c>
      <c r="AD275" s="177"/>
      <c r="AE275" s="177">
        <f t="shared" si="442"/>
        <v>0.24067085953878403</v>
      </c>
      <c r="AF275" s="559">
        <f t="shared" si="443"/>
        <v>3918.5858757542283</v>
      </c>
      <c r="AG275" s="542">
        <f t="shared" si="444"/>
        <v>5.1804402515723262E-2</v>
      </c>
      <c r="AI275" s="177">
        <f t="shared" si="445"/>
        <v>2.7437498547254857</v>
      </c>
      <c r="AJ275" s="177">
        <f t="shared" si="446"/>
        <v>2.7437498547254857</v>
      </c>
      <c r="AK275" s="177">
        <f t="shared" si="447"/>
        <v>2.6249998923892486</v>
      </c>
      <c r="AM275" s="559">
        <f t="shared" si="448"/>
        <v>580</v>
      </c>
      <c r="AN275" s="469">
        <f t="shared" si="449"/>
        <v>350</v>
      </c>
      <c r="AP275">
        <f t="shared" si="450"/>
        <v>580</v>
      </c>
      <c r="AQ275">
        <f t="shared" si="451"/>
        <v>350</v>
      </c>
      <c r="AS275" s="5">
        <f t="shared" si="460"/>
        <v>2.8571428571428572</v>
      </c>
      <c r="AT275" s="5">
        <f t="shared" si="452"/>
        <v>1.1297793519457882</v>
      </c>
      <c r="AU275" s="5">
        <f t="shared" si="423"/>
        <v>1.727363505197069</v>
      </c>
      <c r="AV275" s="5"/>
      <c r="AW275" s="177">
        <f t="shared" si="424"/>
        <v>0.39542277318102587</v>
      </c>
      <c r="AX275" s="177"/>
      <c r="BA275" s="469">
        <f t="shared" si="453"/>
        <v>16.399012161831713</v>
      </c>
      <c r="BB275" s="469">
        <f t="shared" si="454"/>
        <v>13.224399627183022</v>
      </c>
      <c r="BC275" s="5">
        <f t="shared" si="422"/>
        <v>1.2407069139495976</v>
      </c>
      <c r="BD275" s="469">
        <f t="shared" si="455"/>
        <v>0</v>
      </c>
      <c r="CD275" s="576">
        <f t="shared" si="456"/>
        <v>-50</v>
      </c>
      <c r="CE275">
        <f t="shared" si="457"/>
        <v>-50</v>
      </c>
    </row>
    <row r="276" spans="5:83" x14ac:dyDescent="0.25">
      <c r="E276" s="174">
        <v>59</v>
      </c>
      <c r="F276" s="221">
        <f t="shared" si="458"/>
        <v>0.59</v>
      </c>
      <c r="G276" s="221"/>
      <c r="H276" s="221">
        <f t="shared" si="425"/>
        <v>8.85</v>
      </c>
      <c r="I276" s="555">
        <f t="shared" si="426"/>
        <v>17</v>
      </c>
      <c r="J276" s="451">
        <f t="shared" si="427"/>
        <v>23.85</v>
      </c>
      <c r="K276" s="451">
        <f t="shared" si="428"/>
        <v>40.85</v>
      </c>
      <c r="L276" s="451"/>
      <c r="M276" s="221">
        <f t="shared" si="429"/>
        <v>0.58384332925336602</v>
      </c>
      <c r="N276" s="176">
        <f t="shared" si="430"/>
        <v>19.329593023255811</v>
      </c>
      <c r="O276" s="176">
        <f t="shared" si="459"/>
        <v>8.85</v>
      </c>
      <c r="P276" s="221">
        <f t="shared" si="431"/>
        <v>1.2886395348837207</v>
      </c>
      <c r="Q276" s="221">
        <f t="shared" si="432"/>
        <v>15</v>
      </c>
      <c r="R276" s="221"/>
      <c r="S276" s="176">
        <f t="shared" si="433"/>
        <v>45.003279790765227</v>
      </c>
      <c r="T276" s="176">
        <f t="shared" si="434"/>
        <v>15</v>
      </c>
      <c r="U276" s="221">
        <f t="shared" si="435"/>
        <v>1.8771735109137997</v>
      </c>
      <c r="V276" s="221">
        <f t="shared" si="436"/>
        <v>0.77295379861156466</v>
      </c>
      <c r="W276" s="221">
        <f t="shared" si="437"/>
        <v>0.55095239314031852</v>
      </c>
      <c r="X276" s="201">
        <f t="shared" si="438"/>
        <v>350</v>
      </c>
      <c r="Y276" s="451">
        <f t="shared" si="401"/>
        <v>350</v>
      </c>
      <c r="AA276" s="221">
        <f t="shared" si="439"/>
        <v>4.0511577948192743</v>
      </c>
      <c r="AB276" s="177">
        <f t="shared" si="440"/>
        <v>1.1890190592760972</v>
      </c>
      <c r="AC276" s="177">
        <f t="shared" si="441"/>
        <v>1.2644372554209482</v>
      </c>
      <c r="AD276" s="177"/>
      <c r="AE276" s="177">
        <f t="shared" si="442"/>
        <v>0.24067085953878403</v>
      </c>
      <c r="AF276" s="559">
        <f t="shared" si="443"/>
        <v>3986.147701198267</v>
      </c>
      <c r="AG276" s="542">
        <f t="shared" si="444"/>
        <v>5.1804402515723262E-2</v>
      </c>
      <c r="AI276" s="177">
        <f t="shared" si="445"/>
        <v>2.7673017876034898</v>
      </c>
      <c r="AJ276" s="177">
        <f t="shared" si="446"/>
        <v>2.7673017876034898</v>
      </c>
      <c r="AK276" s="177">
        <f t="shared" si="447"/>
        <v>2.6424457685951777</v>
      </c>
      <c r="AM276" s="559">
        <f t="shared" si="448"/>
        <v>590</v>
      </c>
      <c r="AN276" s="469">
        <f t="shared" si="449"/>
        <v>350</v>
      </c>
      <c r="AP276">
        <f t="shared" si="450"/>
        <v>590</v>
      </c>
      <c r="AQ276">
        <f t="shared" si="451"/>
        <v>350</v>
      </c>
      <c r="AS276" s="5">
        <f t="shared" si="460"/>
        <v>2.8571428571428572</v>
      </c>
      <c r="AT276" s="5">
        <f t="shared" si="452"/>
        <v>1.1394772066602608</v>
      </c>
      <c r="AU276" s="5">
        <f t="shared" si="423"/>
        <v>1.7176656504825965</v>
      </c>
      <c r="AV276" s="5"/>
      <c r="AW276" s="177">
        <f t="shared" si="424"/>
        <v>0.39881702233109123</v>
      </c>
      <c r="AX276" s="177"/>
      <c r="BA276" s="469">
        <f t="shared" si="453"/>
        <v>16.399012161831713</v>
      </c>
      <c r="BB276" s="469">
        <f t="shared" si="454"/>
        <v>13.6538273193294</v>
      </c>
      <c r="BC276" s="5">
        <f t="shared" si="422"/>
        <v>1.2550126734176248</v>
      </c>
      <c r="BD276" s="469">
        <f t="shared" si="455"/>
        <v>0</v>
      </c>
      <c r="CD276" s="576">
        <f t="shared" si="456"/>
        <v>-50</v>
      </c>
      <c r="CE276">
        <f t="shared" si="457"/>
        <v>-50</v>
      </c>
    </row>
    <row r="277" spans="5:83" x14ac:dyDescent="0.25">
      <c r="E277" s="174">
        <v>60</v>
      </c>
      <c r="F277" s="221">
        <f t="shared" si="458"/>
        <v>0.6</v>
      </c>
      <c r="G277" s="221"/>
      <c r="H277" s="221">
        <f t="shared" si="425"/>
        <v>9</v>
      </c>
      <c r="I277" s="555">
        <f t="shared" si="426"/>
        <v>17</v>
      </c>
      <c r="J277" s="451">
        <f t="shared" si="427"/>
        <v>23.85</v>
      </c>
      <c r="K277" s="451">
        <f t="shared" si="428"/>
        <v>40.85</v>
      </c>
      <c r="L277" s="451"/>
      <c r="M277" s="221">
        <f t="shared" si="429"/>
        <v>0.58384332925336602</v>
      </c>
      <c r="N277" s="176">
        <f t="shared" si="430"/>
        <v>19.329593023255811</v>
      </c>
      <c r="O277" s="176">
        <f t="shared" si="459"/>
        <v>9</v>
      </c>
      <c r="P277" s="221">
        <f t="shared" si="431"/>
        <v>1.2886395348837207</v>
      </c>
      <c r="Q277" s="221">
        <f t="shared" si="432"/>
        <v>15</v>
      </c>
      <c r="R277" s="221"/>
      <c r="S277" s="176">
        <f t="shared" si="433"/>
        <v>44.072637907726502</v>
      </c>
      <c r="T277" s="176">
        <f t="shared" si="434"/>
        <v>15</v>
      </c>
      <c r="U277" s="221">
        <f t="shared" si="435"/>
        <v>1.9089900110987794</v>
      </c>
      <c r="V277" s="221">
        <f t="shared" si="436"/>
        <v>0.78605471045243858</v>
      </c>
      <c r="W277" s="221">
        <f t="shared" si="437"/>
        <v>0.56029056929523924</v>
      </c>
      <c r="X277" s="201">
        <f t="shared" si="438"/>
        <v>350</v>
      </c>
      <c r="Y277" s="451">
        <f t="shared" ref="Y277:Y317" si="461">MIN(1/(V277+W277)*1000, 350)</f>
        <v>350</v>
      </c>
      <c r="AA277" s="221">
        <f t="shared" si="439"/>
        <v>4.0511577948192743</v>
      </c>
      <c r="AB277" s="177">
        <f t="shared" si="440"/>
        <v>1.1890190592760972</v>
      </c>
      <c r="AC277" s="177">
        <f t="shared" si="441"/>
        <v>1.2644372554209482</v>
      </c>
      <c r="AD277" s="177"/>
      <c r="AE277" s="177">
        <f t="shared" si="442"/>
        <v>0.24067085953878403</v>
      </c>
      <c r="AF277" s="559">
        <f t="shared" si="443"/>
        <v>4053.7095266423053</v>
      </c>
      <c r="AG277" s="542">
        <f t="shared" si="444"/>
        <v>5.1804402515723262E-2</v>
      </c>
      <c r="AI277" s="177">
        <f t="shared" si="445"/>
        <v>2.7906549593313783</v>
      </c>
      <c r="AJ277" s="177">
        <f t="shared" si="446"/>
        <v>2.7906549593313783</v>
      </c>
      <c r="AK277" s="177">
        <f t="shared" si="447"/>
        <v>2.6597444143195395</v>
      </c>
      <c r="AM277" s="559">
        <f t="shared" si="448"/>
        <v>600</v>
      </c>
      <c r="AN277" s="469">
        <f t="shared" si="449"/>
        <v>350</v>
      </c>
      <c r="AP277">
        <f t="shared" si="450"/>
        <v>600</v>
      </c>
      <c r="AQ277">
        <f t="shared" si="451"/>
        <v>350</v>
      </c>
      <c r="AS277" s="5">
        <f t="shared" si="460"/>
        <v>2.8571428571428572</v>
      </c>
      <c r="AT277" s="5">
        <f t="shared" si="452"/>
        <v>1.1490932185482143</v>
      </c>
      <c r="AU277" s="5">
        <f t="shared" si="423"/>
        <v>1.7080496385946429</v>
      </c>
      <c r="AV277" s="5"/>
      <c r="AW277" s="177">
        <f t="shared" si="424"/>
        <v>0.40218262649187503</v>
      </c>
      <c r="AX277" s="177"/>
      <c r="BA277" s="469">
        <f t="shared" si="453"/>
        <v>16.399012161831713</v>
      </c>
      <c r="BB277" s="469">
        <f t="shared" si="454"/>
        <v>14.090082835273151</v>
      </c>
      <c r="BC277" s="5">
        <f t="shared" si="422"/>
        <v>1.2691390503489608</v>
      </c>
      <c r="BD277" s="469">
        <f t="shared" si="455"/>
        <v>0</v>
      </c>
      <c r="CD277" s="576">
        <f t="shared" si="456"/>
        <v>-50</v>
      </c>
      <c r="CE277">
        <f t="shared" si="457"/>
        <v>-50</v>
      </c>
    </row>
    <row r="278" spans="5:83" x14ac:dyDescent="0.25">
      <c r="E278" s="174">
        <v>61</v>
      </c>
      <c r="F278" s="221">
        <f t="shared" si="458"/>
        <v>0.61</v>
      </c>
      <c r="G278" s="221"/>
      <c r="H278" s="221">
        <f t="shared" si="425"/>
        <v>9.15</v>
      </c>
      <c r="I278" s="555">
        <f t="shared" si="426"/>
        <v>17</v>
      </c>
      <c r="J278" s="451">
        <f t="shared" si="427"/>
        <v>23.85</v>
      </c>
      <c r="K278" s="451">
        <f t="shared" si="428"/>
        <v>40.85</v>
      </c>
      <c r="L278" s="451"/>
      <c r="M278" s="221">
        <f t="shared" si="429"/>
        <v>0.58384332925336602</v>
      </c>
      <c r="N278" s="176">
        <f t="shared" si="430"/>
        <v>19.329593023255811</v>
      </c>
      <c r="O278" s="176">
        <f t="shared" si="459"/>
        <v>9.15</v>
      </c>
      <c r="P278" s="221">
        <f t="shared" si="431"/>
        <v>1.2886395348837207</v>
      </c>
      <c r="Q278" s="221">
        <f t="shared" si="432"/>
        <v>15</v>
      </c>
      <c r="R278" s="221"/>
      <c r="S278" s="176">
        <f t="shared" si="433"/>
        <v>43.172692655945973</v>
      </c>
      <c r="T278" s="176">
        <f t="shared" si="434"/>
        <v>15</v>
      </c>
      <c r="U278" s="221">
        <f t="shared" si="435"/>
        <v>1.9408065112837591</v>
      </c>
      <c r="V278" s="221">
        <f t="shared" si="436"/>
        <v>0.7991556222933125</v>
      </c>
      <c r="W278" s="221">
        <f t="shared" si="437"/>
        <v>0.56962874545015985</v>
      </c>
      <c r="X278" s="201">
        <f t="shared" si="438"/>
        <v>350</v>
      </c>
      <c r="Y278" s="451">
        <f t="shared" si="461"/>
        <v>350</v>
      </c>
      <c r="AA278" s="221">
        <f t="shared" si="439"/>
        <v>4.0511577948192743</v>
      </c>
      <c r="AB278" s="177">
        <f t="shared" si="440"/>
        <v>1.1890190592760972</v>
      </c>
      <c r="AC278" s="177">
        <f t="shared" si="441"/>
        <v>1.2644372554209482</v>
      </c>
      <c r="AD278" s="177"/>
      <c r="AE278" s="177">
        <f t="shared" si="442"/>
        <v>0.24067085953878403</v>
      </c>
      <c r="AF278" s="559">
        <f t="shared" si="443"/>
        <v>4121.2713520863435</v>
      </c>
      <c r="AG278" s="542">
        <f t="shared" si="444"/>
        <v>5.1804402515723262E-2</v>
      </c>
      <c r="AI278" s="177">
        <f t="shared" si="445"/>
        <v>2.8138143187510019</v>
      </c>
      <c r="AJ278" s="177">
        <f t="shared" si="446"/>
        <v>2.8138143187510019</v>
      </c>
      <c r="AK278" s="177">
        <f t="shared" si="447"/>
        <v>2.6768994953711127</v>
      </c>
      <c r="AM278" s="559">
        <f t="shared" si="448"/>
        <v>610</v>
      </c>
      <c r="AN278" s="469">
        <f t="shared" si="449"/>
        <v>350</v>
      </c>
      <c r="AP278">
        <f t="shared" si="450"/>
        <v>610</v>
      </c>
      <c r="AQ278">
        <f t="shared" si="451"/>
        <v>350</v>
      </c>
      <c r="AS278" s="5">
        <f t="shared" si="460"/>
        <v>2.8571428571428572</v>
      </c>
      <c r="AT278" s="5">
        <f t="shared" si="452"/>
        <v>1.1586294253680596</v>
      </c>
      <c r="AU278" s="5">
        <f t="shared" si="423"/>
        <v>1.6985134317747976</v>
      </c>
      <c r="AV278" s="5"/>
      <c r="AW278" s="177">
        <f t="shared" si="424"/>
        <v>0.40552029887882085</v>
      </c>
      <c r="AX278" s="177"/>
      <c r="BA278" s="469">
        <f t="shared" si="453"/>
        <v>16.399012161831713</v>
      </c>
      <c r="BB278" s="469">
        <f t="shared" si="454"/>
        <v>14.533166175014275</v>
      </c>
      <c r="BC278" s="5">
        <f t="shared" si="422"/>
        <v>1.2830875459846769</v>
      </c>
      <c r="BD278" s="469">
        <f t="shared" si="455"/>
        <v>0</v>
      </c>
      <c r="CD278" s="576">
        <f t="shared" si="456"/>
        <v>-50</v>
      </c>
      <c r="CE278">
        <f t="shared" si="457"/>
        <v>-50</v>
      </c>
    </row>
    <row r="279" spans="5:83" x14ac:dyDescent="0.25">
      <c r="E279" s="174">
        <v>62</v>
      </c>
      <c r="F279" s="221">
        <f t="shared" si="458"/>
        <v>0.62</v>
      </c>
      <c r="G279" s="221"/>
      <c r="H279" s="221">
        <f t="shared" si="425"/>
        <v>9.3000000000000007</v>
      </c>
      <c r="I279" s="555">
        <f t="shared" si="426"/>
        <v>17</v>
      </c>
      <c r="J279" s="451">
        <f t="shared" si="427"/>
        <v>23.85</v>
      </c>
      <c r="K279" s="451">
        <f t="shared" si="428"/>
        <v>40.85</v>
      </c>
      <c r="L279" s="451"/>
      <c r="M279" s="221">
        <f t="shared" si="429"/>
        <v>0.58384332925336602</v>
      </c>
      <c r="N279" s="176">
        <f t="shared" si="430"/>
        <v>19.329593023255811</v>
      </c>
      <c r="O279" s="176">
        <f t="shared" si="459"/>
        <v>9.3000000000000007</v>
      </c>
      <c r="P279" s="221">
        <f t="shared" si="431"/>
        <v>1.2886395348837207</v>
      </c>
      <c r="Q279" s="221">
        <f t="shared" si="432"/>
        <v>15</v>
      </c>
      <c r="R279" s="221"/>
      <c r="S279" s="176">
        <f t="shared" si="433"/>
        <v>42.301960610863922</v>
      </c>
      <c r="T279" s="176">
        <f t="shared" si="434"/>
        <v>15</v>
      </c>
      <c r="U279" s="221">
        <f t="shared" si="435"/>
        <v>1.9726230114687389</v>
      </c>
      <c r="V279" s="221">
        <f t="shared" si="436"/>
        <v>0.81225653413418664</v>
      </c>
      <c r="W279" s="221">
        <f t="shared" si="437"/>
        <v>0.57896692160508056</v>
      </c>
      <c r="X279" s="201">
        <f t="shared" si="438"/>
        <v>350</v>
      </c>
      <c r="Y279" s="451">
        <f t="shared" si="461"/>
        <v>350</v>
      </c>
      <c r="AA279" s="221">
        <f t="shared" si="439"/>
        <v>4.0511577948192743</v>
      </c>
      <c r="AB279" s="177">
        <f t="shared" si="440"/>
        <v>1.1890190592760972</v>
      </c>
      <c r="AC279" s="177">
        <f t="shared" si="441"/>
        <v>1.2644372554209482</v>
      </c>
      <c r="AD279" s="177"/>
      <c r="AE279" s="177">
        <f t="shared" si="442"/>
        <v>0.24067085953878403</v>
      </c>
      <c r="AF279" s="559">
        <f t="shared" si="443"/>
        <v>4188.8331775303823</v>
      </c>
      <c r="AG279" s="542">
        <f t="shared" si="444"/>
        <v>5.1804402515723262E-2</v>
      </c>
      <c r="AI279" s="177">
        <f t="shared" si="445"/>
        <v>2.8367846126866088</v>
      </c>
      <c r="AJ279" s="177">
        <f t="shared" si="446"/>
        <v>2.8367846126866088</v>
      </c>
      <c r="AK279" s="177">
        <f t="shared" si="447"/>
        <v>2.6939145279160064</v>
      </c>
      <c r="AM279" s="559">
        <f t="shared" si="448"/>
        <v>620</v>
      </c>
      <c r="AN279" s="469">
        <f t="shared" si="449"/>
        <v>350</v>
      </c>
      <c r="AP279">
        <f t="shared" si="450"/>
        <v>620</v>
      </c>
      <c r="AQ279">
        <f t="shared" si="451"/>
        <v>350</v>
      </c>
      <c r="AS279" s="5">
        <f t="shared" si="460"/>
        <v>2.8571428571428572</v>
      </c>
      <c r="AT279" s="5">
        <f t="shared" si="452"/>
        <v>1.1680877816944859</v>
      </c>
      <c r="AU279" s="5">
        <f t="shared" si="423"/>
        <v>1.6890550754483713</v>
      </c>
      <c r="AV279" s="5"/>
      <c r="AW279" s="177">
        <f t="shared" si="424"/>
        <v>0.40883072359307004</v>
      </c>
      <c r="AX279" s="177"/>
      <c r="BA279" s="469">
        <f t="shared" si="453"/>
        <v>16.399012161831713</v>
      </c>
      <c r="BB279" s="469">
        <f t="shared" si="454"/>
        <v>14.983077338552777</v>
      </c>
      <c r="BC279" s="5">
        <f t="shared" si="422"/>
        <v>1.2968596244928674</v>
      </c>
      <c r="BD279" s="469">
        <f t="shared" si="455"/>
        <v>0</v>
      </c>
      <c r="CD279" s="576">
        <f t="shared" si="456"/>
        <v>-50</v>
      </c>
      <c r="CE279">
        <f t="shared" si="457"/>
        <v>-50</v>
      </c>
    </row>
    <row r="280" spans="5:83" x14ac:dyDescent="0.25">
      <c r="E280" s="174">
        <v>63</v>
      </c>
      <c r="F280" s="221">
        <f t="shared" si="458"/>
        <v>0.63</v>
      </c>
      <c r="G280" s="221"/>
      <c r="H280" s="221">
        <f t="shared" si="425"/>
        <v>9.4499999999999993</v>
      </c>
      <c r="I280" s="555">
        <f t="shared" si="426"/>
        <v>17</v>
      </c>
      <c r="J280" s="451">
        <f t="shared" si="427"/>
        <v>23.85</v>
      </c>
      <c r="K280" s="451">
        <f t="shared" si="428"/>
        <v>40.85</v>
      </c>
      <c r="L280" s="451"/>
      <c r="M280" s="221">
        <f t="shared" si="429"/>
        <v>0.58384332925336602</v>
      </c>
      <c r="N280" s="176">
        <f t="shared" si="430"/>
        <v>19.329593023255811</v>
      </c>
      <c r="O280" s="176">
        <f t="shared" si="459"/>
        <v>9.4499999999999993</v>
      </c>
      <c r="P280" s="221">
        <f t="shared" si="431"/>
        <v>1.2886395348837207</v>
      </c>
      <c r="Q280" s="221">
        <f t="shared" si="432"/>
        <v>15</v>
      </c>
      <c r="R280" s="221"/>
      <c r="S280" s="176">
        <f t="shared" si="433"/>
        <v>41.459052555207862</v>
      </c>
      <c r="T280" s="176">
        <f t="shared" si="434"/>
        <v>15</v>
      </c>
      <c r="U280" s="221">
        <f t="shared" si="435"/>
        <v>2.0044395116537181</v>
      </c>
      <c r="V280" s="221">
        <f t="shared" si="436"/>
        <v>0.82535744597506033</v>
      </c>
      <c r="W280" s="221">
        <f t="shared" si="437"/>
        <v>0.58830509776000106</v>
      </c>
      <c r="X280" s="201">
        <f t="shared" si="438"/>
        <v>350</v>
      </c>
      <c r="Y280" s="451">
        <f t="shared" si="461"/>
        <v>350</v>
      </c>
      <c r="AA280" s="221">
        <f t="shared" si="439"/>
        <v>4.0511577948192743</v>
      </c>
      <c r="AB280" s="177">
        <f t="shared" si="440"/>
        <v>1.1890190592760972</v>
      </c>
      <c r="AC280" s="177">
        <f t="shared" si="441"/>
        <v>1.2644372554209482</v>
      </c>
      <c r="AD280" s="177"/>
      <c r="AE280" s="177">
        <f t="shared" si="442"/>
        <v>0.24067085953878403</v>
      </c>
      <c r="AF280" s="559">
        <f t="shared" si="443"/>
        <v>4256.395002974421</v>
      </c>
      <c r="AG280" s="542">
        <f t="shared" si="444"/>
        <v>5.1804402515723262E-2</v>
      </c>
      <c r="AI280" s="177">
        <f t="shared" si="445"/>
        <v>2.8595703973049624</v>
      </c>
      <c r="AJ280" s="177">
        <f t="shared" si="446"/>
        <v>2.8595703973049624</v>
      </c>
      <c r="AK280" s="177">
        <f t="shared" si="447"/>
        <v>2.7107928868925648</v>
      </c>
      <c r="AM280" s="559">
        <f t="shared" si="448"/>
        <v>630</v>
      </c>
      <c r="AN280" s="469">
        <f t="shared" si="449"/>
        <v>350</v>
      </c>
      <c r="AP280">
        <f t="shared" si="450"/>
        <v>630</v>
      </c>
      <c r="AQ280">
        <f t="shared" si="451"/>
        <v>350</v>
      </c>
      <c r="AS280" s="5">
        <f t="shared" si="460"/>
        <v>2.8571428571428572</v>
      </c>
      <c r="AT280" s="5">
        <f t="shared" si="452"/>
        <v>1.1774701635961609</v>
      </c>
      <c r="AU280" s="5">
        <f t="shared" si="423"/>
        <v>1.6796726935466963</v>
      </c>
      <c r="AV280" s="5"/>
      <c r="AW280" s="177">
        <f t="shared" si="424"/>
        <v>0.41211455725865631</v>
      </c>
      <c r="AX280" s="177"/>
      <c r="BA280" s="469">
        <f t="shared" si="453"/>
        <v>16.399012161831713</v>
      </c>
      <c r="BB280" s="469">
        <f t="shared" si="454"/>
        <v>15.43981632588865</v>
      </c>
      <c r="BC280" s="5">
        <f t="shared" si="422"/>
        <v>1.3104567144698682</v>
      </c>
      <c r="BD280" s="469">
        <f t="shared" si="455"/>
        <v>0</v>
      </c>
      <c r="CD280" s="576">
        <f t="shared" si="456"/>
        <v>-50</v>
      </c>
      <c r="CE280">
        <f t="shared" si="457"/>
        <v>-50</v>
      </c>
    </row>
    <row r="281" spans="5:83" x14ac:dyDescent="0.25">
      <c r="E281" s="174">
        <v>64</v>
      </c>
      <c r="F281" s="221">
        <f t="shared" si="458"/>
        <v>0.64</v>
      </c>
      <c r="G281" s="221"/>
      <c r="H281" s="221">
        <f t="shared" ref="H281:H312" si="462">F281*Vout</f>
        <v>9.6</v>
      </c>
      <c r="I281" s="555">
        <f t="shared" ref="I281:I317" si="463">VIN_max</f>
        <v>17</v>
      </c>
      <c r="J281" s="451">
        <f t="shared" ref="J281:J317" si="464">(T281+Vfwd1)*Nps</f>
        <v>23.85</v>
      </c>
      <c r="K281" s="451">
        <f t="shared" ref="K281:K317" si="465">(Vout+Vfwd1)*Nps+I281</f>
        <v>40.85</v>
      </c>
      <c r="L281" s="451"/>
      <c r="M281" s="221">
        <f t="shared" ref="M281:M317" si="466">(Vout+Vfwd1)*Nps/((Vout+Vfwd1)*Nps+I281)</f>
        <v>0.58384332925336602</v>
      </c>
      <c r="N281" s="176">
        <f t="shared" ref="N281:N312" si="467">M281*I281*Isw_max*0.5*Efficiency</f>
        <v>19.329593023255811</v>
      </c>
      <c r="O281" s="176">
        <f t="shared" si="459"/>
        <v>9.6</v>
      </c>
      <c r="P281" s="221">
        <f t="shared" ref="P281:P312" si="468">N281/Vout</f>
        <v>1.2886395348837207</v>
      </c>
      <c r="Q281" s="221">
        <f t="shared" ref="Q281:Q317" si="469">MIN(Vout,N281/F281)</f>
        <v>15</v>
      </c>
      <c r="R281" s="221"/>
      <c r="S281" s="176">
        <f t="shared" ref="S281:S317" si="470">(SQRT(Isw_max^2*Nps^2*I281^2+4*Isw_max*F281/Efficiency*(Nps^2*Vfwd1*I281-Nps*I281^2)+4*(F281/Efficiency)^2*Nps^2*Vfwd1^2+8*(F281/Efficiency)^2*Nps*Vfwd1*I281+4*(F281/Efficiency)^2*I281^2)-2*F281/Efficiency*I281-2*F281/Efficiency*Nps*Vfwd1+Isw_max*Nps*I281)/(4*F281/Efficiency*Nps)</f>
        <v>40.642666119263303</v>
      </c>
      <c r="T281" s="176">
        <f t="shared" ref="T281:T312" si="471">MIN(Vout, S281)</f>
        <v>15</v>
      </c>
      <c r="U281" s="221">
        <f t="shared" ref="U281:U317" si="472">MIN(2*Vout*F281/(Efficiency*I281*M281), Isw_max)</f>
        <v>2.0362560118386979</v>
      </c>
      <c r="V281" s="221">
        <f t="shared" ref="V281:V312" si="473">L*U281/I281*1000000</f>
        <v>0.83845835781593436</v>
      </c>
      <c r="W281" s="221">
        <f t="shared" ref="W281:W317" si="474">L*U281/J281*1000000</f>
        <v>0.59764327391492178</v>
      </c>
      <c r="X281" s="201">
        <f t="shared" ref="X281:X317" si="475">IF(1/((350000*L)*(1/I281+1/J281))&gt;Isw_min, 350, 0.001/((Isw_min*L)*(1/I281+1/J281)))</f>
        <v>350</v>
      </c>
      <c r="Y281" s="451">
        <f t="shared" si="461"/>
        <v>350</v>
      </c>
      <c r="AA281" s="221">
        <f t="shared" ref="AA281:AA317" si="476">1/((X281*1000*L)*(1/I281+1/J281))</f>
        <v>4.0511577948192743</v>
      </c>
      <c r="AB281" s="177">
        <f t="shared" ref="AB281:AB312" si="477">L*AA281/J281*1000000</f>
        <v>1.1890190592760972</v>
      </c>
      <c r="AC281" s="177">
        <f t="shared" ref="AC281:AC312" si="478">0.5*AB281*AA281*Nps*X281/1000</f>
        <v>1.2644372554209482</v>
      </c>
      <c r="AD281" s="177"/>
      <c r="AE281" s="177">
        <f t="shared" ref="AE281:AE317" si="479">L*Isw_min/J281*1000000</f>
        <v>0.24067085953878403</v>
      </c>
      <c r="AF281" s="559">
        <f t="shared" ref="AF281:AF312" si="480">MAX(12000,F281/(0.5*AE281/1000000*Isw_min*Nps))/1000</f>
        <v>4323.9568284184597</v>
      </c>
      <c r="AG281" s="542">
        <f t="shared" ref="AG281:AG317" si="481">0.5*AE281/1000000*Isw_min*Nps*X281*1000</f>
        <v>5.1804402515723262E-2</v>
      </c>
      <c r="AI281" s="177">
        <f t="shared" ref="AI281:AI317" si="482">SQRT(F281/(0.5*L/J281*Fsw_DCM*Nps))</f>
        <v>2.882176048667084</v>
      </c>
      <c r="AJ281" s="177">
        <f t="shared" ref="AJ281:AJ312" si="483">MAX(IF(F281&gt;AC281,U281,AI281),Isw_min)</f>
        <v>2.882176048667084</v>
      </c>
      <c r="AK281" s="177">
        <f t="shared" ref="AK281:AK312" si="484">IF(F281&gt;AG281, (AJ281-Isw_min)/1.08*0.8+1.2, AF281*0.2/350+1)</f>
        <v>2.7275378138274697</v>
      </c>
      <c r="AM281" s="559">
        <f t="shared" ref="AM281:AM317" si="485">F281*1000</f>
        <v>640</v>
      </c>
      <c r="AN281" s="469">
        <f t="shared" ref="AN281:AN317" si="486">IF(F281&gt;AG281, Y281, AF281)</f>
        <v>350</v>
      </c>
      <c r="AP281">
        <f t="shared" ref="AP281:AP317" si="487">IF(H281&gt;N281, "",AM281)</f>
        <v>640</v>
      </c>
      <c r="AQ281">
        <f t="shared" ref="AQ281:AQ317" si="488">IF(H281&gt;N281, "",AN281)</f>
        <v>350</v>
      </c>
      <c r="AS281" s="5">
        <f t="shared" si="460"/>
        <v>2.8571428571428572</v>
      </c>
      <c r="AT281" s="5">
        <f t="shared" ref="AT281:AT317" si="489">L*AJ281/I281*1000000</f>
        <v>1.1867783729805641</v>
      </c>
      <c r="AU281" s="5">
        <f t="shared" si="423"/>
        <v>1.6703644841622931</v>
      </c>
      <c r="AV281" s="5"/>
      <c r="AW281" s="177">
        <f t="shared" si="424"/>
        <v>0.41537243054319745</v>
      </c>
      <c r="AX281" s="177"/>
      <c r="BA281" s="469">
        <f t="shared" ref="BA281:BA317" si="490">L*Isw_max^2/(2*Vout_ripple*Vout)*1000000000*((1+M281)/2)^2</f>
        <v>16.399012161831713</v>
      </c>
      <c r="BB281" s="469">
        <f t="shared" ref="BB281:BB317" si="491">L*F281^2/(2*Cout*Vout*Nps^2)*1000000000*((1+M281)/(1-M281))^2+F281*RCoutEsr</f>
        <v>15.903383137021898</v>
      </c>
      <c r="BC281" s="5">
        <f t="shared" si="422"/>
        <v>1.3238802103577307</v>
      </c>
      <c r="BD281" s="469">
        <f t="shared" ref="BD281:BD317" si="492">((BY281/I281/Efficiency)*AU281/Cin+(BY281/I281/Efficiency)*RCinEsr)*1000</f>
        <v>0</v>
      </c>
      <c r="CD281" s="576">
        <f t="shared" ref="CD281:CD317" si="493">IF(ABS(F281-Ioutmax_Vinmax)&lt;Iout/200, AN281, -50)</f>
        <v>-50</v>
      </c>
      <c r="CE281">
        <f t="shared" ref="CE281:CE317" si="494">IF(ABS(F281-Ioutmax_Vinmin)&lt;Iout/200, N281*BZ281, -50)</f>
        <v>-50</v>
      </c>
    </row>
    <row r="282" spans="5:83" x14ac:dyDescent="0.25">
      <c r="E282" s="174">
        <v>65</v>
      </c>
      <c r="F282" s="221">
        <f t="shared" ref="F282:F313" si="495">IF(PLOT_TYPE=1, E282/100*Iout_max, min_I*EXP(N282*rr/100))</f>
        <v>0.65</v>
      </c>
      <c r="G282" s="221"/>
      <c r="H282" s="221">
        <f t="shared" si="462"/>
        <v>9.75</v>
      </c>
      <c r="I282" s="555">
        <f t="shared" si="463"/>
        <v>17</v>
      </c>
      <c r="J282" s="451">
        <f t="shared" si="464"/>
        <v>23.85</v>
      </c>
      <c r="K282" s="451">
        <f t="shared" si="465"/>
        <v>40.85</v>
      </c>
      <c r="L282" s="451"/>
      <c r="M282" s="221">
        <f t="shared" si="466"/>
        <v>0.58384332925336602</v>
      </c>
      <c r="N282" s="176">
        <f t="shared" si="467"/>
        <v>19.329593023255811</v>
      </c>
      <c r="O282" s="176">
        <f t="shared" si="459"/>
        <v>9.75</v>
      </c>
      <c r="P282" s="221">
        <f t="shared" si="468"/>
        <v>1.2886395348837207</v>
      </c>
      <c r="Q282" s="221">
        <f t="shared" si="469"/>
        <v>15</v>
      </c>
      <c r="R282" s="221"/>
      <c r="S282" s="176">
        <f t="shared" si="470"/>
        <v>39.851579100504217</v>
      </c>
      <c r="T282" s="176">
        <f t="shared" si="471"/>
        <v>15</v>
      </c>
      <c r="U282" s="221">
        <f t="shared" si="472"/>
        <v>2.0680725120236776</v>
      </c>
      <c r="V282" s="221">
        <f t="shared" si="473"/>
        <v>0.85155926965680839</v>
      </c>
      <c r="W282" s="221">
        <f t="shared" si="474"/>
        <v>0.60698145006984239</v>
      </c>
      <c r="X282" s="201">
        <f t="shared" si="475"/>
        <v>350</v>
      </c>
      <c r="Y282" s="451">
        <f t="shared" si="461"/>
        <v>350</v>
      </c>
      <c r="AA282" s="221">
        <f t="shared" si="476"/>
        <v>4.0511577948192743</v>
      </c>
      <c r="AB282" s="177">
        <f t="shared" si="477"/>
        <v>1.1890190592760972</v>
      </c>
      <c r="AC282" s="177">
        <f t="shared" si="478"/>
        <v>1.2644372554209482</v>
      </c>
      <c r="AD282" s="177"/>
      <c r="AE282" s="177">
        <f t="shared" si="479"/>
        <v>0.24067085953878403</v>
      </c>
      <c r="AF282" s="559">
        <f t="shared" si="480"/>
        <v>4391.5186538624976</v>
      </c>
      <c r="AG282" s="542">
        <f t="shared" si="481"/>
        <v>5.1804402515723262E-2</v>
      </c>
      <c r="AI282" s="177">
        <f t="shared" si="482"/>
        <v>2.9046057725408372</v>
      </c>
      <c r="AJ282" s="177">
        <f t="shared" si="483"/>
        <v>2.9046057725408372</v>
      </c>
      <c r="AK282" s="177">
        <f t="shared" si="484"/>
        <v>2.7441524241043238</v>
      </c>
      <c r="AM282" s="559">
        <f t="shared" si="485"/>
        <v>650</v>
      </c>
      <c r="AN282" s="469">
        <f t="shared" si="486"/>
        <v>350</v>
      </c>
      <c r="AP282">
        <f t="shared" si="487"/>
        <v>650</v>
      </c>
      <c r="AQ282">
        <f t="shared" si="488"/>
        <v>350</v>
      </c>
      <c r="AS282" s="5">
        <f t="shared" si="460"/>
        <v>2.8571428571428572</v>
      </c>
      <c r="AT282" s="5">
        <f t="shared" si="489"/>
        <v>1.1960141416344625</v>
      </c>
      <c r="AU282" s="5">
        <f t="shared" si="423"/>
        <v>1.6611287155083947</v>
      </c>
      <c r="AV282" s="5"/>
      <c r="AW282" s="177">
        <f t="shared" si="424"/>
        <v>0.41860494957206185</v>
      </c>
      <c r="AX282" s="177"/>
      <c r="BA282" s="469">
        <f t="shared" si="490"/>
        <v>16.399012161831713</v>
      </c>
      <c r="BB282" s="469">
        <f t="shared" si="491"/>
        <v>16.373777771952518</v>
      </c>
      <c r="BC282" s="5">
        <f t="shared" si="422"/>
        <v>1.3371314737838471</v>
      </c>
      <c r="BD282" s="469">
        <f t="shared" si="492"/>
        <v>0</v>
      </c>
      <c r="CD282" s="576">
        <f t="shared" si="493"/>
        <v>-50</v>
      </c>
      <c r="CE282">
        <f t="shared" si="494"/>
        <v>-50</v>
      </c>
    </row>
    <row r="283" spans="5:83" x14ac:dyDescent="0.25">
      <c r="E283" s="174">
        <v>66</v>
      </c>
      <c r="F283" s="221">
        <f t="shared" si="495"/>
        <v>0.66</v>
      </c>
      <c r="G283" s="221"/>
      <c r="H283" s="221">
        <f t="shared" si="462"/>
        <v>9.9</v>
      </c>
      <c r="I283" s="555">
        <f t="shared" si="463"/>
        <v>17</v>
      </c>
      <c r="J283" s="451">
        <f t="shared" si="464"/>
        <v>23.85</v>
      </c>
      <c r="K283" s="451">
        <f t="shared" si="465"/>
        <v>40.85</v>
      </c>
      <c r="L283" s="451"/>
      <c r="M283" s="221">
        <f t="shared" si="466"/>
        <v>0.58384332925336602</v>
      </c>
      <c r="N283" s="176">
        <f t="shared" si="467"/>
        <v>19.329593023255811</v>
      </c>
      <c r="O283" s="176">
        <f t="shared" si="459"/>
        <v>9.9</v>
      </c>
      <c r="P283" s="221">
        <f t="shared" si="468"/>
        <v>1.2886395348837207</v>
      </c>
      <c r="Q283" s="221">
        <f t="shared" si="469"/>
        <v>15</v>
      </c>
      <c r="R283" s="221"/>
      <c r="S283" s="176">
        <f t="shared" si="470"/>
        <v>39.084643390529934</v>
      </c>
      <c r="T283" s="176">
        <f t="shared" si="471"/>
        <v>15</v>
      </c>
      <c r="U283" s="221">
        <f t="shared" si="472"/>
        <v>2.0998890122086573</v>
      </c>
      <c r="V283" s="221">
        <f t="shared" si="473"/>
        <v>0.86466018149768242</v>
      </c>
      <c r="W283" s="221">
        <f t="shared" si="474"/>
        <v>0.61631962622476311</v>
      </c>
      <c r="X283" s="201">
        <f t="shared" si="475"/>
        <v>350</v>
      </c>
      <c r="Y283" s="451">
        <f t="shared" si="461"/>
        <v>350</v>
      </c>
      <c r="AA283" s="221">
        <f t="shared" si="476"/>
        <v>4.0511577948192743</v>
      </c>
      <c r="AB283" s="177">
        <f t="shared" si="477"/>
        <v>1.1890190592760972</v>
      </c>
      <c r="AC283" s="177">
        <f t="shared" si="478"/>
        <v>1.2644372554209482</v>
      </c>
      <c r="AD283" s="177"/>
      <c r="AE283" s="177">
        <f t="shared" si="479"/>
        <v>0.24067085953878403</v>
      </c>
      <c r="AF283" s="559">
        <f t="shared" si="480"/>
        <v>4459.0804793065354</v>
      </c>
      <c r="AG283" s="542">
        <f t="shared" si="481"/>
        <v>5.1804402515723262E-2</v>
      </c>
      <c r="AI283" s="177">
        <f t="shared" si="482"/>
        <v>2.9268636135366641</v>
      </c>
      <c r="AJ283" s="177">
        <f t="shared" si="483"/>
        <v>2.9268636135366641</v>
      </c>
      <c r="AK283" s="177">
        <f t="shared" si="484"/>
        <v>2.7606397137308623</v>
      </c>
      <c r="AM283" s="559">
        <f t="shared" si="485"/>
        <v>660</v>
      </c>
      <c r="AN283" s="469">
        <f t="shared" si="486"/>
        <v>350</v>
      </c>
      <c r="AP283">
        <f t="shared" si="487"/>
        <v>660</v>
      </c>
      <c r="AQ283">
        <f t="shared" si="488"/>
        <v>350</v>
      </c>
      <c r="AS283" s="5">
        <f t="shared" si="460"/>
        <v>2.8571428571428572</v>
      </c>
      <c r="AT283" s="5">
        <f t="shared" si="489"/>
        <v>1.2051791349856853</v>
      </c>
      <c r="AU283" s="5">
        <f t="shared" si="423"/>
        <v>1.6519637221571719</v>
      </c>
      <c r="AV283" s="5"/>
      <c r="AW283" s="177">
        <f t="shared" si="424"/>
        <v>0.42181269724498982</v>
      </c>
      <c r="AX283" s="177"/>
      <c r="BA283" s="469">
        <f t="shared" si="490"/>
        <v>16.399012161831713</v>
      </c>
      <c r="BB283" s="469">
        <f t="shared" si="491"/>
        <v>16.851000230680516</v>
      </c>
      <c r="BC283" s="5">
        <f t="shared" si="422"/>
        <v>1.3502118348281531</v>
      </c>
      <c r="BD283" s="469">
        <f t="shared" si="492"/>
        <v>0</v>
      </c>
      <c r="CD283" s="576">
        <f t="shared" si="493"/>
        <v>-50</v>
      </c>
      <c r="CE283">
        <f t="shared" si="494"/>
        <v>-50</v>
      </c>
    </row>
    <row r="284" spans="5:83" x14ac:dyDescent="0.25">
      <c r="E284" s="174">
        <v>67</v>
      </c>
      <c r="F284" s="221">
        <f t="shared" si="495"/>
        <v>0.67</v>
      </c>
      <c r="G284" s="221"/>
      <c r="H284" s="221">
        <f t="shared" si="462"/>
        <v>10.050000000000001</v>
      </c>
      <c r="I284" s="555">
        <f t="shared" si="463"/>
        <v>17</v>
      </c>
      <c r="J284" s="451">
        <f t="shared" si="464"/>
        <v>23.85</v>
      </c>
      <c r="K284" s="451">
        <f t="shared" si="465"/>
        <v>40.85</v>
      </c>
      <c r="L284" s="451"/>
      <c r="M284" s="221">
        <f t="shared" si="466"/>
        <v>0.58384332925336602</v>
      </c>
      <c r="N284" s="176">
        <f t="shared" si="467"/>
        <v>19.329593023255811</v>
      </c>
      <c r="O284" s="176">
        <f t="shared" si="459"/>
        <v>10.050000000000001</v>
      </c>
      <c r="P284" s="221">
        <f t="shared" si="468"/>
        <v>1.2886395348837207</v>
      </c>
      <c r="Q284" s="221">
        <f t="shared" si="469"/>
        <v>15</v>
      </c>
      <c r="R284" s="221"/>
      <c r="S284" s="176">
        <f t="shared" si="470"/>
        <v>38.340779445858182</v>
      </c>
      <c r="T284" s="176">
        <f t="shared" si="471"/>
        <v>15</v>
      </c>
      <c r="U284" s="221">
        <f t="shared" si="472"/>
        <v>2.131705512393637</v>
      </c>
      <c r="V284" s="221">
        <f t="shared" si="473"/>
        <v>0.87776109333855645</v>
      </c>
      <c r="W284" s="221">
        <f t="shared" si="474"/>
        <v>0.62565780237968383</v>
      </c>
      <c r="X284" s="201">
        <f t="shared" si="475"/>
        <v>350</v>
      </c>
      <c r="Y284" s="451">
        <f t="shared" si="461"/>
        <v>350</v>
      </c>
      <c r="AA284" s="221">
        <f t="shared" si="476"/>
        <v>4.0511577948192743</v>
      </c>
      <c r="AB284" s="177">
        <f t="shared" si="477"/>
        <v>1.1890190592760972</v>
      </c>
      <c r="AC284" s="177">
        <f t="shared" si="478"/>
        <v>1.2644372554209482</v>
      </c>
      <c r="AD284" s="177"/>
      <c r="AE284" s="177">
        <f t="shared" si="479"/>
        <v>0.24067085953878403</v>
      </c>
      <c r="AF284" s="559">
        <f t="shared" si="480"/>
        <v>4526.642304750575</v>
      </c>
      <c r="AG284" s="542">
        <f t="shared" si="481"/>
        <v>5.1804402515723262E-2</v>
      </c>
      <c r="AI284" s="177">
        <f t="shared" si="482"/>
        <v>2.9489534636226877</v>
      </c>
      <c r="AJ284" s="177">
        <f t="shared" si="483"/>
        <v>2.9489534636226877</v>
      </c>
      <c r="AK284" s="177">
        <f t="shared" si="484"/>
        <v>2.7770025656464354</v>
      </c>
      <c r="AM284" s="559">
        <f t="shared" si="485"/>
        <v>670</v>
      </c>
      <c r="AN284" s="469">
        <f t="shared" si="486"/>
        <v>350</v>
      </c>
      <c r="AP284">
        <f t="shared" si="487"/>
        <v>670</v>
      </c>
      <c r="AQ284">
        <f t="shared" si="488"/>
        <v>350</v>
      </c>
      <c r="AS284" s="5">
        <f t="shared" si="460"/>
        <v>2.8571428571428572</v>
      </c>
      <c r="AT284" s="5">
        <f t="shared" si="489"/>
        <v>1.214274955609342</v>
      </c>
      <c r="AU284" s="5">
        <f t="shared" si="423"/>
        <v>1.6428679015335153</v>
      </c>
      <c r="AV284" s="5"/>
      <c r="AW284" s="177">
        <f t="shared" si="424"/>
        <v>0.42499623446326967</v>
      </c>
      <c r="AX284" s="177"/>
      <c r="BA284" s="469">
        <f t="shared" si="490"/>
        <v>16.399012161831713</v>
      </c>
      <c r="BB284" s="469">
        <f t="shared" si="491"/>
        <v>17.335050513205886</v>
      </c>
      <c r="BC284" s="5">
        <f t="shared" si="422"/>
        <v>1.3631225932228548</v>
      </c>
      <c r="BD284" s="469">
        <f t="shared" si="492"/>
        <v>0</v>
      </c>
      <c r="CD284" s="576">
        <f t="shared" si="493"/>
        <v>-50</v>
      </c>
      <c r="CE284">
        <f t="shared" si="494"/>
        <v>-50</v>
      </c>
    </row>
    <row r="285" spans="5:83" x14ac:dyDescent="0.25">
      <c r="E285" s="174">
        <v>68</v>
      </c>
      <c r="F285" s="221">
        <f t="shared" si="495"/>
        <v>0.68</v>
      </c>
      <c r="G285" s="221"/>
      <c r="H285" s="221">
        <f t="shared" si="462"/>
        <v>10.200000000000001</v>
      </c>
      <c r="I285" s="555">
        <f t="shared" si="463"/>
        <v>17</v>
      </c>
      <c r="J285" s="451">
        <f t="shared" si="464"/>
        <v>23.85</v>
      </c>
      <c r="K285" s="451">
        <f t="shared" si="465"/>
        <v>40.85</v>
      </c>
      <c r="L285" s="451"/>
      <c r="M285" s="221">
        <f t="shared" si="466"/>
        <v>0.58384332925336602</v>
      </c>
      <c r="N285" s="176">
        <f t="shared" si="467"/>
        <v>19.329593023255811</v>
      </c>
      <c r="O285" s="176">
        <f t="shared" si="459"/>
        <v>10.200000000000001</v>
      </c>
      <c r="P285" s="221">
        <f t="shared" si="468"/>
        <v>1.2886395348837207</v>
      </c>
      <c r="Q285" s="221">
        <f t="shared" si="469"/>
        <v>15</v>
      </c>
      <c r="R285" s="221"/>
      <c r="S285" s="176">
        <f t="shared" si="470"/>
        <v>37.618971246589169</v>
      </c>
      <c r="T285" s="176">
        <f t="shared" si="471"/>
        <v>15</v>
      </c>
      <c r="U285" s="221">
        <f t="shared" si="472"/>
        <v>2.1635220125786168</v>
      </c>
      <c r="V285" s="221">
        <f t="shared" si="473"/>
        <v>0.89086200517943037</v>
      </c>
      <c r="W285" s="221">
        <f t="shared" si="474"/>
        <v>0.63499597853460443</v>
      </c>
      <c r="X285" s="201">
        <f t="shared" si="475"/>
        <v>350</v>
      </c>
      <c r="Y285" s="451">
        <f t="shared" si="461"/>
        <v>350</v>
      </c>
      <c r="AA285" s="221">
        <f t="shared" si="476"/>
        <v>4.0511577948192743</v>
      </c>
      <c r="AB285" s="177">
        <f t="shared" si="477"/>
        <v>1.1890190592760972</v>
      </c>
      <c r="AC285" s="177">
        <f t="shared" si="478"/>
        <v>1.2644372554209482</v>
      </c>
      <c r="AD285" s="177"/>
      <c r="AE285" s="177">
        <f t="shared" si="479"/>
        <v>0.24067085953878403</v>
      </c>
      <c r="AF285" s="559">
        <f t="shared" si="480"/>
        <v>4594.2041301946128</v>
      </c>
      <c r="AG285" s="542">
        <f t="shared" si="481"/>
        <v>5.1804402515723262E-2</v>
      </c>
      <c r="AI285" s="177">
        <f t="shared" si="482"/>
        <v>2.9708790700699339</v>
      </c>
      <c r="AJ285" s="177">
        <f t="shared" si="483"/>
        <v>2.9708790700699339</v>
      </c>
      <c r="AK285" s="177">
        <f t="shared" si="484"/>
        <v>2.7932437556073584</v>
      </c>
      <c r="AM285" s="559">
        <f t="shared" si="485"/>
        <v>680</v>
      </c>
      <c r="AN285" s="469">
        <f t="shared" si="486"/>
        <v>350</v>
      </c>
      <c r="AP285">
        <f t="shared" si="487"/>
        <v>680</v>
      </c>
      <c r="AQ285">
        <f t="shared" si="488"/>
        <v>350</v>
      </c>
      <c r="AS285" s="5">
        <f t="shared" si="460"/>
        <v>2.8571428571428572</v>
      </c>
      <c r="AT285" s="5">
        <f t="shared" si="489"/>
        <v>1.2233031464993847</v>
      </c>
      <c r="AU285" s="5">
        <f t="shared" si="423"/>
        <v>1.6338397106434726</v>
      </c>
      <c r="AV285" s="5"/>
      <c r="AW285" s="177">
        <f t="shared" si="424"/>
        <v>0.4281561012747846</v>
      </c>
      <c r="AX285" s="177"/>
      <c r="BA285" s="469">
        <f t="shared" si="490"/>
        <v>16.399012161831713</v>
      </c>
      <c r="BB285" s="469">
        <f t="shared" si="491"/>
        <v>17.825928619528629</v>
      </c>
      <c r="BC285" s="5">
        <f t="shared" si="422"/>
        <v>1.3758650194892403</v>
      </c>
      <c r="BD285" s="469">
        <f t="shared" si="492"/>
        <v>0</v>
      </c>
      <c r="CD285" s="576">
        <f t="shared" si="493"/>
        <v>-50</v>
      </c>
      <c r="CE285">
        <f t="shared" si="494"/>
        <v>-50</v>
      </c>
    </row>
    <row r="286" spans="5:83" x14ac:dyDescent="0.25">
      <c r="E286" s="174">
        <v>69</v>
      </c>
      <c r="F286" s="221">
        <f t="shared" si="495"/>
        <v>0.69</v>
      </c>
      <c r="G286" s="221"/>
      <c r="H286" s="221">
        <f t="shared" si="462"/>
        <v>10.35</v>
      </c>
      <c r="I286" s="555">
        <f t="shared" si="463"/>
        <v>17</v>
      </c>
      <c r="J286" s="451">
        <f t="shared" si="464"/>
        <v>23.85</v>
      </c>
      <c r="K286" s="451">
        <f t="shared" si="465"/>
        <v>40.85</v>
      </c>
      <c r="L286" s="451"/>
      <c r="M286" s="221">
        <f t="shared" si="466"/>
        <v>0.58384332925336602</v>
      </c>
      <c r="N286" s="176">
        <f t="shared" si="467"/>
        <v>19.329593023255811</v>
      </c>
      <c r="O286" s="176">
        <f t="shared" si="459"/>
        <v>10.35</v>
      </c>
      <c r="P286" s="221">
        <f t="shared" si="468"/>
        <v>1.2886395348837207</v>
      </c>
      <c r="Q286" s="221">
        <f t="shared" si="469"/>
        <v>15</v>
      </c>
      <c r="R286" s="221"/>
      <c r="S286" s="176">
        <f t="shared" si="470"/>
        <v>36.918261693446375</v>
      </c>
      <c r="T286" s="176">
        <f t="shared" si="471"/>
        <v>15</v>
      </c>
      <c r="U286" s="221">
        <f t="shared" si="472"/>
        <v>2.195338512763596</v>
      </c>
      <c r="V286" s="221">
        <f t="shared" si="473"/>
        <v>0.90396291702030418</v>
      </c>
      <c r="W286" s="221">
        <f t="shared" si="474"/>
        <v>0.64433415468952493</v>
      </c>
      <c r="X286" s="201">
        <f t="shared" si="475"/>
        <v>350</v>
      </c>
      <c r="Y286" s="451">
        <f t="shared" si="461"/>
        <v>350</v>
      </c>
      <c r="AA286" s="221">
        <f t="shared" si="476"/>
        <v>4.0511577948192743</v>
      </c>
      <c r="AB286" s="177">
        <f t="shared" si="477"/>
        <v>1.1890190592760972</v>
      </c>
      <c r="AC286" s="177">
        <f t="shared" si="478"/>
        <v>1.2644372554209482</v>
      </c>
      <c r="AD286" s="177"/>
      <c r="AE286" s="177">
        <f t="shared" si="479"/>
        <v>0.24067085953878403</v>
      </c>
      <c r="AF286" s="559">
        <f t="shared" si="480"/>
        <v>4661.7659556386507</v>
      </c>
      <c r="AG286" s="542">
        <f t="shared" si="481"/>
        <v>5.1804402515723262E-2</v>
      </c>
      <c r="AI286" s="177">
        <f t="shared" si="482"/>
        <v>2.9926440428736161</v>
      </c>
      <c r="AJ286" s="177">
        <f t="shared" si="483"/>
        <v>2.9926440428736161</v>
      </c>
      <c r="AK286" s="177">
        <f t="shared" si="484"/>
        <v>2.8093659576841601</v>
      </c>
      <c r="AM286" s="559">
        <f t="shared" si="485"/>
        <v>690</v>
      </c>
      <c r="AN286" s="469">
        <f t="shared" si="486"/>
        <v>350</v>
      </c>
      <c r="AP286">
        <f t="shared" si="487"/>
        <v>690</v>
      </c>
      <c r="AQ286">
        <f t="shared" si="488"/>
        <v>350</v>
      </c>
      <c r="AS286" s="5">
        <f t="shared" si="460"/>
        <v>2.8571428571428572</v>
      </c>
      <c r="AT286" s="5">
        <f t="shared" si="489"/>
        <v>1.2322651941244303</v>
      </c>
      <c r="AU286" s="5">
        <f t="shared" si="423"/>
        <v>1.624877663018427</v>
      </c>
      <c r="AV286" s="5"/>
      <c r="AW286" s="177">
        <f t="shared" si="424"/>
        <v>0.43129281794355057</v>
      </c>
      <c r="AX286" s="177"/>
      <c r="BA286" s="469">
        <f t="shared" si="490"/>
        <v>16.399012161831713</v>
      </c>
      <c r="BB286" s="469">
        <f t="shared" si="491"/>
        <v>18.323634549648741</v>
      </c>
      <c r="BC286" s="5">
        <f t="shared" si="422"/>
        <v>1.3884403560157459</v>
      </c>
      <c r="BD286" s="469">
        <f t="shared" si="492"/>
        <v>0</v>
      </c>
      <c r="CD286" s="576">
        <f t="shared" si="493"/>
        <v>-50</v>
      </c>
      <c r="CE286">
        <f t="shared" si="494"/>
        <v>-50</v>
      </c>
    </row>
    <row r="287" spans="5:83" x14ac:dyDescent="0.25">
      <c r="E287" s="174">
        <v>70</v>
      </c>
      <c r="F287" s="221">
        <f t="shared" si="495"/>
        <v>0.7</v>
      </c>
      <c r="G287" s="221"/>
      <c r="H287" s="221">
        <f t="shared" si="462"/>
        <v>10.5</v>
      </c>
      <c r="I287" s="555">
        <f t="shared" si="463"/>
        <v>17</v>
      </c>
      <c r="J287" s="451">
        <f t="shared" si="464"/>
        <v>23.85</v>
      </c>
      <c r="K287" s="451">
        <f t="shared" si="465"/>
        <v>40.85</v>
      </c>
      <c r="L287" s="451"/>
      <c r="M287" s="221">
        <f t="shared" si="466"/>
        <v>0.58384332925336602</v>
      </c>
      <c r="N287" s="176">
        <f t="shared" si="467"/>
        <v>19.329593023255811</v>
      </c>
      <c r="O287" s="176">
        <f t="shared" si="459"/>
        <v>10.5</v>
      </c>
      <c r="P287" s="221">
        <f t="shared" si="468"/>
        <v>1.2886395348837207</v>
      </c>
      <c r="Q287" s="221">
        <f t="shared" si="469"/>
        <v>15</v>
      </c>
      <c r="R287" s="221"/>
      <c r="S287" s="176">
        <f t="shared" si="470"/>
        <v>36.237748399356271</v>
      </c>
      <c r="T287" s="176">
        <f t="shared" si="471"/>
        <v>15</v>
      </c>
      <c r="U287" s="221">
        <f t="shared" si="472"/>
        <v>2.2271550129485758</v>
      </c>
      <c r="V287" s="221">
        <f t="shared" si="473"/>
        <v>0.91706382886117821</v>
      </c>
      <c r="W287" s="221">
        <f t="shared" si="474"/>
        <v>0.65367233084444565</v>
      </c>
      <c r="X287" s="201">
        <f t="shared" si="475"/>
        <v>350</v>
      </c>
      <c r="Y287" s="451">
        <f t="shared" si="461"/>
        <v>350</v>
      </c>
      <c r="AA287" s="221">
        <f t="shared" si="476"/>
        <v>4.0511577948192743</v>
      </c>
      <c r="AB287" s="177">
        <f t="shared" si="477"/>
        <v>1.1890190592760972</v>
      </c>
      <c r="AC287" s="177">
        <f t="shared" si="478"/>
        <v>1.2644372554209482</v>
      </c>
      <c r="AD287" s="177"/>
      <c r="AE287" s="177">
        <f t="shared" si="479"/>
        <v>0.24067085953878403</v>
      </c>
      <c r="AF287" s="559">
        <f t="shared" si="480"/>
        <v>4729.3277810826894</v>
      </c>
      <c r="AG287" s="542">
        <f t="shared" si="481"/>
        <v>5.1804402515723262E-2</v>
      </c>
      <c r="AI287" s="177">
        <f t="shared" si="482"/>
        <v>3.0142518616920992</v>
      </c>
      <c r="AJ287" s="177">
        <f t="shared" si="483"/>
        <v>3.0142518616920992</v>
      </c>
      <c r="AK287" s="177">
        <f t="shared" si="484"/>
        <v>2.8253717494015551</v>
      </c>
      <c r="AM287" s="559">
        <f t="shared" si="485"/>
        <v>700</v>
      </c>
      <c r="AN287" s="469">
        <f t="shared" si="486"/>
        <v>350</v>
      </c>
      <c r="AP287">
        <f t="shared" si="487"/>
        <v>700</v>
      </c>
      <c r="AQ287">
        <f t="shared" si="488"/>
        <v>350</v>
      </c>
      <c r="AS287" s="5">
        <f t="shared" si="460"/>
        <v>2.8571428571428572</v>
      </c>
      <c r="AT287" s="5">
        <f t="shared" si="489"/>
        <v>1.2411625312849821</v>
      </c>
      <c r="AU287" s="5">
        <f t="shared" si="423"/>
        <v>1.6159803258578751</v>
      </c>
      <c r="AV287" s="5"/>
      <c r="AW287" s="177">
        <f t="shared" si="424"/>
        <v>0.43440688594974375</v>
      </c>
      <c r="AX287" s="177"/>
      <c r="BA287" s="469">
        <f t="shared" si="490"/>
        <v>16.399012161831713</v>
      </c>
      <c r="BB287" s="469">
        <f t="shared" si="491"/>
        <v>18.82816830356623</v>
      </c>
      <c r="BC287" s="5">
        <f t="shared" si="422"/>
        <v>1.40084981808113</v>
      </c>
      <c r="BD287" s="469">
        <f t="shared" si="492"/>
        <v>0</v>
      </c>
      <c r="CD287" s="576">
        <f t="shared" si="493"/>
        <v>-50</v>
      </c>
      <c r="CE287">
        <f t="shared" si="494"/>
        <v>-50</v>
      </c>
    </row>
    <row r="288" spans="5:83" x14ac:dyDescent="0.25">
      <c r="E288" s="174">
        <v>71</v>
      </c>
      <c r="F288" s="221">
        <f t="shared" si="495"/>
        <v>0.71</v>
      </c>
      <c r="G288" s="221"/>
      <c r="H288" s="221">
        <f t="shared" si="462"/>
        <v>10.649999999999999</v>
      </c>
      <c r="I288" s="555">
        <f t="shared" si="463"/>
        <v>17</v>
      </c>
      <c r="J288" s="451">
        <f t="shared" si="464"/>
        <v>23.85</v>
      </c>
      <c r="K288" s="451">
        <f t="shared" si="465"/>
        <v>40.85</v>
      </c>
      <c r="L288" s="451"/>
      <c r="M288" s="221">
        <f t="shared" si="466"/>
        <v>0.58384332925336602</v>
      </c>
      <c r="N288" s="176">
        <f t="shared" si="467"/>
        <v>19.329593023255811</v>
      </c>
      <c r="O288" s="176">
        <f t="shared" si="459"/>
        <v>10.649999999999999</v>
      </c>
      <c r="P288" s="221">
        <f t="shared" si="468"/>
        <v>1.2886395348837207</v>
      </c>
      <c r="Q288" s="221">
        <f t="shared" si="469"/>
        <v>15</v>
      </c>
      <c r="R288" s="221"/>
      <c r="S288" s="176">
        <f t="shared" si="470"/>
        <v>35.576579836668643</v>
      </c>
      <c r="T288" s="176">
        <f t="shared" si="471"/>
        <v>15</v>
      </c>
      <c r="U288" s="221">
        <f t="shared" si="472"/>
        <v>2.258971513133555</v>
      </c>
      <c r="V288" s="221">
        <f t="shared" si="473"/>
        <v>0.93016474070205213</v>
      </c>
      <c r="W288" s="221">
        <f t="shared" si="474"/>
        <v>0.66301050699936626</v>
      </c>
      <c r="X288" s="201">
        <f t="shared" si="475"/>
        <v>350</v>
      </c>
      <c r="Y288" s="451">
        <f t="shared" si="461"/>
        <v>350</v>
      </c>
      <c r="AA288" s="221">
        <f t="shared" si="476"/>
        <v>4.0511577948192743</v>
      </c>
      <c r="AB288" s="177">
        <f t="shared" si="477"/>
        <v>1.1890190592760972</v>
      </c>
      <c r="AC288" s="177">
        <f t="shared" si="478"/>
        <v>1.2644372554209482</v>
      </c>
      <c r="AD288" s="177"/>
      <c r="AE288" s="177">
        <f t="shared" si="479"/>
        <v>0.24067085953878403</v>
      </c>
      <c r="AF288" s="559">
        <f t="shared" si="480"/>
        <v>4796.8896065267281</v>
      </c>
      <c r="AG288" s="542">
        <f t="shared" si="481"/>
        <v>5.1804402515723262E-2</v>
      </c>
      <c r="AI288" s="177">
        <f t="shared" si="482"/>
        <v>3.0357058823413103</v>
      </c>
      <c r="AJ288" s="177">
        <f t="shared" si="483"/>
        <v>3.0357058823413103</v>
      </c>
      <c r="AK288" s="177">
        <f t="shared" si="484"/>
        <v>2.841263616549119</v>
      </c>
      <c r="AM288" s="559">
        <f t="shared" si="485"/>
        <v>710</v>
      </c>
      <c r="AN288" s="469">
        <f t="shared" si="486"/>
        <v>350</v>
      </c>
      <c r="AP288">
        <f t="shared" si="487"/>
        <v>710</v>
      </c>
      <c r="AQ288">
        <f t="shared" si="488"/>
        <v>350</v>
      </c>
      <c r="AS288" s="5">
        <f t="shared" si="460"/>
        <v>2.8571428571428572</v>
      </c>
      <c r="AT288" s="5">
        <f t="shared" si="489"/>
        <v>1.2499965397875985</v>
      </c>
      <c r="AU288" s="5">
        <f t="shared" si="423"/>
        <v>1.6071463173552587</v>
      </c>
      <c r="AV288" s="5"/>
      <c r="AW288" s="177">
        <f t="shared" si="424"/>
        <v>0.43749878892565947</v>
      </c>
      <c r="AX288" s="177"/>
      <c r="BA288" s="469">
        <f t="shared" si="490"/>
        <v>16.399012161831713</v>
      </c>
      <c r="BB288" s="469">
        <f t="shared" si="491"/>
        <v>19.339529881281099</v>
      </c>
      <c r="BC288" s="5">
        <f t="shared" si="422"/>
        <v>1.4130945948262956</v>
      </c>
      <c r="BD288" s="469">
        <f t="shared" si="492"/>
        <v>0</v>
      </c>
      <c r="CD288" s="576">
        <f t="shared" si="493"/>
        <v>-50</v>
      </c>
      <c r="CE288">
        <f t="shared" si="494"/>
        <v>-50</v>
      </c>
    </row>
    <row r="289" spans="5:83" x14ac:dyDescent="0.25">
      <c r="E289" s="174">
        <v>72</v>
      </c>
      <c r="F289" s="221">
        <f t="shared" si="495"/>
        <v>0.72</v>
      </c>
      <c r="G289" s="221"/>
      <c r="H289" s="221">
        <f t="shared" si="462"/>
        <v>10.799999999999999</v>
      </c>
      <c r="I289" s="555">
        <f t="shared" si="463"/>
        <v>17</v>
      </c>
      <c r="J289" s="451">
        <f t="shared" si="464"/>
        <v>23.85</v>
      </c>
      <c r="K289" s="451">
        <f t="shared" si="465"/>
        <v>40.85</v>
      </c>
      <c r="L289" s="451"/>
      <c r="M289" s="221">
        <f t="shared" si="466"/>
        <v>0.58384332925336602</v>
      </c>
      <c r="N289" s="176">
        <f t="shared" si="467"/>
        <v>19.329593023255811</v>
      </c>
      <c r="O289" s="176">
        <f t="shared" si="459"/>
        <v>10.799999999999999</v>
      </c>
      <c r="P289" s="221">
        <f t="shared" si="468"/>
        <v>1.2886395348837207</v>
      </c>
      <c r="Q289" s="221">
        <f t="shared" si="469"/>
        <v>15</v>
      </c>
      <c r="R289" s="221"/>
      <c r="S289" s="176">
        <f t="shared" si="470"/>
        <v>34.933951805441147</v>
      </c>
      <c r="T289" s="176">
        <f t="shared" si="471"/>
        <v>15</v>
      </c>
      <c r="U289" s="221">
        <f t="shared" si="472"/>
        <v>2.2907880133185348</v>
      </c>
      <c r="V289" s="221">
        <f t="shared" si="473"/>
        <v>0.94326565254292594</v>
      </c>
      <c r="W289" s="221">
        <f t="shared" si="474"/>
        <v>0.67234868315428686</v>
      </c>
      <c r="X289" s="201">
        <f t="shared" si="475"/>
        <v>350</v>
      </c>
      <c r="Y289" s="451">
        <f t="shared" si="461"/>
        <v>350</v>
      </c>
      <c r="AA289" s="221">
        <f t="shared" si="476"/>
        <v>4.0511577948192743</v>
      </c>
      <c r="AB289" s="177">
        <f t="shared" si="477"/>
        <v>1.1890190592760972</v>
      </c>
      <c r="AC289" s="177">
        <f t="shared" si="478"/>
        <v>1.2644372554209482</v>
      </c>
      <c r="AD289" s="177"/>
      <c r="AE289" s="177">
        <f t="shared" si="479"/>
        <v>0.24067085953878403</v>
      </c>
      <c r="AF289" s="559">
        <f t="shared" si="480"/>
        <v>4864.4514319707669</v>
      </c>
      <c r="AG289" s="542">
        <f t="shared" si="481"/>
        <v>5.1804402515723262E-2</v>
      </c>
      <c r="AI289" s="177">
        <f t="shared" si="482"/>
        <v>3.0570093428789158</v>
      </c>
      <c r="AJ289" s="177">
        <f t="shared" si="483"/>
        <v>3.0570093428789158</v>
      </c>
      <c r="AK289" s="177">
        <f t="shared" si="484"/>
        <v>2.8570439576880862</v>
      </c>
      <c r="AM289" s="559">
        <f t="shared" si="485"/>
        <v>720</v>
      </c>
      <c r="AN289" s="469">
        <f t="shared" si="486"/>
        <v>350</v>
      </c>
      <c r="AP289">
        <f t="shared" si="487"/>
        <v>720</v>
      </c>
      <c r="AQ289">
        <f t="shared" si="488"/>
        <v>350</v>
      </c>
      <c r="AS289" s="5">
        <f t="shared" si="460"/>
        <v>2.8571428571428572</v>
      </c>
      <c r="AT289" s="5">
        <f t="shared" si="489"/>
        <v>1.2587685529501416</v>
      </c>
      <c r="AU289" s="5">
        <f t="shared" si="423"/>
        <v>1.5983743041927156</v>
      </c>
      <c r="AV289" s="5"/>
      <c r="AW289" s="177">
        <f t="shared" si="424"/>
        <v>0.44056899353254952</v>
      </c>
      <c r="AX289" s="177"/>
      <c r="BA289" s="469">
        <f t="shared" si="490"/>
        <v>16.399012161831713</v>
      </c>
      <c r="BB289" s="469">
        <f t="shared" si="491"/>
        <v>19.85771928279334</v>
      </c>
      <c r="BC289" s="5">
        <f t="shared" si="422"/>
        <v>1.4251758501780249</v>
      </c>
      <c r="BD289" s="469">
        <f t="shared" si="492"/>
        <v>0</v>
      </c>
      <c r="CD289" s="576">
        <f t="shared" si="493"/>
        <v>-50</v>
      </c>
      <c r="CE289">
        <f t="shared" si="494"/>
        <v>-50</v>
      </c>
    </row>
    <row r="290" spans="5:83" x14ac:dyDescent="0.25">
      <c r="E290" s="174">
        <v>73</v>
      </c>
      <c r="F290" s="221">
        <f t="shared" si="495"/>
        <v>0.73</v>
      </c>
      <c r="G290" s="221"/>
      <c r="H290" s="221">
        <f t="shared" si="462"/>
        <v>10.95</v>
      </c>
      <c r="I290" s="555">
        <f t="shared" si="463"/>
        <v>17</v>
      </c>
      <c r="J290" s="451">
        <f t="shared" si="464"/>
        <v>23.85</v>
      </c>
      <c r="K290" s="451">
        <f t="shared" si="465"/>
        <v>40.85</v>
      </c>
      <c r="L290" s="451"/>
      <c r="M290" s="221">
        <f t="shared" si="466"/>
        <v>0.58384332925336602</v>
      </c>
      <c r="N290" s="176">
        <f t="shared" si="467"/>
        <v>19.329593023255811</v>
      </c>
      <c r="O290" s="176">
        <f t="shared" si="459"/>
        <v>10.95</v>
      </c>
      <c r="P290" s="221">
        <f t="shared" si="468"/>
        <v>1.2886395348837207</v>
      </c>
      <c r="Q290" s="221">
        <f t="shared" si="469"/>
        <v>15</v>
      </c>
      <c r="R290" s="221"/>
      <c r="S290" s="176">
        <f t="shared" si="470"/>
        <v>34.309104192001243</v>
      </c>
      <c r="T290" s="176">
        <f t="shared" si="471"/>
        <v>15</v>
      </c>
      <c r="U290" s="221">
        <f t="shared" si="472"/>
        <v>2.3226045135035145</v>
      </c>
      <c r="V290" s="221">
        <f t="shared" si="473"/>
        <v>0.95636656438380008</v>
      </c>
      <c r="W290" s="221">
        <f t="shared" si="474"/>
        <v>0.68168685930920747</v>
      </c>
      <c r="X290" s="201">
        <f t="shared" si="475"/>
        <v>350</v>
      </c>
      <c r="Y290" s="451">
        <f t="shared" si="461"/>
        <v>350</v>
      </c>
      <c r="AA290" s="221">
        <f t="shared" si="476"/>
        <v>4.0511577948192743</v>
      </c>
      <c r="AB290" s="177">
        <f t="shared" si="477"/>
        <v>1.1890190592760972</v>
      </c>
      <c r="AC290" s="177">
        <f t="shared" si="478"/>
        <v>1.2644372554209482</v>
      </c>
      <c r="AD290" s="177"/>
      <c r="AE290" s="177">
        <f t="shared" si="479"/>
        <v>0.24067085953878403</v>
      </c>
      <c r="AF290" s="559">
        <f t="shared" si="480"/>
        <v>4932.0132574148047</v>
      </c>
      <c r="AG290" s="542">
        <f t="shared" si="481"/>
        <v>5.1804402515723262E-2</v>
      </c>
      <c r="AI290" s="177">
        <f t="shared" si="482"/>
        <v>3.0781653693095059</v>
      </c>
      <c r="AJ290" s="177">
        <f t="shared" si="483"/>
        <v>3.0781653693095059</v>
      </c>
      <c r="AK290" s="177">
        <f t="shared" si="484"/>
        <v>2.872715088377412</v>
      </c>
      <c r="AM290" s="559">
        <f t="shared" si="485"/>
        <v>730</v>
      </c>
      <c r="AN290" s="469">
        <f t="shared" si="486"/>
        <v>350</v>
      </c>
      <c r="AP290">
        <f t="shared" si="487"/>
        <v>730</v>
      </c>
      <c r="AQ290">
        <f t="shared" si="488"/>
        <v>350</v>
      </c>
      <c r="AS290" s="5">
        <f t="shared" si="460"/>
        <v>2.8571428571428572</v>
      </c>
      <c r="AT290" s="5">
        <f t="shared" si="489"/>
        <v>1.267479857950973</v>
      </c>
      <c r="AU290" s="5">
        <f t="shared" si="423"/>
        <v>1.5896629991918843</v>
      </c>
      <c r="AV290" s="5"/>
      <c r="AW290" s="177">
        <f t="shared" si="424"/>
        <v>0.44361795028284051</v>
      </c>
      <c r="AX290" s="177"/>
      <c r="BA290" s="469">
        <f t="shared" si="490"/>
        <v>16.399012161831713</v>
      </c>
      <c r="BB290" s="469">
        <f t="shared" si="491"/>
        <v>20.382736508102948</v>
      </c>
      <c r="BC290" s="5">
        <f t="shared" si="422"/>
        <v>1.4370947237276477</v>
      </c>
      <c r="BD290" s="469">
        <f t="shared" si="492"/>
        <v>0</v>
      </c>
      <c r="CD290" s="576">
        <f t="shared" si="493"/>
        <v>-50</v>
      </c>
      <c r="CE290">
        <f t="shared" si="494"/>
        <v>-50</v>
      </c>
    </row>
    <row r="291" spans="5:83" x14ac:dyDescent="0.25">
      <c r="E291" s="174">
        <v>74</v>
      </c>
      <c r="F291" s="221">
        <f t="shared" si="495"/>
        <v>0.74</v>
      </c>
      <c r="G291" s="221"/>
      <c r="H291" s="221">
        <f t="shared" si="462"/>
        <v>11.1</v>
      </c>
      <c r="I291" s="555">
        <f t="shared" si="463"/>
        <v>17</v>
      </c>
      <c r="J291" s="451">
        <f t="shared" si="464"/>
        <v>23.85</v>
      </c>
      <c r="K291" s="451">
        <f t="shared" si="465"/>
        <v>40.85</v>
      </c>
      <c r="L291" s="451"/>
      <c r="M291" s="221">
        <f t="shared" si="466"/>
        <v>0.58384332925336602</v>
      </c>
      <c r="N291" s="176">
        <f t="shared" si="467"/>
        <v>19.329593023255811</v>
      </c>
      <c r="O291" s="176">
        <f t="shared" si="459"/>
        <v>11.1</v>
      </c>
      <c r="P291" s="221">
        <f t="shared" si="468"/>
        <v>1.2886395348837207</v>
      </c>
      <c r="Q291" s="221">
        <f t="shared" si="469"/>
        <v>15</v>
      </c>
      <c r="R291" s="221"/>
      <c r="S291" s="176">
        <f t="shared" si="470"/>
        <v>33.701317990326302</v>
      </c>
      <c r="T291" s="176">
        <f t="shared" si="471"/>
        <v>15</v>
      </c>
      <c r="U291" s="221">
        <f t="shared" si="472"/>
        <v>2.3544210136884942</v>
      </c>
      <c r="V291" s="221">
        <f t="shared" si="473"/>
        <v>0.969467476224674</v>
      </c>
      <c r="W291" s="221">
        <f t="shared" si="474"/>
        <v>0.69102503546412819</v>
      </c>
      <c r="X291" s="201">
        <f t="shared" si="475"/>
        <v>350</v>
      </c>
      <c r="Y291" s="451">
        <f t="shared" si="461"/>
        <v>350</v>
      </c>
      <c r="AA291" s="221">
        <f t="shared" si="476"/>
        <v>4.0511577948192743</v>
      </c>
      <c r="AB291" s="177">
        <f t="shared" si="477"/>
        <v>1.1890190592760972</v>
      </c>
      <c r="AC291" s="177">
        <f t="shared" si="478"/>
        <v>1.2644372554209482</v>
      </c>
      <c r="AD291" s="177"/>
      <c r="AE291" s="177">
        <f t="shared" si="479"/>
        <v>0.24067085953878403</v>
      </c>
      <c r="AF291" s="559">
        <f t="shared" si="480"/>
        <v>4999.5750828588434</v>
      </c>
      <c r="AG291" s="542">
        <f t="shared" si="481"/>
        <v>5.1804402515723262E-2</v>
      </c>
      <c r="AI291" s="177">
        <f t="shared" si="482"/>
        <v>3.0991769809392422</v>
      </c>
      <c r="AJ291" s="177">
        <f t="shared" si="483"/>
        <v>3.0991769809392422</v>
      </c>
      <c r="AK291" s="177">
        <f t="shared" si="484"/>
        <v>2.8882792451401795</v>
      </c>
      <c r="AM291" s="559">
        <f t="shared" si="485"/>
        <v>740</v>
      </c>
      <c r="AN291" s="469">
        <f t="shared" si="486"/>
        <v>350</v>
      </c>
      <c r="AP291">
        <f t="shared" si="487"/>
        <v>740</v>
      </c>
      <c r="AQ291">
        <f t="shared" si="488"/>
        <v>350</v>
      </c>
      <c r="AS291" s="5">
        <f t="shared" si="460"/>
        <v>2.8571428571428572</v>
      </c>
      <c r="AT291" s="5">
        <f t="shared" si="489"/>
        <v>1.2761316980338058</v>
      </c>
      <c r="AU291" s="5">
        <f t="shared" si="423"/>
        <v>1.5810111591090514</v>
      </c>
      <c r="AV291" s="5"/>
      <c r="AW291" s="177">
        <f t="shared" si="424"/>
        <v>0.446646094311832</v>
      </c>
      <c r="AX291" s="177"/>
      <c r="BA291" s="469">
        <f t="shared" si="490"/>
        <v>16.399012161831713</v>
      </c>
      <c r="BB291" s="469">
        <f t="shared" si="491"/>
        <v>20.914581557209935</v>
      </c>
      <c r="BC291" s="5">
        <f t="shared" si="422"/>
        <v>1.448852331567428</v>
      </c>
      <c r="BD291" s="469">
        <f t="shared" si="492"/>
        <v>0</v>
      </c>
      <c r="CD291" s="576">
        <f t="shared" si="493"/>
        <v>-50</v>
      </c>
      <c r="CE291">
        <f t="shared" si="494"/>
        <v>-50</v>
      </c>
    </row>
    <row r="292" spans="5:83" x14ac:dyDescent="0.25">
      <c r="E292" s="174">
        <v>75</v>
      </c>
      <c r="F292" s="221">
        <f t="shared" si="495"/>
        <v>0.75</v>
      </c>
      <c r="G292" s="221"/>
      <c r="H292" s="221">
        <f t="shared" si="462"/>
        <v>11.25</v>
      </c>
      <c r="I292" s="555">
        <f t="shared" si="463"/>
        <v>17</v>
      </c>
      <c r="J292" s="451">
        <f t="shared" si="464"/>
        <v>23.85</v>
      </c>
      <c r="K292" s="451">
        <f t="shared" si="465"/>
        <v>40.85</v>
      </c>
      <c r="L292" s="451"/>
      <c r="M292" s="221">
        <f t="shared" si="466"/>
        <v>0.58384332925336602</v>
      </c>
      <c r="N292" s="176">
        <f t="shared" si="467"/>
        <v>19.329593023255811</v>
      </c>
      <c r="O292" s="176">
        <f t="shared" si="459"/>
        <v>11.25</v>
      </c>
      <c r="P292" s="221">
        <f t="shared" si="468"/>
        <v>1.2886395348837207</v>
      </c>
      <c r="Q292" s="221">
        <f t="shared" si="469"/>
        <v>15</v>
      </c>
      <c r="R292" s="221"/>
      <c r="S292" s="176">
        <f t="shared" si="470"/>
        <v>33.109912561712463</v>
      </c>
      <c r="T292" s="176">
        <f t="shared" si="471"/>
        <v>15</v>
      </c>
      <c r="U292" s="221">
        <f t="shared" si="472"/>
        <v>2.3862375138734739</v>
      </c>
      <c r="V292" s="221">
        <f t="shared" si="473"/>
        <v>0.98256838806554814</v>
      </c>
      <c r="W292" s="221">
        <f t="shared" si="474"/>
        <v>0.70036321161904891</v>
      </c>
      <c r="X292" s="201">
        <f t="shared" si="475"/>
        <v>350</v>
      </c>
      <c r="Y292" s="451">
        <f t="shared" si="461"/>
        <v>350</v>
      </c>
      <c r="AA292" s="221">
        <f t="shared" si="476"/>
        <v>4.0511577948192743</v>
      </c>
      <c r="AB292" s="177">
        <f t="shared" si="477"/>
        <v>1.1890190592760972</v>
      </c>
      <c r="AC292" s="177">
        <f t="shared" si="478"/>
        <v>1.2644372554209482</v>
      </c>
      <c r="AD292" s="177"/>
      <c r="AE292" s="177">
        <f t="shared" si="479"/>
        <v>0.24067085953878403</v>
      </c>
      <c r="AF292" s="559">
        <f t="shared" si="480"/>
        <v>5067.1369083028821</v>
      </c>
      <c r="AG292" s="542">
        <f t="shared" si="481"/>
        <v>5.1804402515723262E-2</v>
      </c>
      <c r="AI292" s="177">
        <f t="shared" si="482"/>
        <v>3.1200470954059365</v>
      </c>
      <c r="AJ292" s="177">
        <f t="shared" si="483"/>
        <v>3.1200470954059365</v>
      </c>
      <c r="AK292" s="177">
        <f t="shared" si="484"/>
        <v>2.9037385891895831</v>
      </c>
      <c r="AM292" s="559">
        <f t="shared" si="485"/>
        <v>750</v>
      </c>
      <c r="AN292" s="469">
        <f t="shared" si="486"/>
        <v>350</v>
      </c>
      <c r="AP292">
        <f t="shared" si="487"/>
        <v>750</v>
      </c>
      <c r="AQ292">
        <f t="shared" si="488"/>
        <v>350</v>
      </c>
      <c r="AS292" s="5">
        <f t="shared" si="460"/>
        <v>2.8571428571428572</v>
      </c>
      <c r="AT292" s="5">
        <f t="shared" si="489"/>
        <v>1.2847252745789151</v>
      </c>
      <c r="AU292" s="5">
        <f t="shared" si="423"/>
        <v>1.5724175825639422</v>
      </c>
      <c r="AV292" s="5"/>
      <c r="AW292" s="177">
        <f t="shared" si="424"/>
        <v>0.44965384610262027</v>
      </c>
      <c r="AX292" s="177"/>
      <c r="BA292" s="469">
        <f t="shared" si="490"/>
        <v>16.399012161831713</v>
      </c>
      <c r="BB292" s="469">
        <f t="shared" si="491"/>
        <v>21.453254430114299</v>
      </c>
      <c r="BC292" s="5">
        <f t="shared" si="422"/>
        <v>1.4604497670872529</v>
      </c>
      <c r="BD292" s="469">
        <f t="shared" si="492"/>
        <v>0</v>
      </c>
      <c r="CD292" s="576">
        <f t="shared" si="493"/>
        <v>-50</v>
      </c>
      <c r="CE292">
        <f t="shared" si="494"/>
        <v>-50</v>
      </c>
    </row>
    <row r="293" spans="5:83" x14ac:dyDescent="0.25">
      <c r="E293" s="174">
        <v>76</v>
      </c>
      <c r="F293" s="221">
        <f t="shared" si="495"/>
        <v>0.76</v>
      </c>
      <c r="G293" s="221"/>
      <c r="H293" s="221">
        <f t="shared" si="462"/>
        <v>11.4</v>
      </c>
      <c r="I293" s="555">
        <f t="shared" si="463"/>
        <v>17</v>
      </c>
      <c r="J293" s="451">
        <f t="shared" si="464"/>
        <v>23.85</v>
      </c>
      <c r="K293" s="451">
        <f t="shared" si="465"/>
        <v>40.85</v>
      </c>
      <c r="L293" s="451"/>
      <c r="M293" s="221">
        <f t="shared" si="466"/>
        <v>0.58384332925336602</v>
      </c>
      <c r="N293" s="176">
        <f t="shared" si="467"/>
        <v>19.329593023255811</v>
      </c>
      <c r="O293" s="176">
        <f t="shared" si="459"/>
        <v>11.4</v>
      </c>
      <c r="P293" s="221">
        <f t="shared" si="468"/>
        <v>1.2886395348837207</v>
      </c>
      <c r="Q293" s="221">
        <f t="shared" si="469"/>
        <v>15</v>
      </c>
      <c r="R293" s="221"/>
      <c r="S293" s="176">
        <f t="shared" si="470"/>
        <v>32.534243110784217</v>
      </c>
      <c r="T293" s="176">
        <f t="shared" si="471"/>
        <v>15</v>
      </c>
      <c r="U293" s="221">
        <f t="shared" si="472"/>
        <v>2.4180540140584541</v>
      </c>
      <c r="V293" s="221">
        <f t="shared" si="473"/>
        <v>0.99566929990642239</v>
      </c>
      <c r="W293" s="221">
        <f t="shared" si="474"/>
        <v>0.70970138777396985</v>
      </c>
      <c r="X293" s="201">
        <f t="shared" si="475"/>
        <v>350</v>
      </c>
      <c r="Y293" s="451">
        <f t="shared" si="461"/>
        <v>350</v>
      </c>
      <c r="AA293" s="221">
        <f t="shared" si="476"/>
        <v>4.0511577948192743</v>
      </c>
      <c r="AB293" s="177">
        <f t="shared" si="477"/>
        <v>1.1890190592760972</v>
      </c>
      <c r="AC293" s="177">
        <f t="shared" si="478"/>
        <v>1.2644372554209482</v>
      </c>
      <c r="AD293" s="177"/>
      <c r="AE293" s="177">
        <f t="shared" si="479"/>
        <v>0.24067085953878403</v>
      </c>
      <c r="AF293" s="559">
        <f t="shared" si="480"/>
        <v>5134.6987337469209</v>
      </c>
      <c r="AG293" s="542">
        <f t="shared" si="481"/>
        <v>5.1804402515723262E-2</v>
      </c>
      <c r="AI293" s="177">
        <f t="shared" si="482"/>
        <v>3.1407785334082967</v>
      </c>
      <c r="AJ293" s="177">
        <f t="shared" si="483"/>
        <v>3.1407785334082967</v>
      </c>
      <c r="AK293" s="177">
        <f t="shared" si="484"/>
        <v>2.9190952099320722</v>
      </c>
      <c r="AM293" s="559">
        <f t="shared" si="485"/>
        <v>760</v>
      </c>
      <c r="AN293" s="469">
        <f t="shared" si="486"/>
        <v>350</v>
      </c>
      <c r="AP293">
        <f t="shared" si="487"/>
        <v>760</v>
      </c>
      <c r="AQ293">
        <f t="shared" si="488"/>
        <v>350</v>
      </c>
      <c r="AS293" s="5">
        <f t="shared" si="460"/>
        <v>2.8571428571428572</v>
      </c>
      <c r="AT293" s="5">
        <f t="shared" si="489"/>
        <v>1.293261749050475</v>
      </c>
      <c r="AU293" s="5">
        <f t="shared" si="423"/>
        <v>1.5638811080923822</v>
      </c>
      <c r="AV293" s="5"/>
      <c r="AW293" s="177">
        <f t="shared" si="424"/>
        <v>0.45264161216766624</v>
      </c>
      <c r="AX293" s="177"/>
      <c r="BA293" s="469">
        <f t="shared" si="490"/>
        <v>16.399012161831713</v>
      </c>
      <c r="BB293" s="469">
        <f t="shared" si="491"/>
        <v>21.998755126816036</v>
      </c>
      <c r="BC293" s="5">
        <f t="shared" si="422"/>
        <v>1.4718881017340071</v>
      </c>
      <c r="BD293" s="469">
        <f t="shared" si="492"/>
        <v>0</v>
      </c>
      <c r="CD293" s="576">
        <f t="shared" si="493"/>
        <v>-50</v>
      </c>
      <c r="CE293">
        <f t="shared" si="494"/>
        <v>-50</v>
      </c>
    </row>
    <row r="294" spans="5:83" x14ac:dyDescent="0.25">
      <c r="E294" s="174">
        <v>77</v>
      </c>
      <c r="F294" s="221">
        <f t="shared" si="495"/>
        <v>0.77</v>
      </c>
      <c r="G294" s="221"/>
      <c r="H294" s="221">
        <f t="shared" si="462"/>
        <v>11.55</v>
      </c>
      <c r="I294" s="555">
        <f t="shared" si="463"/>
        <v>17</v>
      </c>
      <c r="J294" s="451">
        <f t="shared" si="464"/>
        <v>23.85</v>
      </c>
      <c r="K294" s="451">
        <f t="shared" si="465"/>
        <v>40.85</v>
      </c>
      <c r="L294" s="451"/>
      <c r="M294" s="221">
        <f t="shared" si="466"/>
        <v>0.58384332925336602</v>
      </c>
      <c r="N294" s="176">
        <f t="shared" si="467"/>
        <v>19.329593023255811</v>
      </c>
      <c r="O294" s="176">
        <f t="shared" si="459"/>
        <v>11.55</v>
      </c>
      <c r="P294" s="221">
        <f t="shared" si="468"/>
        <v>1.2886395348837207</v>
      </c>
      <c r="Q294" s="221">
        <f t="shared" si="469"/>
        <v>15</v>
      </c>
      <c r="R294" s="221"/>
      <c r="S294" s="176">
        <f t="shared" si="470"/>
        <v>31.973698358177341</v>
      </c>
      <c r="T294" s="176">
        <f t="shared" si="471"/>
        <v>15</v>
      </c>
      <c r="U294" s="221">
        <f t="shared" si="472"/>
        <v>2.4498705142434338</v>
      </c>
      <c r="V294" s="221">
        <f t="shared" si="473"/>
        <v>1.0087702117472961</v>
      </c>
      <c r="W294" s="221">
        <f t="shared" si="474"/>
        <v>0.71903956392889024</v>
      </c>
      <c r="X294" s="201">
        <f t="shared" si="475"/>
        <v>350</v>
      </c>
      <c r="Y294" s="451">
        <f t="shared" si="461"/>
        <v>350</v>
      </c>
      <c r="AA294" s="221">
        <f t="shared" si="476"/>
        <v>4.0511577948192743</v>
      </c>
      <c r="AB294" s="177">
        <f t="shared" si="477"/>
        <v>1.1890190592760972</v>
      </c>
      <c r="AC294" s="177">
        <f t="shared" si="478"/>
        <v>1.2644372554209482</v>
      </c>
      <c r="AD294" s="177"/>
      <c r="AE294" s="177">
        <f t="shared" si="479"/>
        <v>0.24067085953878403</v>
      </c>
      <c r="AF294" s="559">
        <f t="shared" si="480"/>
        <v>5202.2605591909587</v>
      </c>
      <c r="AG294" s="542">
        <f t="shared" si="481"/>
        <v>5.1804402515723262E-2</v>
      </c>
      <c r="AI294" s="177">
        <f t="shared" si="482"/>
        <v>3.1613740231560259</v>
      </c>
      <c r="AJ294" s="177">
        <f t="shared" si="483"/>
        <v>3.1613740231560259</v>
      </c>
      <c r="AK294" s="177">
        <f t="shared" si="484"/>
        <v>2.9343511282637231</v>
      </c>
      <c r="AM294" s="559">
        <f t="shared" si="485"/>
        <v>770</v>
      </c>
      <c r="AN294" s="469">
        <f t="shared" si="486"/>
        <v>350</v>
      </c>
      <c r="AP294">
        <f t="shared" si="487"/>
        <v>770</v>
      </c>
      <c r="AQ294">
        <f t="shared" si="488"/>
        <v>350</v>
      </c>
      <c r="AS294" s="5">
        <f t="shared" si="460"/>
        <v>2.8571428571428572</v>
      </c>
      <c r="AT294" s="5">
        <f t="shared" si="489"/>
        <v>1.301742244828952</v>
      </c>
      <c r="AU294" s="5">
        <f t="shared" si="423"/>
        <v>1.5554006123139053</v>
      </c>
      <c r="AV294" s="5"/>
      <c r="AW294" s="177">
        <f t="shared" si="424"/>
        <v>0.45560978569013316</v>
      </c>
      <c r="AX294" s="177"/>
      <c r="BA294" s="469">
        <f t="shared" si="490"/>
        <v>16.399012161831713</v>
      </c>
      <c r="BB294" s="469">
        <f t="shared" si="491"/>
        <v>22.551083647315142</v>
      </c>
      <c r="BC294" s="5">
        <f t="shared" si="422"/>
        <v>1.4831683857358602</v>
      </c>
      <c r="BD294" s="469">
        <f t="shared" si="492"/>
        <v>0</v>
      </c>
      <c r="CD294" s="576">
        <f t="shared" si="493"/>
        <v>-50</v>
      </c>
      <c r="CE294">
        <f t="shared" si="494"/>
        <v>-50</v>
      </c>
    </row>
    <row r="295" spans="5:83" x14ac:dyDescent="0.25">
      <c r="E295" s="174">
        <v>78</v>
      </c>
      <c r="F295" s="221">
        <f t="shared" si="495"/>
        <v>0.78</v>
      </c>
      <c r="G295" s="221"/>
      <c r="H295" s="221">
        <f t="shared" si="462"/>
        <v>11.700000000000001</v>
      </c>
      <c r="I295" s="555">
        <f t="shared" si="463"/>
        <v>17</v>
      </c>
      <c r="J295" s="451">
        <f t="shared" si="464"/>
        <v>23.85</v>
      </c>
      <c r="K295" s="451">
        <f t="shared" si="465"/>
        <v>40.85</v>
      </c>
      <c r="L295" s="451"/>
      <c r="M295" s="221">
        <f t="shared" si="466"/>
        <v>0.58384332925336602</v>
      </c>
      <c r="N295" s="176">
        <f t="shared" si="467"/>
        <v>19.329593023255811</v>
      </c>
      <c r="O295" s="176">
        <f t="shared" si="459"/>
        <v>11.700000000000001</v>
      </c>
      <c r="P295" s="221">
        <f t="shared" si="468"/>
        <v>1.2886395348837207</v>
      </c>
      <c r="Q295" s="221">
        <f t="shared" si="469"/>
        <v>15</v>
      </c>
      <c r="R295" s="221"/>
      <c r="S295" s="176">
        <f t="shared" si="470"/>
        <v>31.427698392244704</v>
      </c>
      <c r="T295" s="176">
        <f t="shared" si="471"/>
        <v>15</v>
      </c>
      <c r="U295" s="221">
        <f t="shared" si="472"/>
        <v>2.4816870144284136</v>
      </c>
      <c r="V295" s="221">
        <f t="shared" si="473"/>
        <v>1.0218711235881703</v>
      </c>
      <c r="W295" s="221">
        <f t="shared" si="474"/>
        <v>0.72837774008381106</v>
      </c>
      <c r="X295" s="201">
        <f t="shared" si="475"/>
        <v>350</v>
      </c>
      <c r="Y295" s="451">
        <f t="shared" si="461"/>
        <v>350</v>
      </c>
      <c r="AA295" s="221">
        <f t="shared" si="476"/>
        <v>4.0511577948192743</v>
      </c>
      <c r="AB295" s="177">
        <f t="shared" si="477"/>
        <v>1.1890190592760972</v>
      </c>
      <c r="AC295" s="177">
        <f t="shared" si="478"/>
        <v>1.2644372554209482</v>
      </c>
      <c r="AD295" s="177"/>
      <c r="AE295" s="177">
        <f t="shared" si="479"/>
        <v>0.24067085953878403</v>
      </c>
      <c r="AF295" s="559">
        <f t="shared" si="480"/>
        <v>5269.8223846349974</v>
      </c>
      <c r="AG295" s="542">
        <f t="shared" si="481"/>
        <v>5.1804402515723262E-2</v>
      </c>
      <c r="AI295" s="177">
        <f t="shared" si="482"/>
        <v>3.1818362045606725</v>
      </c>
      <c r="AJ295" s="177">
        <f t="shared" si="483"/>
        <v>3.1818362045606725</v>
      </c>
      <c r="AK295" s="177">
        <f t="shared" si="484"/>
        <v>2.9495082996745721</v>
      </c>
      <c r="AM295" s="559">
        <f t="shared" si="485"/>
        <v>780</v>
      </c>
      <c r="AN295" s="469">
        <f t="shared" si="486"/>
        <v>350</v>
      </c>
      <c r="AP295">
        <f t="shared" si="487"/>
        <v>780</v>
      </c>
      <c r="AQ295">
        <f t="shared" si="488"/>
        <v>350</v>
      </c>
      <c r="AS295" s="5">
        <f t="shared" si="460"/>
        <v>2.8571428571428572</v>
      </c>
      <c r="AT295" s="5">
        <f t="shared" si="489"/>
        <v>1.3101678489367474</v>
      </c>
      <c r="AU295" s="5">
        <f t="shared" si="423"/>
        <v>1.5469750082061098</v>
      </c>
      <c r="AV295" s="5"/>
      <c r="AW295" s="177">
        <f t="shared" si="424"/>
        <v>0.4585587471278616</v>
      </c>
      <c r="AX295" s="177"/>
      <c r="BA295" s="469">
        <f t="shared" si="490"/>
        <v>16.399012161831713</v>
      </c>
      <c r="BB295" s="469">
        <f t="shared" si="491"/>
        <v>23.110239991611632</v>
      </c>
      <c r="BC295" s="5">
        <f t="shared" si="422"/>
        <v>1.4942916487935181</v>
      </c>
      <c r="BD295" s="469">
        <f t="shared" si="492"/>
        <v>0</v>
      </c>
      <c r="CD295" s="576">
        <f t="shared" si="493"/>
        <v>-50</v>
      </c>
      <c r="CE295">
        <f t="shared" si="494"/>
        <v>-50</v>
      </c>
    </row>
    <row r="296" spans="5:83" x14ac:dyDescent="0.25">
      <c r="E296" s="174">
        <v>79</v>
      </c>
      <c r="F296" s="221">
        <f t="shared" si="495"/>
        <v>0.79</v>
      </c>
      <c r="G296" s="221"/>
      <c r="H296" s="221">
        <f t="shared" si="462"/>
        <v>11.850000000000001</v>
      </c>
      <c r="I296" s="555">
        <f t="shared" si="463"/>
        <v>17</v>
      </c>
      <c r="J296" s="451">
        <f t="shared" si="464"/>
        <v>23.85</v>
      </c>
      <c r="K296" s="451">
        <f t="shared" si="465"/>
        <v>40.85</v>
      </c>
      <c r="L296" s="451"/>
      <c r="M296" s="221">
        <f t="shared" si="466"/>
        <v>0.58384332925336602</v>
      </c>
      <c r="N296" s="176">
        <f t="shared" si="467"/>
        <v>19.329593023255811</v>
      </c>
      <c r="O296" s="176">
        <f t="shared" si="459"/>
        <v>11.850000000000001</v>
      </c>
      <c r="P296" s="221">
        <f t="shared" si="468"/>
        <v>1.2886395348837207</v>
      </c>
      <c r="Q296" s="221">
        <f t="shared" si="469"/>
        <v>15</v>
      </c>
      <c r="R296" s="221"/>
      <c r="S296" s="176">
        <f t="shared" si="470"/>
        <v>30.895692683922388</v>
      </c>
      <c r="T296" s="176">
        <f t="shared" si="471"/>
        <v>15</v>
      </c>
      <c r="U296" s="221">
        <f t="shared" si="472"/>
        <v>2.5135035146133933</v>
      </c>
      <c r="V296" s="221">
        <f t="shared" si="473"/>
        <v>1.0349720354290444</v>
      </c>
      <c r="W296" s="221">
        <f t="shared" si="474"/>
        <v>0.73771591623873178</v>
      </c>
      <c r="X296" s="201">
        <f t="shared" si="475"/>
        <v>350</v>
      </c>
      <c r="Y296" s="451">
        <f t="shared" si="461"/>
        <v>350</v>
      </c>
      <c r="AA296" s="221">
        <f t="shared" si="476"/>
        <v>4.0511577948192743</v>
      </c>
      <c r="AB296" s="177">
        <f t="shared" si="477"/>
        <v>1.1890190592760972</v>
      </c>
      <c r="AC296" s="177">
        <f t="shared" si="478"/>
        <v>1.2644372554209482</v>
      </c>
      <c r="AD296" s="177"/>
      <c r="AE296" s="177">
        <f t="shared" si="479"/>
        <v>0.24067085953878403</v>
      </c>
      <c r="AF296" s="559">
        <f t="shared" si="480"/>
        <v>5337.3842100790362</v>
      </c>
      <c r="AG296" s="542">
        <f t="shared" si="481"/>
        <v>5.1804402515723262E-2</v>
      </c>
      <c r="AI296" s="177">
        <f t="shared" si="482"/>
        <v>3.202167633185435</v>
      </c>
      <c r="AJ296" s="177">
        <f t="shared" si="483"/>
        <v>3.202167633185435</v>
      </c>
      <c r="AK296" s="177">
        <f t="shared" si="484"/>
        <v>2.9645686171743968</v>
      </c>
      <c r="AM296" s="559">
        <f t="shared" si="485"/>
        <v>790</v>
      </c>
      <c r="AN296" s="469">
        <f t="shared" si="486"/>
        <v>350</v>
      </c>
      <c r="AP296">
        <f t="shared" si="487"/>
        <v>790</v>
      </c>
      <c r="AQ296">
        <f t="shared" si="488"/>
        <v>350</v>
      </c>
      <c r="AS296" s="5">
        <f t="shared" si="460"/>
        <v>2.8571428571428572</v>
      </c>
      <c r="AT296" s="5">
        <f t="shared" si="489"/>
        <v>1.3185396136645908</v>
      </c>
      <c r="AU296" s="5">
        <f t="shared" si="423"/>
        <v>1.5386032434782664</v>
      </c>
      <c r="AV296" s="5"/>
      <c r="AW296" s="177">
        <f t="shared" si="424"/>
        <v>0.46148886478260676</v>
      </c>
      <c r="AX296" s="177"/>
      <c r="BA296" s="469">
        <f t="shared" si="490"/>
        <v>16.399012161831713</v>
      </c>
      <c r="BB296" s="469">
        <f t="shared" si="491"/>
        <v>23.676224159705487</v>
      </c>
      <c r="BC296" s="5">
        <f t="shared" si="422"/>
        <v>1.5052589007403476</v>
      </c>
      <c r="BD296" s="469">
        <f t="shared" si="492"/>
        <v>0</v>
      </c>
      <c r="CD296" s="576">
        <f t="shared" si="493"/>
        <v>-50</v>
      </c>
      <c r="CE296">
        <f t="shared" si="494"/>
        <v>-50</v>
      </c>
    </row>
    <row r="297" spans="5:83" x14ac:dyDescent="0.25">
      <c r="E297" s="174">
        <v>80</v>
      </c>
      <c r="F297" s="221">
        <f t="shared" si="495"/>
        <v>0.8</v>
      </c>
      <c r="G297" s="221"/>
      <c r="H297" s="221">
        <f t="shared" si="462"/>
        <v>12</v>
      </c>
      <c r="I297" s="555">
        <f t="shared" si="463"/>
        <v>17</v>
      </c>
      <c r="J297" s="451">
        <f t="shared" si="464"/>
        <v>23.85</v>
      </c>
      <c r="K297" s="451">
        <f t="shared" si="465"/>
        <v>40.85</v>
      </c>
      <c r="L297" s="451"/>
      <c r="M297" s="221">
        <f t="shared" si="466"/>
        <v>0.58384332925336602</v>
      </c>
      <c r="N297" s="176">
        <f t="shared" si="467"/>
        <v>19.329593023255811</v>
      </c>
      <c r="O297" s="176">
        <f t="shared" si="459"/>
        <v>12</v>
      </c>
      <c r="P297" s="221">
        <f t="shared" si="468"/>
        <v>1.2886395348837207</v>
      </c>
      <c r="Q297" s="221">
        <f t="shared" si="469"/>
        <v>15</v>
      </c>
      <c r="R297" s="221"/>
      <c r="S297" s="176">
        <f t="shared" si="470"/>
        <v>30.377158250478868</v>
      </c>
      <c r="T297" s="176">
        <f t="shared" si="471"/>
        <v>15</v>
      </c>
      <c r="U297" s="221">
        <f t="shared" si="472"/>
        <v>2.5453200147983726</v>
      </c>
      <c r="V297" s="221">
        <f t="shared" si="473"/>
        <v>1.048072947269918</v>
      </c>
      <c r="W297" s="221">
        <f t="shared" si="474"/>
        <v>0.74705409239365228</v>
      </c>
      <c r="X297" s="201">
        <f t="shared" si="475"/>
        <v>350</v>
      </c>
      <c r="Y297" s="451">
        <f t="shared" si="461"/>
        <v>350</v>
      </c>
      <c r="AA297" s="221">
        <f t="shared" si="476"/>
        <v>4.0511577948192743</v>
      </c>
      <c r="AB297" s="177">
        <f t="shared" si="477"/>
        <v>1.1890190592760972</v>
      </c>
      <c r="AC297" s="177">
        <f t="shared" si="478"/>
        <v>1.2644372554209482</v>
      </c>
      <c r="AD297" s="177"/>
      <c r="AE297" s="177">
        <f t="shared" si="479"/>
        <v>0.24067085953878403</v>
      </c>
      <c r="AF297" s="559">
        <f t="shared" si="480"/>
        <v>5404.9460355230749</v>
      </c>
      <c r="AG297" s="542">
        <f t="shared" si="481"/>
        <v>5.1804402515723262E-2</v>
      </c>
      <c r="AI297" s="177">
        <f t="shared" si="482"/>
        <v>3.2223707839706712</v>
      </c>
      <c r="AJ297" s="177">
        <f t="shared" si="483"/>
        <v>3.2223707839706712</v>
      </c>
      <c r="AK297" s="177">
        <f t="shared" si="484"/>
        <v>2.9795339140523494</v>
      </c>
      <c r="AM297" s="559">
        <f t="shared" si="485"/>
        <v>800</v>
      </c>
      <c r="AN297" s="469">
        <f t="shared" si="486"/>
        <v>350</v>
      </c>
      <c r="AP297">
        <f t="shared" si="487"/>
        <v>800</v>
      </c>
      <c r="AQ297">
        <f t="shared" si="488"/>
        <v>350</v>
      </c>
      <c r="AS297" s="5">
        <f t="shared" si="460"/>
        <v>2.8571428571428572</v>
      </c>
      <c r="AT297" s="5">
        <f t="shared" si="489"/>
        <v>1.3268585581055703</v>
      </c>
      <c r="AU297" s="5">
        <f t="shared" si="423"/>
        <v>1.5302842990372869</v>
      </c>
      <c r="AV297" s="5"/>
      <c r="AW297" s="177">
        <f t="shared" si="424"/>
        <v>0.4644004953369496</v>
      </c>
      <c r="AX297" s="177"/>
      <c r="BA297" s="469">
        <f t="shared" si="490"/>
        <v>16.399012161831713</v>
      </c>
      <c r="BB297" s="469">
        <f t="shared" si="491"/>
        <v>24.249036151596719</v>
      </c>
      <c r="BC297" s="5">
        <f t="shared" si="422"/>
        <v>1.5160711321731635</v>
      </c>
      <c r="BD297" s="469">
        <f t="shared" si="492"/>
        <v>0</v>
      </c>
      <c r="CD297" s="576">
        <f t="shared" si="493"/>
        <v>-50</v>
      </c>
      <c r="CE297">
        <f t="shared" si="494"/>
        <v>-50</v>
      </c>
    </row>
    <row r="298" spans="5:83" x14ac:dyDescent="0.25">
      <c r="E298" s="174">
        <v>81</v>
      </c>
      <c r="F298" s="221">
        <f t="shared" si="495"/>
        <v>0.81</v>
      </c>
      <c r="G298" s="221"/>
      <c r="H298" s="221">
        <f t="shared" si="462"/>
        <v>12.15</v>
      </c>
      <c r="I298" s="555">
        <f t="shared" si="463"/>
        <v>17</v>
      </c>
      <c r="J298" s="451">
        <f t="shared" si="464"/>
        <v>23.85</v>
      </c>
      <c r="K298" s="451">
        <f t="shared" si="465"/>
        <v>40.85</v>
      </c>
      <c r="L298" s="451"/>
      <c r="M298" s="221">
        <f t="shared" si="466"/>
        <v>0.58384332925336602</v>
      </c>
      <c r="N298" s="176">
        <f t="shared" si="467"/>
        <v>19.329593023255811</v>
      </c>
      <c r="O298" s="176">
        <f t="shared" si="459"/>
        <v>12.15</v>
      </c>
      <c r="P298" s="221">
        <f t="shared" si="468"/>
        <v>1.2886395348837207</v>
      </c>
      <c r="Q298" s="221">
        <f t="shared" si="469"/>
        <v>15</v>
      </c>
      <c r="R298" s="221"/>
      <c r="S298" s="176">
        <f t="shared" si="470"/>
        <v>29.871597955281324</v>
      </c>
      <c r="T298" s="176">
        <f t="shared" si="471"/>
        <v>15</v>
      </c>
      <c r="U298" s="221">
        <f t="shared" si="472"/>
        <v>2.5771365149833523</v>
      </c>
      <c r="V298" s="221">
        <f t="shared" si="473"/>
        <v>1.0611738591107922</v>
      </c>
      <c r="W298" s="221">
        <f t="shared" si="474"/>
        <v>0.756392268548573</v>
      </c>
      <c r="X298" s="201">
        <f t="shared" si="475"/>
        <v>350</v>
      </c>
      <c r="Y298" s="451">
        <f t="shared" si="461"/>
        <v>350</v>
      </c>
      <c r="AA298" s="221">
        <f t="shared" si="476"/>
        <v>4.0511577948192743</v>
      </c>
      <c r="AB298" s="177">
        <f t="shared" si="477"/>
        <v>1.1890190592760972</v>
      </c>
      <c r="AC298" s="177">
        <f t="shared" si="478"/>
        <v>1.2644372554209482</v>
      </c>
      <c r="AD298" s="177"/>
      <c r="AE298" s="177">
        <f t="shared" si="479"/>
        <v>0.24067085953878403</v>
      </c>
      <c r="AF298" s="559">
        <f t="shared" si="480"/>
        <v>5472.5078609671127</v>
      </c>
      <c r="AG298" s="542">
        <f t="shared" si="481"/>
        <v>5.1804402515723262E-2</v>
      </c>
      <c r="AI298" s="177">
        <f t="shared" si="482"/>
        <v>3.2424480547504699</v>
      </c>
      <c r="AJ298" s="177">
        <f t="shared" si="483"/>
        <v>3.2424480547504699</v>
      </c>
      <c r="AK298" s="177">
        <f t="shared" si="484"/>
        <v>2.9944059664818301</v>
      </c>
      <c r="AM298" s="559">
        <f t="shared" si="485"/>
        <v>810</v>
      </c>
      <c r="AN298" s="469">
        <f t="shared" si="486"/>
        <v>350</v>
      </c>
      <c r="AP298">
        <f t="shared" si="487"/>
        <v>810</v>
      </c>
      <c r="AQ298">
        <f t="shared" si="488"/>
        <v>350</v>
      </c>
      <c r="AS298" s="5">
        <f t="shared" si="460"/>
        <v>2.8571428571428572</v>
      </c>
      <c r="AT298" s="5">
        <f t="shared" si="489"/>
        <v>1.3351256696031346</v>
      </c>
      <c r="AU298" s="5">
        <f t="shared" si="423"/>
        <v>1.5220171875397226</v>
      </c>
      <c r="AV298" s="5"/>
      <c r="AW298" s="177">
        <f t="shared" si="424"/>
        <v>0.46729398436109709</v>
      </c>
      <c r="AX298" s="177"/>
      <c r="BA298" s="469">
        <f t="shared" si="490"/>
        <v>16.399012161831713</v>
      </c>
      <c r="BB298" s="469">
        <f t="shared" si="491"/>
        <v>24.828675967285321</v>
      </c>
      <c r="BC298" s="5">
        <f t="shared" ref="BC298:BC317" si="496">H298/Efficiency/I298*AU298/Vinripple1</f>
        <v>1.5267293150553254</v>
      </c>
      <c r="BD298" s="469">
        <f t="shared" si="492"/>
        <v>0</v>
      </c>
      <c r="CD298" s="576">
        <f t="shared" si="493"/>
        <v>-50</v>
      </c>
      <c r="CE298">
        <f t="shared" si="494"/>
        <v>-50</v>
      </c>
    </row>
    <row r="299" spans="5:83" x14ac:dyDescent="0.25">
      <c r="E299" s="174">
        <v>82</v>
      </c>
      <c r="F299" s="221">
        <f t="shared" si="495"/>
        <v>0.82</v>
      </c>
      <c r="G299" s="221"/>
      <c r="H299" s="221">
        <f t="shared" si="462"/>
        <v>12.299999999999999</v>
      </c>
      <c r="I299" s="555">
        <f t="shared" si="463"/>
        <v>17</v>
      </c>
      <c r="J299" s="451">
        <f t="shared" si="464"/>
        <v>23.85</v>
      </c>
      <c r="K299" s="451">
        <f t="shared" si="465"/>
        <v>40.85</v>
      </c>
      <c r="L299" s="451"/>
      <c r="M299" s="221">
        <f t="shared" si="466"/>
        <v>0.58384332925336602</v>
      </c>
      <c r="N299" s="176">
        <f t="shared" si="467"/>
        <v>19.329593023255811</v>
      </c>
      <c r="O299" s="176">
        <f t="shared" si="459"/>
        <v>12.299999999999999</v>
      </c>
      <c r="P299" s="221">
        <f t="shared" si="468"/>
        <v>1.2886395348837207</v>
      </c>
      <c r="Q299" s="221">
        <f t="shared" si="469"/>
        <v>15</v>
      </c>
      <c r="R299" s="221"/>
      <c r="S299" s="176">
        <f t="shared" si="470"/>
        <v>29.378538931967125</v>
      </c>
      <c r="T299" s="176">
        <f t="shared" si="471"/>
        <v>15</v>
      </c>
      <c r="U299" s="221">
        <f t="shared" si="472"/>
        <v>2.6089530151683316</v>
      </c>
      <c r="V299" s="221">
        <f t="shared" si="473"/>
        <v>1.074274770951666</v>
      </c>
      <c r="W299" s="221">
        <f t="shared" si="474"/>
        <v>0.7657304447034935</v>
      </c>
      <c r="X299" s="201">
        <f t="shared" si="475"/>
        <v>350</v>
      </c>
      <c r="Y299" s="451">
        <f t="shared" si="461"/>
        <v>350</v>
      </c>
      <c r="AA299" s="221">
        <f t="shared" si="476"/>
        <v>4.0511577948192743</v>
      </c>
      <c r="AB299" s="177">
        <f t="shared" si="477"/>
        <v>1.1890190592760972</v>
      </c>
      <c r="AC299" s="177">
        <f t="shared" si="478"/>
        <v>1.2644372554209482</v>
      </c>
      <c r="AD299" s="177"/>
      <c r="AE299" s="177">
        <f t="shared" si="479"/>
        <v>0.24067085953878403</v>
      </c>
      <c r="AF299" s="559">
        <f t="shared" si="480"/>
        <v>5540.0696864111505</v>
      </c>
      <c r="AG299" s="542">
        <f t="shared" si="481"/>
        <v>5.1804402515723262E-2</v>
      </c>
      <c r="AI299" s="177">
        <f t="shared" si="482"/>
        <v>3.2624017695744421</v>
      </c>
      <c r="AJ299" s="177">
        <f t="shared" si="483"/>
        <v>3.2624017695744421</v>
      </c>
      <c r="AK299" s="177">
        <f t="shared" si="484"/>
        <v>3.0091864959810684</v>
      </c>
      <c r="AM299" s="559">
        <f t="shared" si="485"/>
        <v>820</v>
      </c>
      <c r="AN299" s="469">
        <f t="shared" si="486"/>
        <v>350</v>
      </c>
      <c r="AP299">
        <f t="shared" si="487"/>
        <v>820</v>
      </c>
      <c r="AQ299">
        <f t="shared" si="488"/>
        <v>350</v>
      </c>
      <c r="AS299" s="5">
        <f t="shared" si="460"/>
        <v>2.8571428571428572</v>
      </c>
      <c r="AT299" s="5">
        <f t="shared" si="489"/>
        <v>1.3433419051188877</v>
      </c>
      <c r="AU299" s="5">
        <f t="shared" ref="AU299:AU317" si="497">AS299-AT299</f>
        <v>1.5138009520239695</v>
      </c>
      <c r="AV299" s="5"/>
      <c r="AW299" s="177">
        <f t="shared" ref="AW299:AW317" si="498">AT299/AS299</f>
        <v>0.47016966679161071</v>
      </c>
      <c r="AX299" s="177"/>
      <c r="BA299" s="469">
        <f t="shared" si="490"/>
        <v>16.399012161831713</v>
      </c>
      <c r="BB299" s="469">
        <f t="shared" si="491"/>
        <v>25.415143606771295</v>
      </c>
      <c r="BC299" s="5">
        <f t="shared" si="496"/>
        <v>1.5372344032936904</v>
      </c>
      <c r="BD299" s="469">
        <f t="shared" si="492"/>
        <v>0</v>
      </c>
      <c r="CD299" s="576">
        <f t="shared" si="493"/>
        <v>-50</v>
      </c>
      <c r="CE299">
        <f t="shared" si="494"/>
        <v>-50</v>
      </c>
    </row>
    <row r="300" spans="5:83" x14ac:dyDescent="0.25">
      <c r="E300" s="174">
        <v>83</v>
      </c>
      <c r="F300" s="221">
        <f t="shared" si="495"/>
        <v>0.83</v>
      </c>
      <c r="G300" s="221"/>
      <c r="H300" s="221">
        <f t="shared" si="462"/>
        <v>12.45</v>
      </c>
      <c r="I300" s="555">
        <f t="shared" si="463"/>
        <v>17</v>
      </c>
      <c r="J300" s="451">
        <f t="shared" si="464"/>
        <v>23.85</v>
      </c>
      <c r="K300" s="451">
        <f t="shared" si="465"/>
        <v>40.85</v>
      </c>
      <c r="L300" s="451"/>
      <c r="M300" s="221">
        <f t="shared" si="466"/>
        <v>0.58384332925336602</v>
      </c>
      <c r="N300" s="176">
        <f t="shared" si="467"/>
        <v>19.329593023255811</v>
      </c>
      <c r="O300" s="176">
        <f t="shared" si="459"/>
        <v>12.45</v>
      </c>
      <c r="P300" s="221">
        <f t="shared" si="468"/>
        <v>1.2886395348837207</v>
      </c>
      <c r="Q300" s="221">
        <f t="shared" si="469"/>
        <v>15</v>
      </c>
      <c r="R300" s="221"/>
      <c r="S300" s="176">
        <f t="shared" si="470"/>
        <v>28.897531122528669</v>
      </c>
      <c r="T300" s="176">
        <f t="shared" si="471"/>
        <v>15</v>
      </c>
      <c r="U300" s="221">
        <f t="shared" si="472"/>
        <v>2.6407695153533113</v>
      </c>
      <c r="V300" s="221">
        <f t="shared" si="473"/>
        <v>1.0873756827925398</v>
      </c>
      <c r="W300" s="221">
        <f t="shared" si="474"/>
        <v>0.7750686208584141</v>
      </c>
      <c r="X300" s="201">
        <f t="shared" si="475"/>
        <v>350</v>
      </c>
      <c r="Y300" s="451">
        <f t="shared" si="461"/>
        <v>350</v>
      </c>
      <c r="AA300" s="221">
        <f t="shared" si="476"/>
        <v>4.0511577948192743</v>
      </c>
      <c r="AB300" s="177">
        <f t="shared" si="477"/>
        <v>1.1890190592760972</v>
      </c>
      <c r="AC300" s="177">
        <f t="shared" si="478"/>
        <v>1.2644372554209482</v>
      </c>
      <c r="AD300" s="177"/>
      <c r="AE300" s="177">
        <f t="shared" si="479"/>
        <v>0.24067085953878403</v>
      </c>
      <c r="AF300" s="559">
        <f t="shared" si="480"/>
        <v>5607.6315118551884</v>
      </c>
      <c r="AG300" s="542">
        <f t="shared" si="481"/>
        <v>5.1804402515723262E-2</v>
      </c>
      <c r="AI300" s="177">
        <f t="shared" si="482"/>
        <v>3.2822341818477545</v>
      </c>
      <c r="AJ300" s="177">
        <f t="shared" si="483"/>
        <v>3.2822341818477545</v>
      </c>
      <c r="AK300" s="177">
        <f t="shared" si="484"/>
        <v>3.0238771717390773</v>
      </c>
      <c r="AM300" s="559">
        <f t="shared" si="485"/>
        <v>830</v>
      </c>
      <c r="AN300" s="469">
        <f t="shared" si="486"/>
        <v>350</v>
      </c>
      <c r="AP300">
        <f t="shared" si="487"/>
        <v>830</v>
      </c>
      <c r="AQ300">
        <f t="shared" si="488"/>
        <v>350</v>
      </c>
      <c r="AS300" s="5">
        <f t="shared" si="460"/>
        <v>2.8571428571428572</v>
      </c>
      <c r="AT300" s="5">
        <f t="shared" si="489"/>
        <v>1.3515081925255461</v>
      </c>
      <c r="AU300" s="5">
        <f t="shared" si="497"/>
        <v>1.5056346646173111</v>
      </c>
      <c r="AV300" s="5"/>
      <c r="AW300" s="177">
        <f t="shared" si="498"/>
        <v>0.47302786738394115</v>
      </c>
      <c r="AX300" s="177"/>
      <c r="BA300" s="469">
        <f t="shared" si="490"/>
        <v>16.399012161831713</v>
      </c>
      <c r="BB300" s="469">
        <f t="shared" si="491"/>
        <v>26.008439070054646</v>
      </c>
      <c r="BC300" s="5">
        <f t="shared" si="496"/>
        <v>1.5475873332908583</v>
      </c>
      <c r="BD300" s="469">
        <f t="shared" si="492"/>
        <v>0</v>
      </c>
      <c r="CD300" s="576">
        <f t="shared" si="493"/>
        <v>-50</v>
      </c>
      <c r="CE300">
        <f t="shared" si="494"/>
        <v>-50</v>
      </c>
    </row>
    <row r="301" spans="5:83" x14ac:dyDescent="0.25">
      <c r="E301" s="174">
        <v>84</v>
      </c>
      <c r="F301" s="221">
        <f t="shared" si="495"/>
        <v>0.84</v>
      </c>
      <c r="G301" s="221"/>
      <c r="H301" s="221">
        <f t="shared" si="462"/>
        <v>12.6</v>
      </c>
      <c r="I301" s="555">
        <f t="shared" si="463"/>
        <v>17</v>
      </c>
      <c r="J301" s="451">
        <f t="shared" si="464"/>
        <v>23.85</v>
      </c>
      <c r="K301" s="451">
        <f t="shared" si="465"/>
        <v>40.85</v>
      </c>
      <c r="L301" s="451"/>
      <c r="M301" s="221">
        <f t="shared" si="466"/>
        <v>0.58384332925336602</v>
      </c>
      <c r="N301" s="176">
        <f t="shared" si="467"/>
        <v>19.329593023255811</v>
      </c>
      <c r="O301" s="176">
        <f t="shared" si="459"/>
        <v>12.6</v>
      </c>
      <c r="P301" s="221">
        <f t="shared" si="468"/>
        <v>1.2886395348837207</v>
      </c>
      <c r="Q301" s="221">
        <f t="shared" si="469"/>
        <v>15</v>
      </c>
      <c r="R301" s="221"/>
      <c r="S301" s="176">
        <f t="shared" si="470"/>
        <v>28.428145919818572</v>
      </c>
      <c r="T301" s="176">
        <f t="shared" si="471"/>
        <v>15</v>
      </c>
      <c r="U301" s="221">
        <f t="shared" si="472"/>
        <v>2.672586015538291</v>
      </c>
      <c r="V301" s="221">
        <f t="shared" si="473"/>
        <v>1.1004765946334139</v>
      </c>
      <c r="W301" s="221">
        <f t="shared" si="474"/>
        <v>0.78440679701333482</v>
      </c>
      <c r="X301" s="201">
        <f t="shared" si="475"/>
        <v>350</v>
      </c>
      <c r="Y301" s="451">
        <f t="shared" si="461"/>
        <v>350</v>
      </c>
      <c r="AA301" s="221">
        <f t="shared" si="476"/>
        <v>4.0511577948192743</v>
      </c>
      <c r="AB301" s="177">
        <f t="shared" si="477"/>
        <v>1.1890190592760972</v>
      </c>
      <c r="AC301" s="177">
        <f t="shared" si="478"/>
        <v>1.2644372554209482</v>
      </c>
      <c r="AD301" s="177"/>
      <c r="AE301" s="177">
        <f t="shared" si="479"/>
        <v>0.24067085953878403</v>
      </c>
      <c r="AF301" s="559">
        <f t="shared" si="480"/>
        <v>5675.193337299228</v>
      </c>
      <c r="AG301" s="542">
        <f t="shared" si="481"/>
        <v>5.1804402515723262E-2</v>
      </c>
      <c r="AI301" s="177">
        <f t="shared" si="482"/>
        <v>3.3019474773014101</v>
      </c>
      <c r="AJ301" s="177">
        <f t="shared" si="483"/>
        <v>3.3019474773014101</v>
      </c>
      <c r="AK301" s="177">
        <f t="shared" si="484"/>
        <v>3.0384796128158595</v>
      </c>
      <c r="AM301" s="559">
        <f t="shared" si="485"/>
        <v>840</v>
      </c>
      <c r="AN301" s="469">
        <f t="shared" si="486"/>
        <v>350</v>
      </c>
      <c r="AP301">
        <f t="shared" si="487"/>
        <v>840</v>
      </c>
      <c r="AQ301">
        <f t="shared" si="488"/>
        <v>350</v>
      </c>
      <c r="AS301" s="5">
        <f t="shared" si="460"/>
        <v>2.8571428571428572</v>
      </c>
      <c r="AT301" s="5">
        <f t="shared" si="489"/>
        <v>1.3596254318299925</v>
      </c>
      <c r="AU301" s="5">
        <f t="shared" si="497"/>
        <v>1.4975174253128647</v>
      </c>
      <c r="AV301" s="5"/>
      <c r="AW301" s="177">
        <f t="shared" si="498"/>
        <v>0.47586890114049735</v>
      </c>
      <c r="AX301" s="177"/>
      <c r="BA301" s="469">
        <f t="shared" si="490"/>
        <v>16.399012161831713</v>
      </c>
      <c r="BB301" s="469">
        <f t="shared" si="491"/>
        <v>26.608562357135373</v>
      </c>
      <c r="BC301" s="5">
        <f t="shared" si="496"/>
        <v>1.5577890244740635</v>
      </c>
      <c r="BD301" s="469">
        <f t="shared" si="492"/>
        <v>0</v>
      </c>
      <c r="CD301" s="576">
        <f t="shared" si="493"/>
        <v>-50</v>
      </c>
      <c r="CE301">
        <f t="shared" si="494"/>
        <v>-50</v>
      </c>
    </row>
    <row r="302" spans="5:83" x14ac:dyDescent="0.25">
      <c r="E302" s="174">
        <v>85</v>
      </c>
      <c r="F302" s="221">
        <f t="shared" si="495"/>
        <v>0.85</v>
      </c>
      <c r="G302" s="221"/>
      <c r="H302" s="221">
        <f t="shared" si="462"/>
        <v>12.75</v>
      </c>
      <c r="I302" s="555">
        <f t="shared" si="463"/>
        <v>17</v>
      </c>
      <c r="J302" s="451">
        <f t="shared" si="464"/>
        <v>23.85</v>
      </c>
      <c r="K302" s="451">
        <f t="shared" si="465"/>
        <v>40.85</v>
      </c>
      <c r="L302" s="451"/>
      <c r="M302" s="221">
        <f t="shared" si="466"/>
        <v>0.58384332925336602</v>
      </c>
      <c r="N302" s="176">
        <f t="shared" si="467"/>
        <v>19.329593023255811</v>
      </c>
      <c r="O302" s="176">
        <f t="shared" si="459"/>
        <v>12.75</v>
      </c>
      <c r="P302" s="221">
        <f t="shared" si="468"/>
        <v>1.2886395348837207</v>
      </c>
      <c r="Q302" s="221">
        <f t="shared" si="469"/>
        <v>15</v>
      </c>
      <c r="R302" s="221"/>
      <c r="S302" s="176">
        <f t="shared" si="470"/>
        <v>27.969974905875564</v>
      </c>
      <c r="T302" s="176">
        <f t="shared" si="471"/>
        <v>15</v>
      </c>
      <c r="U302" s="221">
        <f t="shared" si="472"/>
        <v>2.7044025157232707</v>
      </c>
      <c r="V302" s="221">
        <f t="shared" si="473"/>
        <v>1.1135775064742881</v>
      </c>
      <c r="W302" s="221">
        <f t="shared" si="474"/>
        <v>0.79374497316825543</v>
      </c>
      <c r="X302" s="201">
        <f t="shared" si="475"/>
        <v>350</v>
      </c>
      <c r="Y302" s="451">
        <f t="shared" si="461"/>
        <v>350</v>
      </c>
      <c r="AA302" s="221">
        <f t="shared" si="476"/>
        <v>4.0511577948192743</v>
      </c>
      <c r="AB302" s="177">
        <f t="shared" si="477"/>
        <v>1.1890190592760972</v>
      </c>
      <c r="AC302" s="177">
        <f t="shared" si="478"/>
        <v>1.2644372554209482</v>
      </c>
      <c r="AD302" s="177"/>
      <c r="AE302" s="177">
        <f t="shared" si="479"/>
        <v>0.24067085953878403</v>
      </c>
      <c r="AF302" s="559">
        <f t="shared" si="480"/>
        <v>5742.7551627432658</v>
      </c>
      <c r="AG302" s="542">
        <f t="shared" si="481"/>
        <v>5.1804402515723262E-2</v>
      </c>
      <c r="AI302" s="177">
        <f t="shared" si="482"/>
        <v>3.3215437768038663</v>
      </c>
      <c r="AJ302" s="177">
        <f t="shared" si="483"/>
        <v>3.3215437768038663</v>
      </c>
      <c r="AK302" s="177">
        <f t="shared" si="484"/>
        <v>3.0529953902250861</v>
      </c>
      <c r="AM302" s="559">
        <f t="shared" si="485"/>
        <v>850</v>
      </c>
      <c r="AN302" s="469">
        <f t="shared" si="486"/>
        <v>350</v>
      </c>
      <c r="AP302">
        <f t="shared" si="487"/>
        <v>850</v>
      </c>
      <c r="AQ302">
        <f t="shared" si="488"/>
        <v>350</v>
      </c>
      <c r="AS302" s="5">
        <f t="shared" si="460"/>
        <v>2.8571428571428572</v>
      </c>
      <c r="AT302" s="5">
        <f t="shared" si="489"/>
        <v>1.3676944963310038</v>
      </c>
      <c r="AU302" s="5">
        <f t="shared" si="497"/>
        <v>1.4894483608118534</v>
      </c>
      <c r="AV302" s="5"/>
      <c r="AW302" s="177">
        <f t="shared" si="498"/>
        <v>0.47869307371585135</v>
      </c>
      <c r="AX302" s="177"/>
      <c r="BA302" s="469">
        <f t="shared" si="490"/>
        <v>16.399012161831713</v>
      </c>
      <c r="BB302" s="469">
        <f t="shared" si="491"/>
        <v>27.215513468013476</v>
      </c>
      <c r="BC302" s="5">
        <f t="shared" si="496"/>
        <v>1.5678403798019511</v>
      </c>
      <c r="BD302" s="469">
        <f t="shared" si="492"/>
        <v>0</v>
      </c>
      <c r="CD302" s="576">
        <f t="shared" si="493"/>
        <v>-50</v>
      </c>
      <c r="CE302">
        <f t="shared" si="494"/>
        <v>-50</v>
      </c>
    </row>
    <row r="303" spans="5:83" x14ac:dyDescent="0.25">
      <c r="E303" s="174">
        <v>86</v>
      </c>
      <c r="F303" s="221">
        <f t="shared" si="495"/>
        <v>0.86</v>
      </c>
      <c r="G303" s="221"/>
      <c r="H303" s="221">
        <f t="shared" si="462"/>
        <v>12.9</v>
      </c>
      <c r="I303" s="555">
        <f t="shared" si="463"/>
        <v>17</v>
      </c>
      <c r="J303" s="451">
        <f t="shared" si="464"/>
        <v>23.85</v>
      </c>
      <c r="K303" s="451">
        <f t="shared" si="465"/>
        <v>40.85</v>
      </c>
      <c r="L303" s="451"/>
      <c r="M303" s="221">
        <f t="shared" si="466"/>
        <v>0.58384332925336602</v>
      </c>
      <c r="N303" s="176">
        <f t="shared" si="467"/>
        <v>19.329593023255811</v>
      </c>
      <c r="O303" s="176">
        <f t="shared" si="459"/>
        <v>12.9</v>
      </c>
      <c r="P303" s="221">
        <f t="shared" si="468"/>
        <v>1.2886395348837207</v>
      </c>
      <c r="Q303" s="221">
        <f t="shared" si="469"/>
        <v>15</v>
      </c>
      <c r="R303" s="221"/>
      <c r="S303" s="176">
        <f t="shared" si="470"/>
        <v>27.522628678271808</v>
      </c>
      <c r="T303" s="176">
        <f t="shared" si="471"/>
        <v>15</v>
      </c>
      <c r="U303" s="221">
        <f t="shared" si="472"/>
        <v>2.7362190159082505</v>
      </c>
      <c r="V303" s="221">
        <f t="shared" si="473"/>
        <v>1.1266784183151619</v>
      </c>
      <c r="W303" s="221">
        <f t="shared" si="474"/>
        <v>0.80308314932317615</v>
      </c>
      <c r="X303" s="201">
        <f t="shared" si="475"/>
        <v>350</v>
      </c>
      <c r="Y303" s="451">
        <f t="shared" si="461"/>
        <v>350</v>
      </c>
      <c r="AA303" s="221">
        <f t="shared" si="476"/>
        <v>4.0511577948192743</v>
      </c>
      <c r="AB303" s="177">
        <f t="shared" si="477"/>
        <v>1.1890190592760972</v>
      </c>
      <c r="AC303" s="177">
        <f t="shared" si="478"/>
        <v>1.2644372554209482</v>
      </c>
      <c r="AD303" s="177"/>
      <c r="AE303" s="177">
        <f t="shared" si="479"/>
        <v>0.24067085953878403</v>
      </c>
      <c r="AF303" s="559">
        <f t="shared" si="480"/>
        <v>5810.3169881873046</v>
      </c>
      <c r="AG303" s="542">
        <f t="shared" si="481"/>
        <v>5.1804402515723262E-2</v>
      </c>
      <c r="AI303" s="177">
        <f t="shared" si="482"/>
        <v>3.3410251390242243</v>
      </c>
      <c r="AJ303" s="177">
        <f t="shared" si="483"/>
        <v>3.3410251390242243</v>
      </c>
      <c r="AK303" s="177">
        <f t="shared" si="484"/>
        <v>3.0674260289068327</v>
      </c>
      <c r="AM303" s="559">
        <f t="shared" si="485"/>
        <v>860</v>
      </c>
      <c r="AN303" s="469">
        <f t="shared" si="486"/>
        <v>350</v>
      </c>
      <c r="AP303">
        <f t="shared" si="487"/>
        <v>860</v>
      </c>
      <c r="AQ303">
        <f t="shared" si="488"/>
        <v>350</v>
      </c>
      <c r="AS303" s="5">
        <f t="shared" si="460"/>
        <v>2.8571428571428572</v>
      </c>
      <c r="AT303" s="5">
        <f t="shared" si="489"/>
        <v>1.3757162337158571</v>
      </c>
      <c r="AU303" s="5">
        <f t="shared" si="497"/>
        <v>1.4814266234270002</v>
      </c>
      <c r="AV303" s="5"/>
      <c r="AW303" s="177">
        <f t="shared" si="498"/>
        <v>0.48150068180054995</v>
      </c>
      <c r="AX303" s="177"/>
      <c r="BA303" s="469">
        <f t="shared" si="490"/>
        <v>16.399012161831713</v>
      </c>
      <c r="BB303" s="469">
        <f t="shared" si="491"/>
        <v>27.829292402688949</v>
      </c>
      <c r="BC303" s="5">
        <f t="shared" si="496"/>
        <v>1.5777422862504276</v>
      </c>
      <c r="BD303" s="469">
        <f t="shared" si="492"/>
        <v>0</v>
      </c>
      <c r="CD303" s="576">
        <f t="shared" si="493"/>
        <v>-50</v>
      </c>
      <c r="CE303">
        <f t="shared" si="494"/>
        <v>-50</v>
      </c>
    </row>
    <row r="304" spans="5:83" x14ac:dyDescent="0.25">
      <c r="E304" s="174">
        <v>87</v>
      </c>
      <c r="F304" s="221">
        <f t="shared" si="495"/>
        <v>0.87</v>
      </c>
      <c r="G304" s="221"/>
      <c r="H304" s="221">
        <f t="shared" si="462"/>
        <v>13.05</v>
      </c>
      <c r="I304" s="555">
        <f t="shared" si="463"/>
        <v>17</v>
      </c>
      <c r="J304" s="451">
        <f t="shared" si="464"/>
        <v>23.85</v>
      </c>
      <c r="K304" s="451">
        <f t="shared" si="465"/>
        <v>40.85</v>
      </c>
      <c r="L304" s="451"/>
      <c r="M304" s="221">
        <f t="shared" si="466"/>
        <v>0.58384332925336602</v>
      </c>
      <c r="N304" s="176">
        <f t="shared" si="467"/>
        <v>19.329593023255811</v>
      </c>
      <c r="O304" s="176">
        <f t="shared" si="459"/>
        <v>13.05</v>
      </c>
      <c r="P304" s="221">
        <f t="shared" si="468"/>
        <v>1.2886395348837207</v>
      </c>
      <c r="Q304" s="221">
        <f t="shared" si="469"/>
        <v>15</v>
      </c>
      <c r="R304" s="221"/>
      <c r="S304" s="176">
        <f t="shared" si="470"/>
        <v>27.085735757399021</v>
      </c>
      <c r="T304" s="176">
        <f t="shared" si="471"/>
        <v>15</v>
      </c>
      <c r="U304" s="221">
        <f t="shared" si="472"/>
        <v>2.7680355160932302</v>
      </c>
      <c r="V304" s="221">
        <f t="shared" si="473"/>
        <v>1.1397793301560359</v>
      </c>
      <c r="W304" s="221">
        <f t="shared" si="474"/>
        <v>0.81242132547809698</v>
      </c>
      <c r="X304" s="201">
        <f t="shared" si="475"/>
        <v>350</v>
      </c>
      <c r="Y304" s="451">
        <f t="shared" si="461"/>
        <v>350</v>
      </c>
      <c r="AA304" s="221">
        <f t="shared" si="476"/>
        <v>4.0511577948192743</v>
      </c>
      <c r="AB304" s="177">
        <f t="shared" si="477"/>
        <v>1.1890190592760972</v>
      </c>
      <c r="AC304" s="177">
        <f t="shared" si="478"/>
        <v>1.2644372554209482</v>
      </c>
      <c r="AD304" s="177"/>
      <c r="AE304" s="177">
        <f t="shared" si="479"/>
        <v>0.24067085953878403</v>
      </c>
      <c r="AF304" s="559">
        <f t="shared" si="480"/>
        <v>5877.8788136313424</v>
      </c>
      <c r="AG304" s="542">
        <f t="shared" si="481"/>
        <v>5.1804402515723262E-2</v>
      </c>
      <c r="AI304" s="177">
        <f t="shared" si="482"/>
        <v>3.3603935629564563</v>
      </c>
      <c r="AJ304" s="177">
        <f t="shared" si="483"/>
        <v>3.3603935629564563</v>
      </c>
      <c r="AK304" s="177">
        <f t="shared" si="484"/>
        <v>3.0817730095973754</v>
      </c>
      <c r="AM304" s="559">
        <f t="shared" si="485"/>
        <v>870</v>
      </c>
      <c r="AN304" s="469">
        <f t="shared" si="486"/>
        <v>350</v>
      </c>
      <c r="AP304">
        <f t="shared" si="487"/>
        <v>870</v>
      </c>
      <c r="AQ304">
        <f t="shared" si="488"/>
        <v>350</v>
      </c>
      <c r="AS304" s="5">
        <f t="shared" si="460"/>
        <v>2.8571428571428572</v>
      </c>
      <c r="AT304" s="5">
        <f t="shared" si="489"/>
        <v>1.3836914670997171</v>
      </c>
      <c r="AU304" s="5">
        <f t="shared" si="497"/>
        <v>1.4734513900431401</v>
      </c>
      <c r="AV304" s="5"/>
      <c r="AW304" s="177">
        <f t="shared" si="498"/>
        <v>0.48429201348490097</v>
      </c>
      <c r="AX304" s="177"/>
      <c r="BA304" s="469">
        <f t="shared" si="490"/>
        <v>16.399012161831713</v>
      </c>
      <c r="BB304" s="469">
        <f t="shared" si="491"/>
        <v>28.449899161161799</v>
      </c>
      <c r="BC304" s="5">
        <f t="shared" si="496"/>
        <v>1.5874956152786774</v>
      </c>
      <c r="BD304" s="469">
        <f t="shared" si="492"/>
        <v>0</v>
      </c>
      <c r="CD304" s="576">
        <f t="shared" si="493"/>
        <v>-50</v>
      </c>
      <c r="CE304">
        <f t="shared" si="494"/>
        <v>-50</v>
      </c>
    </row>
    <row r="305" spans="5:83" x14ac:dyDescent="0.25">
      <c r="E305" s="174">
        <v>88</v>
      </c>
      <c r="F305" s="221">
        <f t="shared" si="495"/>
        <v>0.88</v>
      </c>
      <c r="G305" s="221"/>
      <c r="H305" s="221">
        <f t="shared" si="462"/>
        <v>13.2</v>
      </c>
      <c r="I305" s="555">
        <f t="shared" si="463"/>
        <v>17</v>
      </c>
      <c r="J305" s="451">
        <f t="shared" si="464"/>
        <v>23.85</v>
      </c>
      <c r="K305" s="451">
        <f t="shared" si="465"/>
        <v>40.85</v>
      </c>
      <c r="L305" s="451"/>
      <c r="M305" s="221">
        <f t="shared" si="466"/>
        <v>0.58384332925336602</v>
      </c>
      <c r="N305" s="176">
        <f t="shared" si="467"/>
        <v>19.329593023255811</v>
      </c>
      <c r="O305" s="176">
        <f t="shared" si="459"/>
        <v>13.2</v>
      </c>
      <c r="P305" s="221">
        <f t="shared" si="468"/>
        <v>1.2886395348837207</v>
      </c>
      <c r="Q305" s="221">
        <f t="shared" si="469"/>
        <v>15</v>
      </c>
      <c r="R305" s="221"/>
      <c r="S305" s="176">
        <f t="shared" si="470"/>
        <v>26.658941568255127</v>
      </c>
      <c r="T305" s="176">
        <f t="shared" si="471"/>
        <v>15</v>
      </c>
      <c r="U305" s="221">
        <f t="shared" si="472"/>
        <v>2.7998520162782095</v>
      </c>
      <c r="V305" s="221">
        <f t="shared" si="473"/>
        <v>1.1528802419969097</v>
      </c>
      <c r="W305" s="221">
        <f t="shared" si="474"/>
        <v>0.82175950163301736</v>
      </c>
      <c r="X305" s="201">
        <f t="shared" si="475"/>
        <v>350</v>
      </c>
      <c r="Y305" s="451">
        <f t="shared" si="461"/>
        <v>350</v>
      </c>
      <c r="AA305" s="221">
        <f t="shared" si="476"/>
        <v>4.0511577948192743</v>
      </c>
      <c r="AB305" s="177">
        <f t="shared" si="477"/>
        <v>1.1890190592760972</v>
      </c>
      <c r="AC305" s="177">
        <f t="shared" si="478"/>
        <v>1.2644372554209482</v>
      </c>
      <c r="AD305" s="177"/>
      <c r="AE305" s="177">
        <f t="shared" si="479"/>
        <v>0.24067085953878403</v>
      </c>
      <c r="AF305" s="559">
        <f t="shared" si="480"/>
        <v>5945.440639075382</v>
      </c>
      <c r="AG305" s="542">
        <f t="shared" si="481"/>
        <v>5.1804402515723262E-2</v>
      </c>
      <c r="AI305" s="177">
        <f t="shared" si="482"/>
        <v>3.3796509903134275</v>
      </c>
      <c r="AJ305" s="177">
        <f t="shared" si="483"/>
        <v>3.3796509903134275</v>
      </c>
      <c r="AK305" s="177">
        <f t="shared" si="484"/>
        <v>3.096037770602539</v>
      </c>
      <c r="AM305" s="559">
        <f t="shared" si="485"/>
        <v>880</v>
      </c>
      <c r="AN305" s="469">
        <f t="shared" si="486"/>
        <v>350</v>
      </c>
      <c r="AP305">
        <f t="shared" si="487"/>
        <v>880</v>
      </c>
      <c r="AQ305">
        <f t="shared" si="488"/>
        <v>350</v>
      </c>
      <c r="AS305" s="5">
        <f t="shared" si="460"/>
        <v>2.8571428571428572</v>
      </c>
      <c r="AT305" s="5">
        <f t="shared" si="489"/>
        <v>1.3916209960114112</v>
      </c>
      <c r="AU305" s="5">
        <f t="shared" si="497"/>
        <v>1.465521861131446</v>
      </c>
      <c r="AV305" s="5"/>
      <c r="AW305" s="177">
        <f t="shared" si="498"/>
        <v>0.48706734860399392</v>
      </c>
      <c r="AX305" s="177"/>
      <c r="BA305" s="469">
        <f t="shared" si="490"/>
        <v>16.399012161831713</v>
      </c>
      <c r="BB305" s="469">
        <f t="shared" si="491"/>
        <v>29.077333743432025</v>
      </c>
      <c r="BC305" s="5">
        <f t="shared" si="496"/>
        <v>1.5971012232763746</v>
      </c>
      <c r="BD305" s="469">
        <f t="shared" si="492"/>
        <v>0</v>
      </c>
      <c r="CD305" s="576">
        <f t="shared" si="493"/>
        <v>-50</v>
      </c>
      <c r="CE305">
        <f t="shared" si="494"/>
        <v>-50</v>
      </c>
    </row>
    <row r="306" spans="5:83" x14ac:dyDescent="0.25">
      <c r="E306" s="174">
        <v>89</v>
      </c>
      <c r="F306" s="221">
        <f t="shared" si="495"/>
        <v>0.89</v>
      </c>
      <c r="G306" s="221"/>
      <c r="H306" s="221">
        <f t="shared" si="462"/>
        <v>13.35</v>
      </c>
      <c r="I306" s="555">
        <f t="shared" si="463"/>
        <v>17</v>
      </c>
      <c r="J306" s="451">
        <f t="shared" si="464"/>
        <v>23.85</v>
      </c>
      <c r="K306" s="451">
        <f t="shared" si="465"/>
        <v>40.85</v>
      </c>
      <c r="L306" s="451"/>
      <c r="M306" s="221">
        <f t="shared" si="466"/>
        <v>0.58384332925336602</v>
      </c>
      <c r="N306" s="176">
        <f t="shared" si="467"/>
        <v>19.329593023255811</v>
      </c>
      <c r="O306" s="176">
        <f t="shared" si="459"/>
        <v>13.35</v>
      </c>
      <c r="P306" s="221">
        <f t="shared" si="468"/>
        <v>1.2886395348837207</v>
      </c>
      <c r="Q306" s="221">
        <f t="shared" si="469"/>
        <v>15</v>
      </c>
      <c r="R306" s="221"/>
      <c r="S306" s="176">
        <f t="shared" si="470"/>
        <v>26.241907490871448</v>
      </c>
      <c r="T306" s="176">
        <f t="shared" si="471"/>
        <v>15</v>
      </c>
      <c r="U306" s="221">
        <f t="shared" si="472"/>
        <v>2.8316685164631892</v>
      </c>
      <c r="V306" s="221">
        <f t="shared" si="473"/>
        <v>1.1659811538377836</v>
      </c>
      <c r="W306" s="221">
        <f t="shared" si="474"/>
        <v>0.83109767778793797</v>
      </c>
      <c r="X306" s="201">
        <f t="shared" si="475"/>
        <v>350</v>
      </c>
      <c r="Y306" s="451">
        <f t="shared" si="461"/>
        <v>350</v>
      </c>
      <c r="AA306" s="221">
        <f t="shared" si="476"/>
        <v>4.0511577948192743</v>
      </c>
      <c r="AB306" s="177">
        <f t="shared" si="477"/>
        <v>1.1890190592760972</v>
      </c>
      <c r="AC306" s="177">
        <f t="shared" si="478"/>
        <v>1.2644372554209482</v>
      </c>
      <c r="AD306" s="177"/>
      <c r="AE306" s="177">
        <f t="shared" si="479"/>
        <v>0.24067085953878403</v>
      </c>
      <c r="AF306" s="559">
        <f t="shared" si="480"/>
        <v>6013.0024645194198</v>
      </c>
      <c r="AG306" s="542">
        <f t="shared" si="481"/>
        <v>5.1804402515723262E-2</v>
      </c>
      <c r="AI306" s="177">
        <f t="shared" si="482"/>
        <v>3.398799307798841</v>
      </c>
      <c r="AJ306" s="177">
        <f t="shared" si="483"/>
        <v>3.398799307798841</v>
      </c>
      <c r="AK306" s="177">
        <f t="shared" si="484"/>
        <v>3.1102217094806228</v>
      </c>
      <c r="AM306" s="559">
        <f t="shared" si="485"/>
        <v>890</v>
      </c>
      <c r="AN306" s="469">
        <f t="shared" si="486"/>
        <v>350</v>
      </c>
      <c r="AP306">
        <f t="shared" si="487"/>
        <v>890</v>
      </c>
      <c r="AQ306">
        <f t="shared" si="488"/>
        <v>350</v>
      </c>
      <c r="AS306" s="5">
        <f t="shared" si="460"/>
        <v>2.8571428571428572</v>
      </c>
      <c r="AT306" s="5">
        <f t="shared" si="489"/>
        <v>1.3995055973289343</v>
      </c>
      <c r="AU306" s="5">
        <f t="shared" si="497"/>
        <v>1.4576372598139229</v>
      </c>
      <c r="AV306" s="5"/>
      <c r="AW306" s="177">
        <f t="shared" si="498"/>
        <v>0.48982695906512702</v>
      </c>
      <c r="AX306" s="177"/>
      <c r="BA306" s="469">
        <f t="shared" si="490"/>
        <v>16.399012161831713</v>
      </c>
      <c r="BB306" s="469">
        <f t="shared" si="491"/>
        <v>29.71159614949962</v>
      </c>
      <c r="BC306" s="5">
        <f t="shared" si="496"/>
        <v>1.6065599519930542</v>
      </c>
      <c r="BD306" s="469">
        <f t="shared" si="492"/>
        <v>0</v>
      </c>
      <c r="CD306" s="576">
        <f t="shared" si="493"/>
        <v>-50</v>
      </c>
      <c r="CE306">
        <f t="shared" si="494"/>
        <v>-50</v>
      </c>
    </row>
    <row r="307" spans="5:83" x14ac:dyDescent="0.25">
      <c r="E307" s="174">
        <v>90</v>
      </c>
      <c r="F307" s="221">
        <f t="shared" si="495"/>
        <v>0.9</v>
      </c>
      <c r="G307" s="221"/>
      <c r="H307" s="221">
        <f t="shared" si="462"/>
        <v>13.5</v>
      </c>
      <c r="I307" s="555">
        <f t="shared" si="463"/>
        <v>17</v>
      </c>
      <c r="J307" s="451">
        <f t="shared" si="464"/>
        <v>23.85</v>
      </c>
      <c r="K307" s="451">
        <f t="shared" si="465"/>
        <v>40.85</v>
      </c>
      <c r="L307" s="451"/>
      <c r="M307" s="221">
        <f t="shared" si="466"/>
        <v>0.58384332925336602</v>
      </c>
      <c r="N307" s="176">
        <f t="shared" si="467"/>
        <v>19.329593023255811</v>
      </c>
      <c r="O307" s="176">
        <f t="shared" si="459"/>
        <v>13.5</v>
      </c>
      <c r="P307" s="221">
        <f t="shared" si="468"/>
        <v>1.2886395348837207</v>
      </c>
      <c r="Q307" s="221">
        <f t="shared" si="469"/>
        <v>15</v>
      </c>
      <c r="R307" s="221"/>
      <c r="S307" s="176">
        <f t="shared" si="470"/>
        <v>25.834309974041822</v>
      </c>
      <c r="T307" s="176">
        <f t="shared" si="471"/>
        <v>15</v>
      </c>
      <c r="U307" s="221">
        <f t="shared" si="472"/>
        <v>2.8634850166481689</v>
      </c>
      <c r="V307" s="221">
        <f t="shared" si="473"/>
        <v>1.1790820656786578</v>
      </c>
      <c r="W307" s="221">
        <f t="shared" si="474"/>
        <v>0.84043585394285869</v>
      </c>
      <c r="X307" s="201">
        <f t="shared" si="475"/>
        <v>350</v>
      </c>
      <c r="Y307" s="451">
        <f t="shared" si="461"/>
        <v>350</v>
      </c>
      <c r="AA307" s="221">
        <f t="shared" si="476"/>
        <v>4.0511577948192743</v>
      </c>
      <c r="AB307" s="177">
        <f t="shared" si="477"/>
        <v>1.1890190592760972</v>
      </c>
      <c r="AC307" s="177">
        <f t="shared" si="478"/>
        <v>1.2644372554209482</v>
      </c>
      <c r="AD307" s="177"/>
      <c r="AE307" s="177">
        <f t="shared" si="479"/>
        <v>0.24067085953878403</v>
      </c>
      <c r="AF307" s="559">
        <f t="shared" si="480"/>
        <v>6080.5642899634586</v>
      </c>
      <c r="AG307" s="542">
        <f t="shared" si="481"/>
        <v>5.1804402515723262E-2</v>
      </c>
      <c r="AI307" s="177">
        <f t="shared" si="482"/>
        <v>3.4178403492646092</v>
      </c>
      <c r="AJ307" s="177">
        <f t="shared" si="483"/>
        <v>3.4178403492646092</v>
      </c>
      <c r="AK307" s="177">
        <f t="shared" si="484"/>
        <v>3.1243261846404513</v>
      </c>
      <c r="AM307" s="559">
        <f t="shared" si="485"/>
        <v>900</v>
      </c>
      <c r="AN307" s="469">
        <f t="shared" si="486"/>
        <v>350</v>
      </c>
      <c r="AP307">
        <f t="shared" si="487"/>
        <v>900</v>
      </c>
      <c r="AQ307">
        <f t="shared" si="488"/>
        <v>350</v>
      </c>
      <c r="AS307" s="5">
        <f t="shared" si="460"/>
        <v>2.8571428571428572</v>
      </c>
      <c r="AT307" s="5">
        <f t="shared" si="489"/>
        <v>1.4073460261677802</v>
      </c>
      <c r="AU307" s="5">
        <f t="shared" si="497"/>
        <v>1.4497968309750771</v>
      </c>
      <c r="AV307" s="5"/>
      <c r="AW307" s="177">
        <f t="shared" si="498"/>
        <v>0.49257110915872304</v>
      </c>
      <c r="AX307" s="177"/>
      <c r="BA307" s="469">
        <f t="shared" si="490"/>
        <v>16.399012161831713</v>
      </c>
      <c r="BB307" s="469">
        <f t="shared" si="491"/>
        <v>30.352686379364592</v>
      </c>
      <c r="BC307" s="5">
        <f t="shared" si="496"/>
        <v>1.6158726289505501</v>
      </c>
      <c r="BD307" s="469">
        <f t="shared" si="492"/>
        <v>0</v>
      </c>
      <c r="CD307" s="576">
        <f t="shared" si="493"/>
        <v>-50</v>
      </c>
      <c r="CE307">
        <f t="shared" si="494"/>
        <v>-50</v>
      </c>
    </row>
    <row r="308" spans="5:83" x14ac:dyDescent="0.25">
      <c r="E308" s="174">
        <v>91</v>
      </c>
      <c r="F308" s="221">
        <f t="shared" si="495"/>
        <v>0.91</v>
      </c>
      <c r="G308" s="221"/>
      <c r="H308" s="221">
        <f t="shared" si="462"/>
        <v>13.65</v>
      </c>
      <c r="I308" s="555">
        <f t="shared" si="463"/>
        <v>17</v>
      </c>
      <c r="J308" s="451">
        <f t="shared" si="464"/>
        <v>23.85</v>
      </c>
      <c r="K308" s="451">
        <f t="shared" si="465"/>
        <v>40.85</v>
      </c>
      <c r="L308" s="451"/>
      <c r="M308" s="221">
        <f t="shared" si="466"/>
        <v>0.58384332925336602</v>
      </c>
      <c r="N308" s="176">
        <f t="shared" si="467"/>
        <v>19.329593023255811</v>
      </c>
      <c r="O308" s="176">
        <f t="shared" si="459"/>
        <v>13.65</v>
      </c>
      <c r="P308" s="221">
        <f t="shared" si="468"/>
        <v>1.2886395348837207</v>
      </c>
      <c r="Q308" s="221">
        <f t="shared" si="469"/>
        <v>15</v>
      </c>
      <c r="R308" s="221"/>
      <c r="S308" s="176">
        <f t="shared" si="470"/>
        <v>25.435839707483698</v>
      </c>
      <c r="T308" s="176">
        <f t="shared" si="471"/>
        <v>15</v>
      </c>
      <c r="U308" s="221">
        <f t="shared" si="472"/>
        <v>2.8953015168331486</v>
      </c>
      <c r="V308" s="221">
        <f t="shared" si="473"/>
        <v>1.1921829775195318</v>
      </c>
      <c r="W308" s="221">
        <f t="shared" si="474"/>
        <v>0.84977403009777941</v>
      </c>
      <c r="X308" s="201">
        <f t="shared" si="475"/>
        <v>350</v>
      </c>
      <c r="Y308" s="451">
        <f t="shared" si="461"/>
        <v>350</v>
      </c>
      <c r="AA308" s="221">
        <f t="shared" si="476"/>
        <v>4.0511577948192743</v>
      </c>
      <c r="AB308" s="177">
        <f t="shared" si="477"/>
        <v>1.1890190592760972</v>
      </c>
      <c r="AC308" s="177">
        <f t="shared" si="478"/>
        <v>1.2644372554209482</v>
      </c>
      <c r="AD308" s="177"/>
      <c r="AE308" s="177">
        <f t="shared" si="479"/>
        <v>0.24067085953878403</v>
      </c>
      <c r="AF308" s="559">
        <f t="shared" si="480"/>
        <v>6148.1261154074964</v>
      </c>
      <c r="AG308" s="542">
        <f t="shared" si="481"/>
        <v>5.1804402515723262E-2</v>
      </c>
      <c r="AI308" s="177">
        <f t="shared" si="482"/>
        <v>3.4367758977606577</v>
      </c>
      <c r="AJ308" s="177">
        <f t="shared" si="483"/>
        <v>3.4367758977606577</v>
      </c>
      <c r="AK308" s="177">
        <f t="shared" si="484"/>
        <v>3.1383525168597464</v>
      </c>
      <c r="AM308" s="559">
        <f t="shared" si="485"/>
        <v>910</v>
      </c>
      <c r="AN308" s="469">
        <f t="shared" si="486"/>
        <v>350</v>
      </c>
      <c r="AP308">
        <f t="shared" si="487"/>
        <v>910</v>
      </c>
      <c r="AQ308">
        <f t="shared" si="488"/>
        <v>350</v>
      </c>
      <c r="AS308" s="5">
        <f t="shared" si="460"/>
        <v>2.8571428571428572</v>
      </c>
      <c r="AT308" s="5">
        <f t="shared" si="489"/>
        <v>1.4151430167249766</v>
      </c>
      <c r="AU308" s="5">
        <f t="shared" si="497"/>
        <v>1.4419998404178807</v>
      </c>
      <c r="AV308" s="5"/>
      <c r="AW308" s="177">
        <f t="shared" si="498"/>
        <v>0.49530005585374176</v>
      </c>
      <c r="AX308" s="177"/>
      <c r="BA308" s="469">
        <f t="shared" si="490"/>
        <v>16.399012161831713</v>
      </c>
      <c r="BB308" s="469">
        <f t="shared" si="491"/>
        <v>31.000604433026933</v>
      </c>
      <c r="BC308" s="5">
        <f t="shared" si="496"/>
        <v>1.6250400678393457</v>
      </c>
      <c r="BD308" s="469">
        <f t="shared" si="492"/>
        <v>0</v>
      </c>
      <c r="CD308" s="576">
        <f t="shared" si="493"/>
        <v>-50</v>
      </c>
      <c r="CE308">
        <f t="shared" si="494"/>
        <v>-50</v>
      </c>
    </row>
    <row r="309" spans="5:83" x14ac:dyDescent="0.25">
      <c r="E309" s="174">
        <v>92</v>
      </c>
      <c r="F309" s="221">
        <f t="shared" si="495"/>
        <v>0.92</v>
      </c>
      <c r="G309" s="221"/>
      <c r="H309" s="221">
        <f t="shared" si="462"/>
        <v>13.8</v>
      </c>
      <c r="I309" s="555">
        <f t="shared" si="463"/>
        <v>17</v>
      </c>
      <c r="J309" s="451">
        <f t="shared" si="464"/>
        <v>23.85</v>
      </c>
      <c r="K309" s="451">
        <f t="shared" si="465"/>
        <v>40.85</v>
      </c>
      <c r="L309" s="451"/>
      <c r="M309" s="221">
        <f t="shared" si="466"/>
        <v>0.58384332925336602</v>
      </c>
      <c r="N309" s="176">
        <f t="shared" si="467"/>
        <v>19.329593023255811</v>
      </c>
      <c r="O309" s="176">
        <f t="shared" si="459"/>
        <v>13.8</v>
      </c>
      <c r="P309" s="221">
        <f t="shared" si="468"/>
        <v>1.2886395348837207</v>
      </c>
      <c r="Q309" s="221">
        <f t="shared" si="469"/>
        <v>15</v>
      </c>
      <c r="R309" s="221"/>
      <c r="S309" s="176">
        <f t="shared" si="470"/>
        <v>25.046200847985496</v>
      </c>
      <c r="T309" s="176">
        <f t="shared" si="471"/>
        <v>15</v>
      </c>
      <c r="U309" s="221">
        <f t="shared" si="472"/>
        <v>2.9271180170181283</v>
      </c>
      <c r="V309" s="221">
        <f t="shared" si="473"/>
        <v>1.2052838893604059</v>
      </c>
      <c r="W309" s="221">
        <f t="shared" si="474"/>
        <v>0.85911220625270013</v>
      </c>
      <c r="X309" s="201">
        <f t="shared" si="475"/>
        <v>350</v>
      </c>
      <c r="Y309" s="451">
        <f t="shared" si="461"/>
        <v>350</v>
      </c>
      <c r="AA309" s="221">
        <f t="shared" si="476"/>
        <v>4.0511577948192743</v>
      </c>
      <c r="AB309" s="177">
        <f t="shared" si="477"/>
        <v>1.1890190592760972</v>
      </c>
      <c r="AC309" s="177">
        <f t="shared" si="478"/>
        <v>1.2644372554209482</v>
      </c>
      <c r="AD309" s="177"/>
      <c r="AE309" s="177">
        <f t="shared" si="479"/>
        <v>0.24067085953878403</v>
      </c>
      <c r="AF309" s="559">
        <f t="shared" si="480"/>
        <v>6215.687940851536</v>
      </c>
      <c r="AG309" s="542">
        <f t="shared" si="481"/>
        <v>5.1804402515723262E-2</v>
      </c>
      <c r="AI309" s="177">
        <f t="shared" si="482"/>
        <v>3.4556076874836243</v>
      </c>
      <c r="AJ309" s="177">
        <f t="shared" si="483"/>
        <v>3.4556076874836243</v>
      </c>
      <c r="AK309" s="177">
        <f t="shared" si="484"/>
        <v>3.1523019907286107</v>
      </c>
      <c r="AM309" s="559">
        <f t="shared" si="485"/>
        <v>920</v>
      </c>
      <c r="AN309" s="469">
        <f t="shared" si="486"/>
        <v>350</v>
      </c>
      <c r="AP309">
        <f t="shared" si="487"/>
        <v>920</v>
      </c>
      <c r="AQ309">
        <f t="shared" si="488"/>
        <v>350</v>
      </c>
      <c r="AS309" s="5">
        <f t="shared" si="460"/>
        <v>2.8571428571428572</v>
      </c>
      <c r="AT309" s="5">
        <f t="shared" si="489"/>
        <v>1.4228972830814923</v>
      </c>
      <c r="AU309" s="5">
        <f t="shared" si="497"/>
        <v>1.4342455740613649</v>
      </c>
      <c r="AV309" s="5"/>
      <c r="AW309" s="177">
        <f t="shared" si="498"/>
        <v>0.49801404907852231</v>
      </c>
      <c r="AX309" s="177"/>
      <c r="BA309" s="469">
        <f t="shared" si="490"/>
        <v>16.399012161831713</v>
      </c>
      <c r="BB309" s="469">
        <f t="shared" si="491"/>
        <v>31.655350310486661</v>
      </c>
      <c r="BC309" s="5">
        <f t="shared" si="496"/>
        <v>1.6340630688996356</v>
      </c>
      <c r="BD309" s="469">
        <f t="shared" si="492"/>
        <v>0</v>
      </c>
      <c r="CD309" s="576">
        <f t="shared" si="493"/>
        <v>-50</v>
      </c>
      <c r="CE309">
        <f t="shared" si="494"/>
        <v>-50</v>
      </c>
    </row>
    <row r="310" spans="5:83" x14ac:dyDescent="0.25">
      <c r="E310" s="174">
        <v>93</v>
      </c>
      <c r="F310" s="221">
        <f t="shared" si="495"/>
        <v>0.93</v>
      </c>
      <c r="G310" s="221"/>
      <c r="H310" s="221">
        <f t="shared" si="462"/>
        <v>13.950000000000001</v>
      </c>
      <c r="I310" s="555">
        <f t="shared" si="463"/>
        <v>17</v>
      </c>
      <c r="J310" s="451">
        <f t="shared" si="464"/>
        <v>23.85</v>
      </c>
      <c r="K310" s="451">
        <f t="shared" si="465"/>
        <v>40.85</v>
      </c>
      <c r="L310" s="451"/>
      <c r="M310" s="221">
        <f t="shared" si="466"/>
        <v>0.58384332925336602</v>
      </c>
      <c r="N310" s="176">
        <f t="shared" si="467"/>
        <v>19.329593023255811</v>
      </c>
      <c r="O310" s="176">
        <f t="shared" si="459"/>
        <v>13.950000000000001</v>
      </c>
      <c r="P310" s="221">
        <f t="shared" si="468"/>
        <v>1.2886395348837207</v>
      </c>
      <c r="Q310" s="221">
        <f t="shared" si="469"/>
        <v>15</v>
      </c>
      <c r="R310" s="221"/>
      <c r="S310" s="176">
        <f t="shared" si="470"/>
        <v>24.665110295476193</v>
      </c>
      <c r="T310" s="176">
        <f t="shared" si="471"/>
        <v>15</v>
      </c>
      <c r="U310" s="221">
        <f t="shared" si="472"/>
        <v>2.9589345172031081</v>
      </c>
      <c r="V310" s="221">
        <f t="shared" si="473"/>
        <v>1.2183848012012797</v>
      </c>
      <c r="W310" s="221">
        <f t="shared" si="474"/>
        <v>0.86845038240762062</v>
      </c>
      <c r="X310" s="201">
        <f t="shared" si="475"/>
        <v>350</v>
      </c>
      <c r="Y310" s="451">
        <f t="shared" si="461"/>
        <v>350</v>
      </c>
      <c r="AA310" s="221">
        <f t="shared" si="476"/>
        <v>4.0511577948192743</v>
      </c>
      <c r="AB310" s="177">
        <f t="shared" si="477"/>
        <v>1.1890190592760972</v>
      </c>
      <c r="AC310" s="177">
        <f t="shared" si="478"/>
        <v>1.2644372554209482</v>
      </c>
      <c r="AD310" s="177"/>
      <c r="AE310" s="177">
        <f t="shared" si="479"/>
        <v>0.24067085953878403</v>
      </c>
      <c r="AF310" s="559">
        <f t="shared" si="480"/>
        <v>6283.2497662955739</v>
      </c>
      <c r="AG310" s="542">
        <f t="shared" si="481"/>
        <v>5.1804402515723262E-2</v>
      </c>
      <c r="AI310" s="177">
        <f t="shared" si="482"/>
        <v>3.4743374056304992</v>
      </c>
      <c r="AJ310" s="177">
        <f t="shared" si="483"/>
        <v>3.4743374056304992</v>
      </c>
      <c r="AK310" s="177">
        <f t="shared" si="484"/>
        <v>3.1661758560225923</v>
      </c>
      <c r="AM310" s="559">
        <f t="shared" si="485"/>
        <v>930</v>
      </c>
      <c r="AN310" s="469">
        <f t="shared" si="486"/>
        <v>350</v>
      </c>
      <c r="AP310">
        <f t="shared" si="487"/>
        <v>930</v>
      </c>
      <c r="AQ310">
        <f t="shared" si="488"/>
        <v>350</v>
      </c>
      <c r="AS310" s="5">
        <f t="shared" si="460"/>
        <v>2.8571428571428572</v>
      </c>
      <c r="AT310" s="5">
        <f t="shared" si="489"/>
        <v>1.4306095199654996</v>
      </c>
      <c r="AU310" s="5">
        <f t="shared" si="497"/>
        <v>1.4265333371773576</v>
      </c>
      <c r="AV310" s="5"/>
      <c r="AW310" s="177">
        <f t="shared" si="498"/>
        <v>0.50071333198792489</v>
      </c>
      <c r="AX310" s="177"/>
      <c r="BA310" s="469">
        <f t="shared" si="490"/>
        <v>16.399012161831713</v>
      </c>
      <c r="BB310" s="469">
        <f t="shared" si="491"/>
        <v>32.316924011743758</v>
      </c>
      <c r="BC310" s="5">
        <f t="shared" si="496"/>
        <v>1.6429424192878548</v>
      </c>
      <c r="BD310" s="469">
        <f t="shared" si="492"/>
        <v>0</v>
      </c>
      <c r="CD310" s="576">
        <f t="shared" si="493"/>
        <v>-50</v>
      </c>
      <c r="CE310">
        <f t="shared" si="494"/>
        <v>-50</v>
      </c>
    </row>
    <row r="311" spans="5:83" x14ac:dyDescent="0.25">
      <c r="E311" s="174">
        <v>94</v>
      </c>
      <c r="F311" s="221">
        <f t="shared" si="495"/>
        <v>0.94</v>
      </c>
      <c r="G311" s="221"/>
      <c r="H311" s="221">
        <f t="shared" si="462"/>
        <v>14.1</v>
      </c>
      <c r="I311" s="555">
        <f t="shared" si="463"/>
        <v>17</v>
      </c>
      <c r="J311" s="451">
        <f t="shared" si="464"/>
        <v>23.85</v>
      </c>
      <c r="K311" s="451">
        <f t="shared" si="465"/>
        <v>40.85</v>
      </c>
      <c r="L311" s="451"/>
      <c r="M311" s="221">
        <f t="shared" si="466"/>
        <v>0.58384332925336602</v>
      </c>
      <c r="N311" s="176">
        <f t="shared" si="467"/>
        <v>19.329593023255811</v>
      </c>
      <c r="O311" s="176">
        <f t="shared" si="459"/>
        <v>14.1</v>
      </c>
      <c r="P311" s="221">
        <f t="shared" si="468"/>
        <v>1.2886395348837207</v>
      </c>
      <c r="Q311" s="221">
        <f t="shared" si="469"/>
        <v>15</v>
      </c>
      <c r="R311" s="221"/>
      <c r="S311" s="176">
        <f t="shared" si="470"/>
        <v>24.292297015299649</v>
      </c>
      <c r="T311" s="176">
        <f t="shared" si="471"/>
        <v>15</v>
      </c>
      <c r="U311" s="221">
        <f t="shared" si="472"/>
        <v>2.9907510173880874</v>
      </c>
      <c r="V311" s="221">
        <f t="shared" si="473"/>
        <v>1.2314857130421535</v>
      </c>
      <c r="W311" s="221">
        <f t="shared" si="474"/>
        <v>0.87778855856254123</v>
      </c>
      <c r="X311" s="201">
        <f t="shared" si="475"/>
        <v>350</v>
      </c>
      <c r="Y311" s="451">
        <f t="shared" si="461"/>
        <v>350</v>
      </c>
      <c r="AA311" s="221">
        <f t="shared" si="476"/>
        <v>4.0511577948192743</v>
      </c>
      <c r="AB311" s="177">
        <f t="shared" si="477"/>
        <v>1.1890190592760972</v>
      </c>
      <c r="AC311" s="177">
        <f t="shared" si="478"/>
        <v>1.2644372554209482</v>
      </c>
      <c r="AD311" s="177"/>
      <c r="AE311" s="177">
        <f t="shared" si="479"/>
        <v>0.24067085953878403</v>
      </c>
      <c r="AF311" s="559">
        <f t="shared" si="480"/>
        <v>6350.8115917396117</v>
      </c>
      <c r="AG311" s="542">
        <f t="shared" si="481"/>
        <v>5.1804402515723262E-2</v>
      </c>
      <c r="AI311" s="177">
        <f t="shared" si="482"/>
        <v>3.4929666941628019</v>
      </c>
      <c r="AJ311" s="177">
        <f t="shared" si="483"/>
        <v>3.4929666941628019</v>
      </c>
      <c r="AK311" s="177">
        <f t="shared" si="484"/>
        <v>3.1799753290094825</v>
      </c>
      <c r="AM311" s="559">
        <f t="shared" si="485"/>
        <v>940</v>
      </c>
      <c r="AN311" s="469">
        <f t="shared" si="486"/>
        <v>350</v>
      </c>
      <c r="AP311">
        <f t="shared" si="487"/>
        <v>940</v>
      </c>
      <c r="AQ311">
        <f t="shared" si="488"/>
        <v>350</v>
      </c>
      <c r="AS311" s="5">
        <f t="shared" si="460"/>
        <v>2.8571428571428572</v>
      </c>
      <c r="AT311" s="5">
        <f t="shared" si="489"/>
        <v>1.4382804034788008</v>
      </c>
      <c r="AU311" s="5">
        <f t="shared" si="497"/>
        <v>1.4188624536640564</v>
      </c>
      <c r="AV311" s="5"/>
      <c r="AW311" s="177">
        <f t="shared" si="498"/>
        <v>0.50339814121758031</v>
      </c>
      <c r="AX311" s="177"/>
      <c r="BA311" s="469">
        <f t="shared" si="490"/>
        <v>16.399012161831713</v>
      </c>
      <c r="BB311" s="469">
        <f t="shared" si="491"/>
        <v>32.985325536798214</v>
      </c>
      <c r="BC311" s="5">
        <f t="shared" si="496"/>
        <v>1.6516788934293662</v>
      </c>
      <c r="BD311" s="469">
        <f t="shared" si="492"/>
        <v>0</v>
      </c>
      <c r="CD311" s="576">
        <f t="shared" si="493"/>
        <v>-50</v>
      </c>
      <c r="CE311">
        <f t="shared" si="494"/>
        <v>-50</v>
      </c>
    </row>
    <row r="312" spans="5:83" x14ac:dyDescent="0.25">
      <c r="E312" s="174">
        <v>95</v>
      </c>
      <c r="F312" s="221">
        <f t="shared" si="495"/>
        <v>0.95</v>
      </c>
      <c r="G312" s="221"/>
      <c r="H312" s="221">
        <f t="shared" si="462"/>
        <v>14.25</v>
      </c>
      <c r="I312" s="555">
        <f t="shared" si="463"/>
        <v>17</v>
      </c>
      <c r="J312" s="451">
        <f t="shared" si="464"/>
        <v>23.85</v>
      </c>
      <c r="K312" s="451">
        <f t="shared" si="465"/>
        <v>40.85</v>
      </c>
      <c r="L312" s="451"/>
      <c r="M312" s="221">
        <f t="shared" si="466"/>
        <v>0.58384332925336602</v>
      </c>
      <c r="N312" s="176">
        <f t="shared" si="467"/>
        <v>19.329593023255811</v>
      </c>
      <c r="O312" s="176">
        <f t="shared" si="459"/>
        <v>14.25</v>
      </c>
      <c r="P312" s="221">
        <f t="shared" si="468"/>
        <v>1.2886395348837207</v>
      </c>
      <c r="Q312" s="221">
        <f t="shared" si="469"/>
        <v>15</v>
      </c>
      <c r="R312" s="221"/>
      <c r="S312" s="176">
        <f t="shared" si="470"/>
        <v>23.927501403288574</v>
      </c>
      <c r="T312" s="176">
        <f t="shared" si="471"/>
        <v>15</v>
      </c>
      <c r="U312" s="221">
        <f t="shared" si="472"/>
        <v>3.0225675175730671</v>
      </c>
      <c r="V312" s="221">
        <f t="shared" si="473"/>
        <v>1.2445866248830275</v>
      </c>
      <c r="W312" s="221">
        <f t="shared" si="474"/>
        <v>0.88712673471746195</v>
      </c>
      <c r="X312" s="201">
        <f t="shared" si="475"/>
        <v>350</v>
      </c>
      <c r="Y312" s="451">
        <f t="shared" si="461"/>
        <v>350</v>
      </c>
      <c r="AA312" s="221">
        <f t="shared" si="476"/>
        <v>4.0511577948192743</v>
      </c>
      <c r="AB312" s="177">
        <f t="shared" si="477"/>
        <v>1.1890190592760972</v>
      </c>
      <c r="AC312" s="177">
        <f t="shared" si="478"/>
        <v>1.2644372554209482</v>
      </c>
      <c r="AD312" s="177"/>
      <c r="AE312" s="177">
        <f t="shared" si="479"/>
        <v>0.24067085953878403</v>
      </c>
      <c r="AF312" s="559">
        <f t="shared" si="480"/>
        <v>6418.3734171836495</v>
      </c>
      <c r="AG312" s="542">
        <f t="shared" si="481"/>
        <v>5.1804402515723262E-2</v>
      </c>
      <c r="AI312" s="177">
        <f t="shared" si="482"/>
        <v>3.5114971514865227</v>
      </c>
      <c r="AJ312" s="177">
        <f t="shared" si="483"/>
        <v>3.5114971514865227</v>
      </c>
      <c r="AK312" s="177">
        <f t="shared" si="484"/>
        <v>3.1937015936937208</v>
      </c>
      <c r="AM312" s="559">
        <f t="shared" si="485"/>
        <v>950</v>
      </c>
      <c r="AN312" s="469">
        <f t="shared" si="486"/>
        <v>350</v>
      </c>
      <c r="AP312">
        <f t="shared" si="487"/>
        <v>950</v>
      </c>
      <c r="AQ312">
        <f t="shared" si="488"/>
        <v>350</v>
      </c>
      <c r="AS312" s="5">
        <f t="shared" si="460"/>
        <v>2.8571428571428572</v>
      </c>
      <c r="AT312" s="5">
        <f t="shared" si="489"/>
        <v>1.4459105917885682</v>
      </c>
      <c r="AU312" s="5">
        <f t="shared" si="497"/>
        <v>1.411232265354289</v>
      </c>
      <c r="AV312" s="5"/>
      <c r="AW312" s="177">
        <f t="shared" si="498"/>
        <v>0.50606870712599883</v>
      </c>
      <c r="AX312" s="177"/>
      <c r="BA312" s="469">
        <f t="shared" si="490"/>
        <v>16.399012161831713</v>
      </c>
      <c r="BB312" s="469">
        <f t="shared" si="491"/>
        <v>33.660554885650058</v>
      </c>
      <c r="BC312" s="5">
        <f t="shared" si="496"/>
        <v>1.6602732533579871</v>
      </c>
      <c r="BD312" s="469">
        <f t="shared" si="492"/>
        <v>0</v>
      </c>
      <c r="CD312" s="576">
        <f t="shared" si="493"/>
        <v>-50</v>
      </c>
      <c r="CE312">
        <f t="shared" si="494"/>
        <v>-50</v>
      </c>
    </row>
    <row r="313" spans="5:83" x14ac:dyDescent="0.25">
      <c r="E313" s="174">
        <v>96</v>
      </c>
      <c r="F313" s="221">
        <f t="shared" si="495"/>
        <v>0.96</v>
      </c>
      <c r="G313" s="221"/>
      <c r="H313" s="221">
        <f t="shared" ref="H313:H317" si="499">F313*Vout</f>
        <v>14.399999999999999</v>
      </c>
      <c r="I313" s="555">
        <f t="shared" si="463"/>
        <v>17</v>
      </c>
      <c r="J313" s="451">
        <f t="shared" si="464"/>
        <v>23.85</v>
      </c>
      <c r="K313" s="451">
        <f t="shared" si="465"/>
        <v>40.85</v>
      </c>
      <c r="L313" s="451"/>
      <c r="M313" s="221">
        <f t="shared" si="466"/>
        <v>0.58384332925336602</v>
      </c>
      <c r="N313" s="176">
        <f t="shared" ref="N313:N317" si="500">M313*I313*Isw_max*0.5*Efficiency</f>
        <v>19.329593023255811</v>
      </c>
      <c r="O313" s="176">
        <f t="shared" si="459"/>
        <v>14.399999999999999</v>
      </c>
      <c r="P313" s="221">
        <f t="shared" ref="P313:P317" si="501">N313/Vout</f>
        <v>1.2886395348837207</v>
      </c>
      <c r="Q313" s="221">
        <f t="shared" si="469"/>
        <v>15</v>
      </c>
      <c r="R313" s="221"/>
      <c r="S313" s="176">
        <f t="shared" si="470"/>
        <v>23.570474690517401</v>
      </c>
      <c r="T313" s="176">
        <f t="shared" ref="T313:T317" si="502">MIN(Vout, S313)</f>
        <v>15</v>
      </c>
      <c r="U313" s="221">
        <f t="shared" si="472"/>
        <v>3.0543840177580468</v>
      </c>
      <c r="V313" s="221">
        <f t="shared" ref="V313:V317" si="503">L*U313/I313*1000000</f>
        <v>1.2576875367239015</v>
      </c>
      <c r="W313" s="221">
        <f t="shared" si="474"/>
        <v>0.89646491087238267</v>
      </c>
      <c r="X313" s="201">
        <f t="shared" si="475"/>
        <v>350</v>
      </c>
      <c r="Y313" s="451">
        <f t="shared" si="461"/>
        <v>350</v>
      </c>
      <c r="AA313" s="221">
        <f t="shared" si="476"/>
        <v>4.0511577948192743</v>
      </c>
      <c r="AB313" s="177">
        <f t="shared" ref="AB313:AB317" si="504">L*AA313/J313*1000000</f>
        <v>1.1890190592760972</v>
      </c>
      <c r="AC313" s="177">
        <f t="shared" ref="AC313:AC317" si="505">0.5*AB313*AA313*Nps*X313/1000</f>
        <v>1.2644372554209482</v>
      </c>
      <c r="AD313" s="177"/>
      <c r="AE313" s="177">
        <f t="shared" si="479"/>
        <v>0.24067085953878403</v>
      </c>
      <c r="AF313" s="559">
        <f t="shared" ref="AF313:AF317" si="506">MAX(12000,F313/(0.5*AE313/1000000*Isw_min*Nps))/1000</f>
        <v>6485.9352426276882</v>
      </c>
      <c r="AG313" s="542">
        <f t="shared" si="481"/>
        <v>5.1804402515723262E-2</v>
      </c>
      <c r="AI313" s="177">
        <f t="shared" si="482"/>
        <v>3.5299303340526862</v>
      </c>
      <c r="AJ313" s="177">
        <f t="shared" ref="AJ313:AJ317" si="507">MAX(IF(F313&gt;AC313,U313,AI313),Isw_min)</f>
        <v>3.5299303340526862</v>
      </c>
      <c r="AK313" s="177">
        <f t="shared" ref="AK313:AK317" si="508">IF(F313&gt;AG313, (AJ313-Isw_min)/1.08*0.8+1.2, AF313*0.2/350+1)</f>
        <v>3.20735580300199</v>
      </c>
      <c r="AM313" s="559">
        <f t="shared" si="485"/>
        <v>960</v>
      </c>
      <c r="AN313" s="469">
        <f t="shared" si="486"/>
        <v>350</v>
      </c>
      <c r="AP313">
        <f t="shared" si="487"/>
        <v>960</v>
      </c>
      <c r="AQ313">
        <f t="shared" si="488"/>
        <v>350</v>
      </c>
      <c r="AS313" s="5">
        <f t="shared" si="460"/>
        <v>2.8571428571428572</v>
      </c>
      <c r="AT313" s="5">
        <f t="shared" si="489"/>
        <v>1.4535007257864001</v>
      </c>
      <c r="AU313" s="5">
        <f t="shared" si="497"/>
        <v>1.4036421313564571</v>
      </c>
      <c r="AV313" s="5"/>
      <c r="AW313" s="177">
        <f t="shared" si="498"/>
        <v>0.50872525402524005</v>
      </c>
      <c r="AX313" s="177"/>
      <c r="BA313" s="469">
        <f t="shared" si="490"/>
        <v>16.399012161831713</v>
      </c>
      <c r="BB313" s="469">
        <f t="shared" si="491"/>
        <v>34.342612058299267</v>
      </c>
      <c r="BC313" s="5">
        <f t="shared" si="496"/>
        <v>1.6687262490429706</v>
      </c>
      <c r="BD313" s="469">
        <f t="shared" si="492"/>
        <v>0</v>
      </c>
      <c r="CD313" s="576">
        <f t="shared" si="493"/>
        <v>-50</v>
      </c>
      <c r="CE313">
        <f t="shared" si="494"/>
        <v>-50</v>
      </c>
    </row>
    <row r="314" spans="5:83" x14ac:dyDescent="0.25">
      <c r="E314" s="174">
        <v>97</v>
      </c>
      <c r="F314" s="221">
        <f t="shared" ref="F314:F317" si="509">IF(PLOT_TYPE=1, E314/100*Iout_max, min_I*EXP(N314*rr/100))</f>
        <v>0.97</v>
      </c>
      <c r="G314" s="221"/>
      <c r="H314" s="221">
        <f t="shared" si="499"/>
        <v>14.549999999999999</v>
      </c>
      <c r="I314" s="555">
        <f t="shared" si="463"/>
        <v>17</v>
      </c>
      <c r="J314" s="451">
        <f t="shared" si="464"/>
        <v>23.85</v>
      </c>
      <c r="K314" s="451">
        <f t="shared" si="465"/>
        <v>40.85</v>
      </c>
      <c r="L314" s="451"/>
      <c r="M314" s="221">
        <f t="shared" si="466"/>
        <v>0.58384332925336602</v>
      </c>
      <c r="N314" s="176">
        <f t="shared" si="500"/>
        <v>19.329593023255811</v>
      </c>
      <c r="O314" s="176">
        <f t="shared" si="459"/>
        <v>14.549999999999999</v>
      </c>
      <c r="P314" s="221">
        <f t="shared" si="501"/>
        <v>1.2886395348837207</v>
      </c>
      <c r="Q314" s="221">
        <f t="shared" si="469"/>
        <v>15</v>
      </c>
      <c r="R314" s="221"/>
      <c r="S314" s="176">
        <f t="shared" si="470"/>
        <v>23.22097838487025</v>
      </c>
      <c r="T314" s="176">
        <f t="shared" si="502"/>
        <v>15</v>
      </c>
      <c r="U314" s="221">
        <f t="shared" si="472"/>
        <v>3.0862005179430265</v>
      </c>
      <c r="V314" s="221">
        <f t="shared" si="503"/>
        <v>1.2707884485647758</v>
      </c>
      <c r="W314" s="221">
        <f t="shared" si="474"/>
        <v>0.90580308702730328</v>
      </c>
      <c r="X314" s="201">
        <f t="shared" si="475"/>
        <v>350</v>
      </c>
      <c r="Y314" s="451">
        <f t="shared" si="461"/>
        <v>350</v>
      </c>
      <c r="AA314" s="221">
        <f t="shared" si="476"/>
        <v>4.0511577948192743</v>
      </c>
      <c r="AB314" s="177">
        <f t="shared" si="504"/>
        <v>1.1890190592760972</v>
      </c>
      <c r="AC314" s="177">
        <f t="shared" si="505"/>
        <v>1.2644372554209482</v>
      </c>
      <c r="AD314" s="177"/>
      <c r="AE314" s="177">
        <f t="shared" si="479"/>
        <v>0.24067085953878403</v>
      </c>
      <c r="AF314" s="559">
        <f t="shared" si="506"/>
        <v>6553.497068071727</v>
      </c>
      <c r="AG314" s="542">
        <f t="shared" si="481"/>
        <v>5.1804402515723262E-2</v>
      </c>
      <c r="AI314" s="177">
        <f t="shared" si="482"/>
        <v>3.5482677578830852</v>
      </c>
      <c r="AJ314" s="177">
        <f t="shared" si="507"/>
        <v>3.5482677578830852</v>
      </c>
      <c r="AK314" s="177">
        <f t="shared" si="508"/>
        <v>3.2209390799133963</v>
      </c>
      <c r="AM314" s="559">
        <f t="shared" si="485"/>
        <v>970</v>
      </c>
      <c r="AN314" s="469">
        <f t="shared" si="486"/>
        <v>350</v>
      </c>
      <c r="AP314">
        <f t="shared" si="487"/>
        <v>970</v>
      </c>
      <c r="AQ314">
        <f t="shared" si="488"/>
        <v>350</v>
      </c>
      <c r="AS314" s="5">
        <f t="shared" si="460"/>
        <v>2.8571428571428572</v>
      </c>
      <c r="AT314" s="5">
        <f t="shared" si="489"/>
        <v>1.4610514297165647</v>
      </c>
      <c r="AU314" s="5">
        <f t="shared" si="497"/>
        <v>1.3960914274262926</v>
      </c>
      <c r="AV314" s="5"/>
      <c r="AW314" s="177">
        <f t="shared" si="498"/>
        <v>0.51136800040079766</v>
      </c>
      <c r="AX314" s="177"/>
      <c r="BA314" s="469">
        <f t="shared" si="490"/>
        <v>16.399012161831713</v>
      </c>
      <c r="BB314" s="469">
        <f t="shared" si="491"/>
        <v>35.031497054745856</v>
      </c>
      <c r="BC314" s="5">
        <f t="shared" si="496"/>
        <v>1.6770386187040296</v>
      </c>
      <c r="BD314" s="469">
        <f t="shared" si="492"/>
        <v>0</v>
      </c>
      <c r="CD314" s="576">
        <f t="shared" si="493"/>
        <v>-50</v>
      </c>
      <c r="CE314">
        <f t="shared" si="494"/>
        <v>-50</v>
      </c>
    </row>
    <row r="315" spans="5:83" x14ac:dyDescent="0.25">
      <c r="E315" s="174">
        <v>98</v>
      </c>
      <c r="F315" s="221">
        <f t="shared" si="509"/>
        <v>0.98</v>
      </c>
      <c r="G315" s="221"/>
      <c r="H315" s="221">
        <f t="shared" si="499"/>
        <v>14.7</v>
      </c>
      <c r="I315" s="555">
        <f t="shared" si="463"/>
        <v>17</v>
      </c>
      <c r="J315" s="451">
        <f t="shared" si="464"/>
        <v>23.85</v>
      </c>
      <c r="K315" s="451">
        <f t="shared" si="465"/>
        <v>40.85</v>
      </c>
      <c r="L315" s="451"/>
      <c r="M315" s="221">
        <f t="shared" si="466"/>
        <v>0.58384332925336602</v>
      </c>
      <c r="N315" s="176">
        <f t="shared" si="500"/>
        <v>19.329593023255811</v>
      </c>
      <c r="O315" s="176">
        <f t="shared" si="459"/>
        <v>14.7</v>
      </c>
      <c r="P315" s="221">
        <f t="shared" si="501"/>
        <v>1.2886395348837207</v>
      </c>
      <c r="Q315" s="221">
        <f t="shared" si="469"/>
        <v>15</v>
      </c>
      <c r="R315" s="221"/>
      <c r="S315" s="176">
        <f t="shared" si="470"/>
        <v>22.87878374679417</v>
      </c>
      <c r="T315" s="176">
        <f t="shared" si="502"/>
        <v>15</v>
      </c>
      <c r="U315" s="221">
        <f t="shared" si="472"/>
        <v>3.1180170181280062</v>
      </c>
      <c r="V315" s="221">
        <f t="shared" si="503"/>
        <v>1.2838893604056496</v>
      </c>
      <c r="W315" s="221">
        <f t="shared" si="474"/>
        <v>0.91514126318222411</v>
      </c>
      <c r="X315" s="201">
        <f t="shared" si="475"/>
        <v>350</v>
      </c>
      <c r="Y315" s="451">
        <f t="shared" si="461"/>
        <v>350</v>
      </c>
      <c r="AA315" s="221">
        <f t="shared" si="476"/>
        <v>4.0511577948192743</v>
      </c>
      <c r="AB315" s="177">
        <f t="shared" si="504"/>
        <v>1.1890190592760972</v>
      </c>
      <c r="AC315" s="177">
        <f t="shared" si="505"/>
        <v>1.2644372554209482</v>
      </c>
      <c r="AD315" s="177"/>
      <c r="AE315" s="177">
        <f t="shared" si="479"/>
        <v>0.24067085953878403</v>
      </c>
      <c r="AF315" s="559">
        <f t="shared" si="506"/>
        <v>6621.0588935157657</v>
      </c>
      <c r="AG315" s="542">
        <f t="shared" si="481"/>
        <v>5.1804402515723262E-2</v>
      </c>
      <c r="AI315" s="177">
        <f t="shared" si="482"/>
        <v>3.5665109000254018</v>
      </c>
      <c r="AJ315" s="177">
        <f t="shared" si="507"/>
        <v>3.5665109000254018</v>
      </c>
      <c r="AK315" s="177">
        <f t="shared" si="508"/>
        <v>3.234452518537335</v>
      </c>
      <c r="AM315" s="559">
        <f t="shared" si="485"/>
        <v>980</v>
      </c>
      <c r="AN315" s="469">
        <f t="shared" si="486"/>
        <v>350</v>
      </c>
      <c r="AP315">
        <f t="shared" si="487"/>
        <v>980</v>
      </c>
      <c r="AQ315">
        <f t="shared" si="488"/>
        <v>350</v>
      </c>
      <c r="AS315" s="5">
        <f t="shared" si="460"/>
        <v>2.8571428571428572</v>
      </c>
      <c r="AT315" s="5">
        <f t="shared" si="489"/>
        <v>1.4685633117751653</v>
      </c>
      <c r="AU315" s="5">
        <f t="shared" si="497"/>
        <v>1.3885795453676919</v>
      </c>
      <c r="AV315" s="5"/>
      <c r="AW315" s="177">
        <f t="shared" si="498"/>
        <v>0.51399715912130783</v>
      </c>
      <c r="AX315" s="177"/>
      <c r="BA315" s="469">
        <f t="shared" si="490"/>
        <v>16.399012161831713</v>
      </c>
      <c r="BB315" s="469">
        <f t="shared" si="491"/>
        <v>35.727209874989818</v>
      </c>
      <c r="BC315" s="5">
        <f t="shared" si="496"/>
        <v>1.6852110891149696</v>
      </c>
      <c r="BD315" s="469">
        <f t="shared" si="492"/>
        <v>0</v>
      </c>
      <c r="CD315" s="576">
        <f t="shared" si="493"/>
        <v>-50</v>
      </c>
      <c r="CE315">
        <f t="shared" si="494"/>
        <v>-50</v>
      </c>
    </row>
    <row r="316" spans="5:83" x14ac:dyDescent="0.25">
      <c r="E316" s="174">
        <v>99</v>
      </c>
      <c r="F316" s="221">
        <f t="shared" si="509"/>
        <v>0.99</v>
      </c>
      <c r="G316" s="221"/>
      <c r="H316" s="221">
        <f t="shared" si="499"/>
        <v>14.85</v>
      </c>
      <c r="I316" s="555">
        <f t="shared" si="463"/>
        <v>17</v>
      </c>
      <c r="J316" s="451">
        <f t="shared" si="464"/>
        <v>23.85</v>
      </c>
      <c r="K316" s="451">
        <f t="shared" si="465"/>
        <v>40.85</v>
      </c>
      <c r="L316" s="451"/>
      <c r="M316" s="221">
        <f t="shared" si="466"/>
        <v>0.58384332925336602</v>
      </c>
      <c r="N316" s="176">
        <f t="shared" si="500"/>
        <v>19.329593023255811</v>
      </c>
      <c r="O316" s="176">
        <f t="shared" si="459"/>
        <v>14.85</v>
      </c>
      <c r="P316" s="221">
        <f t="shared" si="501"/>
        <v>1.2886395348837207</v>
      </c>
      <c r="Q316" s="221">
        <f t="shared" si="469"/>
        <v>15</v>
      </c>
      <c r="R316" s="221"/>
      <c r="S316" s="176">
        <f t="shared" si="470"/>
        <v>22.543671296820246</v>
      </c>
      <c r="T316" s="176">
        <f t="shared" si="502"/>
        <v>15</v>
      </c>
      <c r="U316" s="221">
        <f t="shared" si="472"/>
        <v>3.149833518312986</v>
      </c>
      <c r="V316" s="221">
        <f t="shared" si="503"/>
        <v>1.2969902722465236</v>
      </c>
      <c r="W316" s="221">
        <f t="shared" si="474"/>
        <v>0.9244794393371446</v>
      </c>
      <c r="X316" s="201">
        <f t="shared" si="475"/>
        <v>350</v>
      </c>
      <c r="Y316" s="451">
        <f t="shared" si="461"/>
        <v>350</v>
      </c>
      <c r="AA316" s="221">
        <f t="shared" si="476"/>
        <v>4.0511577948192743</v>
      </c>
      <c r="AB316" s="177">
        <f t="shared" si="504"/>
        <v>1.1890190592760972</v>
      </c>
      <c r="AC316" s="177">
        <f t="shared" si="505"/>
        <v>1.2644372554209482</v>
      </c>
      <c r="AD316" s="177"/>
      <c r="AE316" s="177">
        <f t="shared" si="479"/>
        <v>0.24067085953878403</v>
      </c>
      <c r="AF316" s="559">
        <f t="shared" si="506"/>
        <v>6688.6207189598035</v>
      </c>
      <c r="AG316" s="542">
        <f t="shared" si="481"/>
        <v>5.1804402515723262E-2</v>
      </c>
      <c r="AI316" s="177">
        <f t="shared" si="482"/>
        <v>3.5846611999416838</v>
      </c>
      <c r="AJ316" s="177">
        <f t="shared" si="507"/>
        <v>3.5846611999416838</v>
      </c>
      <c r="AK316" s="177">
        <f t="shared" si="508"/>
        <v>3.247897185141988</v>
      </c>
      <c r="AM316" s="559">
        <f t="shared" si="485"/>
        <v>990</v>
      </c>
      <c r="AN316" s="469">
        <f t="shared" si="486"/>
        <v>350</v>
      </c>
      <c r="AP316">
        <f t="shared" si="487"/>
        <v>990</v>
      </c>
      <c r="AQ316">
        <f t="shared" si="488"/>
        <v>350</v>
      </c>
      <c r="AS316" s="5">
        <f t="shared" si="460"/>
        <v>2.8571428571428572</v>
      </c>
      <c r="AT316" s="5">
        <f t="shared" si="489"/>
        <v>1.4760369646818698</v>
      </c>
      <c r="AU316" s="5">
        <f t="shared" si="497"/>
        <v>1.3811058924609874</v>
      </c>
      <c r="AV316" s="5"/>
      <c r="AW316" s="177">
        <f t="shared" si="498"/>
        <v>0.51661293763865446</v>
      </c>
      <c r="AX316" s="177"/>
      <c r="BA316" s="469">
        <f t="shared" si="490"/>
        <v>16.399012161831713</v>
      </c>
      <c r="BB316" s="469">
        <f t="shared" si="491"/>
        <v>36.429750519031145</v>
      </c>
      <c r="BC316" s="5">
        <f t="shared" si="496"/>
        <v>1.6932443758964426</v>
      </c>
      <c r="BD316" s="469">
        <f t="shared" si="492"/>
        <v>0</v>
      </c>
      <c r="CD316" s="576">
        <f t="shared" si="493"/>
        <v>-50</v>
      </c>
      <c r="CE316">
        <f t="shared" si="494"/>
        <v>-50</v>
      </c>
    </row>
    <row r="317" spans="5:83" x14ac:dyDescent="0.25">
      <c r="E317" s="174">
        <v>100</v>
      </c>
      <c r="F317" s="221">
        <f t="shared" si="509"/>
        <v>1</v>
      </c>
      <c r="G317" s="221"/>
      <c r="H317" s="221">
        <f t="shared" si="499"/>
        <v>15</v>
      </c>
      <c r="I317" s="555">
        <f t="shared" si="463"/>
        <v>17</v>
      </c>
      <c r="J317" s="451">
        <f t="shared" si="464"/>
        <v>23.85</v>
      </c>
      <c r="K317" s="451">
        <f t="shared" si="465"/>
        <v>40.85</v>
      </c>
      <c r="L317" s="451"/>
      <c r="M317" s="221">
        <f t="shared" si="466"/>
        <v>0.58384332925336602</v>
      </c>
      <c r="N317" s="176">
        <f t="shared" si="500"/>
        <v>19.329593023255811</v>
      </c>
      <c r="O317" s="176">
        <f t="shared" si="459"/>
        <v>15</v>
      </c>
      <c r="P317" s="221">
        <f t="shared" si="501"/>
        <v>1.2886395348837207</v>
      </c>
      <c r="Q317" s="221">
        <f t="shared" si="469"/>
        <v>15</v>
      </c>
      <c r="R317" s="221"/>
      <c r="S317" s="176">
        <f t="shared" si="470"/>
        <v>22.215430352628715</v>
      </c>
      <c r="T317" s="176">
        <f t="shared" si="502"/>
        <v>15</v>
      </c>
      <c r="U317" s="221">
        <f t="shared" si="472"/>
        <v>3.1816500184979657</v>
      </c>
      <c r="V317" s="221">
        <f t="shared" si="503"/>
        <v>1.3100911840873977</v>
      </c>
      <c r="W317" s="221">
        <f t="shared" si="474"/>
        <v>0.93381761549206532</v>
      </c>
      <c r="X317" s="201">
        <f t="shared" si="475"/>
        <v>350</v>
      </c>
      <c r="Y317" s="451">
        <f t="shared" si="461"/>
        <v>350</v>
      </c>
      <c r="AA317" s="221">
        <f t="shared" si="476"/>
        <v>4.0511577948192743</v>
      </c>
      <c r="AB317" s="177">
        <f t="shared" si="504"/>
        <v>1.1890190592760972</v>
      </c>
      <c r="AC317" s="177">
        <f t="shared" si="505"/>
        <v>1.2644372554209482</v>
      </c>
      <c r="AD317" s="177"/>
      <c r="AE317" s="177">
        <f t="shared" si="479"/>
        <v>0.24067085953878403</v>
      </c>
      <c r="AF317" s="559">
        <f t="shared" si="506"/>
        <v>6756.1825444038423</v>
      </c>
      <c r="AG317" s="542">
        <f t="shared" si="481"/>
        <v>5.1804402515723262E-2</v>
      </c>
      <c r="AI317" s="177">
        <f t="shared" si="482"/>
        <v>3.602720060833855</v>
      </c>
      <c r="AJ317" s="177">
        <f t="shared" si="507"/>
        <v>3.602720060833855</v>
      </c>
      <c r="AK317" s="177">
        <f t="shared" si="508"/>
        <v>3.2612741191361891</v>
      </c>
      <c r="AM317" s="559">
        <f t="shared" si="485"/>
        <v>1000</v>
      </c>
      <c r="AN317" s="469">
        <f t="shared" si="486"/>
        <v>350</v>
      </c>
      <c r="AP317">
        <f t="shared" si="487"/>
        <v>1000</v>
      </c>
      <c r="AQ317">
        <f t="shared" si="488"/>
        <v>350</v>
      </c>
      <c r="AS317" s="5">
        <f t="shared" si="460"/>
        <v>2.8571428571428572</v>
      </c>
      <c r="AT317" s="5">
        <f t="shared" si="489"/>
        <v>1.4834729662257049</v>
      </c>
      <c r="AU317" s="5">
        <f t="shared" si="497"/>
        <v>1.3736698909171523</v>
      </c>
      <c r="AV317" s="5"/>
      <c r="AW317" s="177">
        <f t="shared" si="498"/>
        <v>0.51921553817899668</v>
      </c>
      <c r="AX317" s="177"/>
      <c r="BA317" s="469">
        <f t="shared" si="490"/>
        <v>16.399012161831713</v>
      </c>
      <c r="BB317" s="469">
        <f t="shared" si="491"/>
        <v>37.139118986869867</v>
      </c>
      <c r="BC317" s="5">
        <f t="shared" si="496"/>
        <v>1.701139183798331</v>
      </c>
      <c r="BD317" s="469">
        <f t="shared" si="492"/>
        <v>0</v>
      </c>
      <c r="CD317" s="576">
        <f t="shared" si="493"/>
        <v>-50</v>
      </c>
      <c r="CE317">
        <f t="shared" si="494"/>
        <v>-50</v>
      </c>
    </row>
    <row r="318" spans="5:83" x14ac:dyDescent="0.25">
      <c r="E318" s="174"/>
      <c r="F318" s="221"/>
      <c r="G318" s="221"/>
      <c r="CD318" s="576"/>
    </row>
    <row r="319" spans="5:83" x14ac:dyDescent="0.25">
      <c r="CD319" s="576"/>
    </row>
    <row r="320" spans="5:83" x14ac:dyDescent="0.25">
      <c r="CD320" s="576"/>
    </row>
    <row r="321" spans="82:82" x14ac:dyDescent="0.25">
      <c r="CD321" s="576"/>
    </row>
    <row r="322" spans="82:82" x14ac:dyDescent="0.25">
      <c r="CD322" s="576"/>
    </row>
  </sheetData>
  <mergeCells count="2">
    <mergeCell ref="M3:AA3"/>
    <mergeCell ref="BA2:BB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tabColor rgb="FF7030A0"/>
  </sheetPr>
  <dimension ref="B1:CF319"/>
  <sheetViews>
    <sheetView topLeftCell="M64" zoomScaleNormal="100" workbookViewId="0">
      <selection activeCell="AY105" sqref="AY105"/>
    </sheetView>
  </sheetViews>
  <sheetFormatPr defaultRowHeight="13.2" x14ac:dyDescent="0.25"/>
  <cols>
    <col min="1" max="1" width="2.88671875" customWidth="1"/>
    <col min="2" max="2" width="3.5546875" customWidth="1"/>
    <col min="3" max="3" width="2.88671875" customWidth="1"/>
    <col min="4" max="4" width="3.6640625" customWidth="1"/>
    <col min="5" max="5" width="6.109375" customWidth="1"/>
    <col min="6" max="7" width="7.6640625" customWidth="1"/>
    <col min="8" max="9" width="7.88671875" customWidth="1"/>
    <col min="10" max="10" width="6.33203125" customWidth="1"/>
    <col min="11" max="11" width="9.5546875" customWidth="1"/>
    <col min="12" max="12" width="9.33203125" customWidth="1"/>
    <col min="13" max="13" width="1.88671875" customWidth="1"/>
    <col min="14" max="14" width="8.44140625" customWidth="1"/>
    <col min="15" max="16" width="9.5546875" customWidth="1"/>
    <col min="17" max="18" width="8.88671875" customWidth="1"/>
    <col min="19" max="19" width="8.5546875" customWidth="1"/>
    <col min="20" max="20" width="7.5546875" customWidth="1"/>
    <col min="21" max="21" width="9" customWidth="1"/>
    <col min="22" max="22" width="8.88671875" customWidth="1"/>
    <col min="23" max="23" width="10" customWidth="1"/>
    <col min="24" max="24" width="9.5546875" customWidth="1"/>
    <col min="25" max="25" width="1.88671875" customWidth="1"/>
    <col min="26" max="26" width="9.88671875" customWidth="1"/>
    <col min="27" max="27" width="10.44140625" customWidth="1"/>
    <col min="28" max="28" width="10.109375" customWidth="1"/>
    <col min="29" max="29" width="2" customWidth="1"/>
    <col min="30" max="30" width="9.109375" customWidth="1"/>
    <col min="31" max="31" width="9.44140625" customWidth="1"/>
    <col min="32" max="32" width="10.44140625" customWidth="1"/>
    <col min="33" max="33" width="2.109375" customWidth="1"/>
    <col min="35" max="35" width="8" customWidth="1"/>
    <col min="37" max="37" width="2.33203125" customWidth="1"/>
    <col min="38" max="38" width="6.5546875" customWidth="1"/>
    <col min="39" max="39" width="7.5546875" customWidth="1"/>
    <col min="40" max="40" width="2" customWidth="1"/>
    <col min="41" max="41" width="6.44140625" customWidth="1"/>
    <col min="42" max="42" width="7.5546875" customWidth="1"/>
    <col min="43" max="43" width="2.109375" customWidth="1"/>
    <col min="44" max="46" width="7" customWidth="1"/>
    <col min="47" max="47" width="8.44140625" customWidth="1"/>
    <col min="48" max="48" width="2.109375" customWidth="1"/>
    <col min="49" max="49" width="9.44140625" customWidth="1"/>
    <col min="50" max="50" width="11.5546875" bestFit="1" customWidth="1"/>
    <col min="51" max="51" width="9.44140625" customWidth="1"/>
    <col min="52" max="52" width="11.5546875" bestFit="1" customWidth="1"/>
    <col min="53" max="53" width="10.33203125" customWidth="1"/>
    <col min="54" max="54" width="11.33203125" customWidth="1"/>
    <col min="55" max="55" width="2" customWidth="1"/>
    <col min="59" max="59" width="2.109375" customWidth="1"/>
    <col min="60" max="60" width="9" customWidth="1"/>
    <col min="61" max="62" width="8.109375" customWidth="1"/>
    <col min="63" max="63" width="8.6640625" customWidth="1"/>
    <col min="64" max="65" width="7.5546875" customWidth="1"/>
    <col min="66" max="67" width="10.33203125" customWidth="1"/>
    <col min="68" max="68" width="9.44140625" customWidth="1"/>
    <col min="69" max="69" width="9.5546875" customWidth="1"/>
    <col min="70" max="70" width="10" customWidth="1"/>
    <col min="71" max="71" width="8.6640625" customWidth="1"/>
    <col min="74" max="74" width="9.88671875" customWidth="1"/>
    <col min="75" max="75" width="12.109375" customWidth="1"/>
    <col min="76" max="76" width="9.109375" customWidth="1"/>
    <col min="78" max="78" width="7.6640625" customWidth="1"/>
    <col min="79" max="79" width="10.44140625" customWidth="1"/>
    <col min="80" max="80" width="12.44140625" bestFit="1" customWidth="1"/>
    <col min="81" max="81" width="6.5546875" customWidth="1"/>
    <col min="82" max="82" width="5" customWidth="1"/>
    <col min="83" max="83" width="9.5546875" customWidth="1"/>
  </cols>
  <sheetData>
    <row r="1" spans="2:84" x14ac:dyDescent="0.25">
      <c r="B1" s="453" t="s">
        <v>528</v>
      </c>
    </row>
    <row r="2" spans="2:84" ht="13.8" thickBot="1" x14ac:dyDescent="0.3"/>
    <row r="3" spans="2:84" x14ac:dyDescent="0.25">
      <c r="E3" s="224" t="s">
        <v>432</v>
      </c>
      <c r="F3" s="554"/>
      <c r="G3" s="554"/>
      <c r="H3" s="554"/>
      <c r="I3" s="554"/>
      <c r="J3" s="225"/>
      <c r="K3" s="226"/>
      <c r="L3" s="538"/>
      <c r="M3" s="538"/>
      <c r="N3" s="701" t="s">
        <v>190</v>
      </c>
      <c r="O3" s="702"/>
      <c r="P3" s="703"/>
      <c r="Q3" s="701"/>
      <c r="R3" s="703"/>
      <c r="S3" s="701"/>
      <c r="T3" s="701"/>
      <c r="U3" s="702"/>
      <c r="V3" s="702"/>
      <c r="W3" s="701"/>
      <c r="X3" s="702"/>
      <c r="Y3" s="701"/>
      <c r="Z3" s="704"/>
      <c r="AA3" s="547"/>
      <c r="AB3" s="547"/>
      <c r="AC3" s="547"/>
      <c r="AD3" s="547"/>
      <c r="AE3" s="547"/>
      <c r="AF3" s="547"/>
      <c r="AG3" s="547"/>
      <c r="AH3" s="547"/>
      <c r="AI3" s="547"/>
      <c r="AJ3" s="547"/>
      <c r="AK3" s="547"/>
      <c r="AL3" s="547"/>
      <c r="AM3" s="547"/>
      <c r="AN3" s="547"/>
      <c r="AO3" s="547"/>
      <c r="AP3" s="547"/>
      <c r="AQ3" s="547"/>
      <c r="AR3" s="547" t="s">
        <v>471</v>
      </c>
      <c r="AS3" s="547"/>
      <c r="AT3" s="547"/>
      <c r="AU3" s="547"/>
      <c r="AV3" s="547"/>
      <c r="AW3" s="706" t="s">
        <v>481</v>
      </c>
      <c r="AX3" s="706"/>
      <c r="AY3" s="706"/>
      <c r="AZ3" s="706"/>
      <c r="BA3" s="706"/>
      <c r="BB3" s="674"/>
      <c r="BC3" s="547"/>
      <c r="BD3" s="572" t="s">
        <v>482</v>
      </c>
      <c r="BE3" s="547"/>
      <c r="BF3" s="547"/>
      <c r="BG3" s="547"/>
      <c r="BH3" s="572" t="s">
        <v>505</v>
      </c>
      <c r="BI3" s="547"/>
      <c r="BJ3" s="547"/>
      <c r="BK3" s="547"/>
      <c r="BL3" s="547"/>
      <c r="BM3" s="547"/>
      <c r="BN3" s="572" t="s">
        <v>501</v>
      </c>
      <c r="BO3" s="547"/>
      <c r="BP3" s="547"/>
      <c r="BQ3" s="547"/>
      <c r="BR3" s="547"/>
      <c r="BS3" s="573" t="s">
        <v>502</v>
      </c>
      <c r="BT3" s="547"/>
      <c r="BU3" s="547"/>
      <c r="BV3" s="547"/>
      <c r="BW3" s="547"/>
      <c r="BX3" s="547"/>
      <c r="BY3" s="572"/>
      <c r="BZ3" s="547"/>
      <c r="CA3" s="547"/>
      <c r="CB3" s="547"/>
      <c r="CC3" s="547"/>
    </row>
    <row r="4" spans="2:84" ht="45" customHeight="1" thickBot="1" x14ac:dyDescent="0.3">
      <c r="E4" s="245" t="s">
        <v>25</v>
      </c>
      <c r="F4" s="619" t="s">
        <v>597</v>
      </c>
      <c r="G4" s="452" t="s">
        <v>596</v>
      </c>
      <c r="H4" s="620" t="s">
        <v>598</v>
      </c>
      <c r="I4" s="621" t="s">
        <v>599</v>
      </c>
      <c r="J4" s="246" t="s">
        <v>423</v>
      </c>
      <c r="K4" s="247" t="s">
        <v>603</v>
      </c>
      <c r="L4" s="622" t="s">
        <v>424</v>
      </c>
      <c r="M4" s="623"/>
      <c r="N4" s="248" t="s">
        <v>48</v>
      </c>
      <c r="O4" s="623" t="s">
        <v>607</v>
      </c>
      <c r="P4" s="623" t="s">
        <v>622</v>
      </c>
      <c r="Q4" s="623" t="s">
        <v>600</v>
      </c>
      <c r="R4" s="623" t="s">
        <v>601</v>
      </c>
      <c r="S4" s="623" t="s">
        <v>602</v>
      </c>
      <c r="T4" s="623" t="s">
        <v>425</v>
      </c>
      <c r="U4" s="623" t="s">
        <v>477</v>
      </c>
      <c r="V4" s="623" t="s">
        <v>476</v>
      </c>
      <c r="W4" s="624" t="s">
        <v>431</v>
      </c>
      <c r="X4" s="625" t="s">
        <v>436</v>
      </c>
      <c r="Z4" s="249" t="s">
        <v>428</v>
      </c>
      <c r="AA4" s="249" t="s">
        <v>475</v>
      </c>
      <c r="AB4" s="249" t="s">
        <v>604</v>
      </c>
      <c r="AC4" s="558"/>
      <c r="AD4" s="249" t="s">
        <v>474</v>
      </c>
      <c r="AE4" s="624" t="s">
        <v>437</v>
      </c>
      <c r="AF4" s="249" t="s">
        <v>605</v>
      </c>
      <c r="AG4" s="558"/>
      <c r="AH4" s="249" t="s">
        <v>440</v>
      </c>
      <c r="AI4" s="561" t="s">
        <v>441</v>
      </c>
      <c r="AJ4" s="561" t="s">
        <v>442</v>
      </c>
      <c r="AL4" s="557" t="s">
        <v>276</v>
      </c>
      <c r="AM4" s="557" t="s">
        <v>443</v>
      </c>
      <c r="AO4" s="249" t="s">
        <v>276</v>
      </c>
      <c r="AP4" s="249" t="s">
        <v>443</v>
      </c>
      <c r="AQ4" s="562"/>
      <c r="AR4" s="249" t="s">
        <v>478</v>
      </c>
      <c r="AS4" s="249" t="s">
        <v>472</v>
      </c>
      <c r="AT4" s="249" t="s">
        <v>473</v>
      </c>
      <c r="AU4" s="249" t="s">
        <v>48</v>
      </c>
      <c r="AV4" s="558"/>
      <c r="AW4" s="249" t="s">
        <v>608</v>
      </c>
      <c r="AX4" s="249" t="s">
        <v>721</v>
      </c>
      <c r="AY4" s="249" t="s">
        <v>609</v>
      </c>
      <c r="AZ4" s="249" t="s">
        <v>722</v>
      </c>
      <c r="BA4" s="249" t="s">
        <v>527</v>
      </c>
      <c r="BB4" s="249" t="s">
        <v>723</v>
      </c>
      <c r="BC4" s="558"/>
      <c r="BD4" s="571" t="s">
        <v>467</v>
      </c>
      <c r="BE4" s="249" t="s">
        <v>616</v>
      </c>
      <c r="BF4" s="249" t="s">
        <v>615</v>
      </c>
      <c r="BG4" s="558"/>
      <c r="BH4" s="571" t="s">
        <v>485</v>
      </c>
      <c r="BI4" s="249" t="s">
        <v>486</v>
      </c>
      <c r="BJ4" s="249" t="s">
        <v>484</v>
      </c>
      <c r="BK4" s="249" t="s">
        <v>480</v>
      </c>
      <c r="BL4" s="249" t="s">
        <v>489</v>
      </c>
      <c r="BM4" s="249" t="s">
        <v>503</v>
      </c>
      <c r="BN4" s="571" t="s">
        <v>618</v>
      </c>
      <c r="BO4" s="249" t="s">
        <v>617</v>
      </c>
      <c r="BP4" s="249" t="s">
        <v>488</v>
      </c>
      <c r="BQ4" s="249" t="s">
        <v>495</v>
      </c>
      <c r="BR4" s="249" t="s">
        <v>499</v>
      </c>
      <c r="BS4" s="571" t="s">
        <v>469</v>
      </c>
      <c r="BT4" s="249" t="s">
        <v>620</v>
      </c>
      <c r="BU4" s="249" t="s">
        <v>619</v>
      </c>
      <c r="BV4" s="249" t="s">
        <v>479</v>
      </c>
      <c r="BW4" s="249" t="s">
        <v>496</v>
      </c>
      <c r="BX4" s="249" t="s">
        <v>498</v>
      </c>
      <c r="BY4" s="571" t="s">
        <v>494</v>
      </c>
      <c r="BZ4" s="249" t="s">
        <v>224</v>
      </c>
      <c r="CA4" s="249" t="s">
        <v>47</v>
      </c>
      <c r="CB4" s="249" t="s">
        <v>497</v>
      </c>
      <c r="CC4" s="249" t="s">
        <v>621</v>
      </c>
      <c r="CE4" s="584" t="s">
        <v>510</v>
      </c>
    </row>
    <row r="5" spans="2:84" x14ac:dyDescent="0.25">
      <c r="E5" s="174">
        <v>0.1</v>
      </c>
      <c r="F5" s="221">
        <v>1.0000000000000001E-9</v>
      </c>
      <c r="G5" s="221">
        <v>1.0000000000000001E-9</v>
      </c>
      <c r="H5" s="221">
        <f t="shared" ref="H5:H36" si="0">F5*Vout</f>
        <v>1.5000000000000002E-8</v>
      </c>
      <c r="I5" s="221">
        <f>G5*Vout2</f>
        <v>7.0000000000000006E-9</v>
      </c>
      <c r="J5" s="555">
        <f t="shared" ref="J5:J68" si="1">Vin</f>
        <v>15</v>
      </c>
      <c r="K5" s="451">
        <f t="shared" ref="K5:K68" si="2">(S5+Vfwd1)*Nps</f>
        <v>23.85</v>
      </c>
      <c r="L5" s="451">
        <f t="shared" ref="L5:L68" si="3">(Vout+Vfwd1)*Nps+J5</f>
        <v>38.85</v>
      </c>
      <c r="M5" s="451"/>
      <c r="N5" s="221">
        <f t="shared" ref="N5:N68" si="4">(Vout+Vfwd1)*Nps/((Vout+Vfwd1)*Nps+J5)</f>
        <v>0.61389961389961389</v>
      </c>
      <c r="O5" s="176">
        <f>N5*J5*Isw_max*0.5*Efficiency*(Pout/Pout_total)</f>
        <v>16.059888780038033</v>
      </c>
      <c r="P5" s="176">
        <f t="shared" ref="P5:P36" si="5">N5*J5*Isw_max*0.5*Efficiency*(Pout2/Pout_total)</f>
        <v>1.873653691004437</v>
      </c>
      <c r="Q5" s="221">
        <f t="shared" ref="Q5:Q68" si="6">O5/Vout</f>
        <v>1.0706592520025355</v>
      </c>
      <c r="R5" s="221">
        <f t="shared" ref="R5:R36" si="7">O5/Vout2</f>
        <v>2.2942698257197192</v>
      </c>
      <c r="S5" s="451">
        <f t="shared" ref="S5:S36" si="8">MIN(Vout,O5/F5)</f>
        <v>15</v>
      </c>
      <c r="T5" s="221">
        <f t="shared" ref="T5:T36" si="9">MIN(2*(Vout*F5+Vout2*G5)/(Efficiency*J5*N5), Isw_max)</f>
        <v>5.0296811210415982E-9</v>
      </c>
      <c r="U5" s="221">
        <f t="shared" ref="U5:U68" si="10">L*T5/J5*1000000</f>
        <v>2.347184523152746E-9</v>
      </c>
      <c r="V5" s="221">
        <f t="shared" ref="V5:V68" si="11">L*T5/K5*1000000</f>
        <v>1.4762166812281419E-9</v>
      </c>
      <c r="W5" s="201">
        <f t="shared" ref="W5:W68" si="12">IF(1/((350000*L)*(1/J5+1/K5))&gt;Isw_min, 350, 0.001/((Isw_min*L)*(1/J5+1/K5)))</f>
        <v>350</v>
      </c>
      <c r="X5" s="451">
        <f>MIN(1/(U5+V5)*1000, 350)</f>
        <v>350</v>
      </c>
      <c r="Z5" s="221">
        <f t="shared" ref="Z5:Z68" si="13">1/((W5*1000*L)*(1/J5+1/K5))</f>
        <v>3.7585690646915135</v>
      </c>
      <c r="AA5" s="177">
        <f t="shared" ref="AA5:AA68" si="14">L*Z5/K5*1000000</f>
        <v>1.1031439602868174</v>
      </c>
      <c r="AB5" s="177">
        <f t="shared" ref="AB5:AB36" si="15">0.5*AA5*Z5*Nps*W5/1000*(Pout/Pout_total)</f>
        <v>0.97467647041501804</v>
      </c>
      <c r="AC5" s="177"/>
      <c r="AD5" s="177">
        <f t="shared" ref="AD5:AD68" si="16">L*Isw_min/K5*1000000</f>
        <v>0.24067085953878403</v>
      </c>
      <c r="AE5" s="559">
        <f t="shared" ref="AE5:AE36" si="17">MAX(10, F5/(0.5*AD5/1000000*Isw_min*Nps)/1000*Pout_total/Pout)</f>
        <v>10</v>
      </c>
      <c r="AF5" s="542">
        <f t="shared" ref="AF5:AF36" si="18">0.5*AD5/1000000*Isw_min*Nps*W5*1000*(Pout/Pout_total)</f>
        <v>4.6392002252886505E-2</v>
      </c>
      <c r="AH5" s="177">
        <f t="shared" ref="AH5:AH36" si="19">SQRT((H5+I5)/(0.5*L*Fsw_DCM))</f>
        <v>1.3401187885209799E-4</v>
      </c>
      <c r="AI5" s="177">
        <f t="shared" ref="AI5:AI36" si="20">MAX(IF(F5&gt;AB5,T5,AH5),Isw_min)</f>
        <v>0.82</v>
      </c>
      <c r="AJ5" s="177">
        <f t="shared" ref="AJ5:AJ36" si="21">IF(F5&gt;AF5, (AI5-Isw_min)/1.08*0.8+1.2, AE5*0.2/350+1)</f>
        <v>1.0057142857142858</v>
      </c>
      <c r="AL5" s="559">
        <f t="shared" ref="AL5:AL36" si="22">F5*1000</f>
        <v>1.0000000000000002E-6</v>
      </c>
      <c r="AM5" s="469">
        <f t="shared" ref="AM5:AM36" si="23">IF(F5&gt;AF5, X5, AE5)</f>
        <v>10</v>
      </c>
      <c r="AO5">
        <f>IF(H5&gt;O5, "",AL5)</f>
        <v>1.0000000000000002E-6</v>
      </c>
      <c r="AP5" s="469">
        <f t="shared" ref="AP5:AP68" si="24">IF(H5&gt;O5, "",AM5)</f>
        <v>10</v>
      </c>
      <c r="AQ5" s="469"/>
      <c r="AR5" s="5">
        <f>1/AM5*1000</f>
        <v>100</v>
      </c>
      <c r="AS5" s="5">
        <f t="shared" ref="AS5:AS68" si="25">L*AI5/J5*1000000</f>
        <v>0.3826666666666666</v>
      </c>
      <c r="AT5" s="5">
        <f>AR5-AS5</f>
        <v>99.617333333333335</v>
      </c>
      <c r="AU5" s="177">
        <f>AS5/AR5</f>
        <v>3.8266666666666662E-3</v>
      </c>
      <c r="AW5" s="5">
        <f>L/(Npri_sec1^2)*Iout^2/(2*Vripple1_spec*Vout*Npri_sec1^2)*1000000000*((1+N5)/(1-N5))^2</f>
        <v>5.3687484224965702</v>
      </c>
      <c r="AX5" s="5">
        <f t="shared" ref="AX5:AX36" si="26">L*F5^2/(2*Cout*Vout*Nps^2)*1000000000*((1+N5)/(1-N5))^2+F5*RCoutEsr</f>
        <v>3.0000000411807413E-9</v>
      </c>
      <c r="AY5" s="5">
        <f t="shared" ref="AY5:AY36" si="27">L*Iout2^2/(2*Vripple2_spec*Vout2*Npri_sec2^2)*1000000000*((1+N5)/(1-N5))^2</f>
        <v>0.85581907298473081</v>
      </c>
      <c r="AZ5" s="5">
        <f t="shared" ref="AZ5:AZ36" si="28">L*G5^2/(2*Cout2*Vout2*Npri_sec2^2)*1000000000*((1+N5)/(1-N5))^2+G5*CoutEsr2</f>
        <v>3.0000000217844859E-9</v>
      </c>
      <c r="BA5" s="5">
        <f t="shared" ref="BA5:BA36" si="29">(H5+I5)/Efficiency/J5*AT5/Vinripple1</f>
        <v>2.0506024171539962E-7</v>
      </c>
      <c r="BB5" s="469">
        <f t="shared" ref="BB5:BB36" si="30">((BZ5/J5/Efficiency)*AT5/Cin+(BZ5/J5/Efficiency)*RCinEsr)*1000</f>
        <v>1.538414970760234E-5</v>
      </c>
      <c r="BC5" s="5"/>
      <c r="BD5" s="177">
        <f>AI5*SQRT(AU5/3)</f>
        <v>2.9286234916007136E-2</v>
      </c>
      <c r="BE5" s="177">
        <f t="shared" ref="BE5:BE36" si="31">AI5*Npri_sec1*SQRT((1-AU5)/3)*(Pout/Pout_total)</f>
        <v>0.63472906802610063</v>
      </c>
      <c r="BF5" s="177">
        <f t="shared" ref="BF5:BF36" si="32">AI5*Npri_sec2*SQRT((1-AU5)/3)*(Pout2/Pout_total)</f>
        <v>0.14904081280866033</v>
      </c>
      <c r="BG5" s="177"/>
      <c r="BH5" s="542">
        <f t="shared" ref="BH5:BH68" si="33">Rdson*BD5^2</f>
        <v>9.43451911111111E-5</v>
      </c>
      <c r="BI5" s="542">
        <f t="shared" ref="BI5:BI68" si="34">0.5*L5*AI5*AM5*1000*Trise</f>
        <v>1.59285E-3</v>
      </c>
      <c r="BJ5" s="542">
        <f t="shared" ref="BJ5:BJ68" si="35">Qg*Vdd*AM5*1000</f>
        <v>5.0000000000000001E-4</v>
      </c>
      <c r="BK5" s="542">
        <f t="shared" ref="BK5:BK68" si="36">0.5*(Coss+Csw)*L5^2*AM5*1000</f>
        <v>3.3959756250000004E-3</v>
      </c>
      <c r="BL5">
        <f t="shared" ref="BL5:BL68" si="37">J5*IQ</f>
        <v>4.3499999999999997E-3</v>
      </c>
      <c r="BM5" s="469">
        <f>SUM(BH5:BL5)*1000</f>
        <v>9.9331708161111116</v>
      </c>
      <c r="BN5" s="177">
        <f t="shared" ref="BN5:BN36" si="38">Vfwd2*F5</f>
        <v>9.000000000000001E-10</v>
      </c>
      <c r="BO5" s="177">
        <f t="shared" ref="BO5:BO36" si="39">Vfwd2*G5</f>
        <v>9.000000000000001E-10</v>
      </c>
      <c r="BP5" s="542"/>
      <c r="BR5" s="469">
        <f>SUM(BN5:BQ5)*1000</f>
        <v>1.8000000000000001E-6</v>
      </c>
      <c r="BS5" s="542">
        <f t="shared" ref="BS5:BS68" si="40">Rdcr_pri*BD5^2</f>
        <v>0</v>
      </c>
      <c r="BT5" s="542">
        <f>Rdcr_sec*BE5^2</f>
        <v>0</v>
      </c>
      <c r="BU5" s="542">
        <f t="shared" ref="BU5:BU36" si="41">Rdcr_sec2*BF5^2</f>
        <v>0</v>
      </c>
      <c r="BV5" s="542">
        <f t="shared" ref="BV5:BV68" si="42">AI5^2.5*AM5^2.5*k_core</f>
        <v>0</v>
      </c>
      <c r="BW5" s="647">
        <f t="shared" ref="BW5:BW36" si="43">0.5*Lleak*0.000000001*AI5^2*AM5*1000</f>
        <v>0</v>
      </c>
      <c r="BX5" s="469">
        <f>SUM(BS5:BW5)*1000</f>
        <v>0</v>
      </c>
      <c r="BY5" s="177">
        <f>SUM(BH5:BL5,BN5:BQ5,BS5:BW5)</f>
        <v>9.9331726161111106E-3</v>
      </c>
      <c r="BZ5" s="5">
        <f>MIN(H5+I5,O5+P5)</f>
        <v>2.2000000000000002E-8</v>
      </c>
      <c r="CA5" s="177">
        <f>BZ5/(BZ5+BY5)</f>
        <v>2.2147960299013145E-6</v>
      </c>
      <c r="CB5" s="5">
        <f>CA5*100</f>
        <v>2.2147960299013144E-4</v>
      </c>
      <c r="CC5">
        <v>0</v>
      </c>
      <c r="CE5" s="576">
        <f t="shared" ref="CE5:CE36" si="44">IF(ABS(F5-Ioutmax_Vinnom)&lt;Iout/200, AM5, -50)</f>
        <v>-50</v>
      </c>
      <c r="CF5">
        <f t="shared" ref="CF5:CF36" si="45">IF(ABS(F5-Ioutmax_Vinnom)&lt;Iout/200, (O5+P5)*CA5, -50)</f>
        <v>-50</v>
      </c>
    </row>
    <row r="6" spans="2:84" x14ac:dyDescent="0.25">
      <c r="E6" s="174">
        <v>1</v>
      </c>
      <c r="F6" s="221">
        <f>IF(PLOT_TYPE=1, E6/100*Iout, min_I*EXP(O6*rr/100))</f>
        <v>0.01</v>
      </c>
      <c r="G6" s="221">
        <f t="shared" ref="G6:G37" si="46">IF(PLOT_TYPE=1, E6/100*Iout2, min_I*EXP(Q6*rr/100))</f>
        <v>2.5000000000000001E-3</v>
      </c>
      <c r="H6" s="221">
        <f t="shared" si="0"/>
        <v>0.15</v>
      </c>
      <c r="I6" s="221">
        <f>G6*Vout2</f>
        <v>1.7500000000000002E-2</v>
      </c>
      <c r="J6" s="555">
        <f t="shared" si="1"/>
        <v>15</v>
      </c>
      <c r="K6" s="451">
        <f t="shared" si="2"/>
        <v>23.85</v>
      </c>
      <c r="L6" s="451">
        <f t="shared" si="3"/>
        <v>38.85</v>
      </c>
      <c r="M6" s="451"/>
      <c r="N6" s="221">
        <f t="shared" si="4"/>
        <v>0.61389961389961389</v>
      </c>
      <c r="O6" s="176">
        <f t="shared" ref="O6:O37" si="47">N6*J6*Isw_max*0.5*Efficiency*Pout/(Pout+Pout2)</f>
        <v>16.05988878003803</v>
      </c>
      <c r="P6" s="176">
        <f t="shared" si="5"/>
        <v>1.873653691004437</v>
      </c>
      <c r="Q6" s="221">
        <f t="shared" si="6"/>
        <v>1.0706592520025353</v>
      </c>
      <c r="R6" s="221">
        <f t="shared" si="7"/>
        <v>2.2942698257197187</v>
      </c>
      <c r="S6" s="451">
        <f t="shared" si="8"/>
        <v>15</v>
      </c>
      <c r="T6" s="221">
        <f t="shared" si="9"/>
        <v>3.8294163080657619E-2</v>
      </c>
      <c r="U6" s="221">
        <f t="shared" si="10"/>
        <v>1.7870609437640225E-2</v>
      </c>
      <c r="V6" s="221">
        <f t="shared" si="11"/>
        <v>1.1239377004805172E-2</v>
      </c>
      <c r="W6" s="201">
        <f t="shared" si="12"/>
        <v>350</v>
      </c>
      <c r="X6" s="451">
        <f t="shared" ref="X6:X69" si="48">MIN(1/(U6+V6)*1000, 350)</f>
        <v>350</v>
      </c>
      <c r="Z6" s="221">
        <f t="shared" si="13"/>
        <v>3.7585690646915135</v>
      </c>
      <c r="AA6" s="177">
        <f t="shared" si="14"/>
        <v>1.1031439602868174</v>
      </c>
      <c r="AB6" s="177">
        <f t="shared" si="15"/>
        <v>0.97467647041501804</v>
      </c>
      <c r="AC6" s="177"/>
      <c r="AD6" s="177">
        <f t="shared" si="16"/>
        <v>0.24067085953878403</v>
      </c>
      <c r="AE6" s="559">
        <f t="shared" si="17"/>
        <v>75.444038412509585</v>
      </c>
      <c r="AF6" s="542">
        <f t="shared" si="18"/>
        <v>4.6392002252886505E-2</v>
      </c>
      <c r="AH6" s="177">
        <f t="shared" si="19"/>
        <v>0.36977654587270808</v>
      </c>
      <c r="AI6" s="177">
        <f t="shared" si="20"/>
        <v>0.82</v>
      </c>
      <c r="AJ6" s="177">
        <f t="shared" si="21"/>
        <v>1.0431108790928627</v>
      </c>
      <c r="AL6" s="559">
        <f t="shared" si="22"/>
        <v>10</v>
      </c>
      <c r="AM6" s="469">
        <f t="shared" si="23"/>
        <v>75.444038412509585</v>
      </c>
      <c r="AO6">
        <f t="shared" ref="AO6:AO69" si="49">IF(H6&gt;O6, "",AL6)</f>
        <v>10</v>
      </c>
      <c r="AP6" s="469">
        <f t="shared" si="24"/>
        <v>75.444038412509585</v>
      </c>
      <c r="AQ6" s="469"/>
      <c r="AR6" s="5">
        <f t="shared" ref="AR6:AR69" si="50">1/AM6*1000</f>
        <v>13.254857786538999</v>
      </c>
      <c r="AS6" s="5">
        <f t="shared" si="25"/>
        <v>0.3826666666666666</v>
      </c>
      <c r="AT6" s="5">
        <f t="shared" ref="AT6:AT69" si="51">AR6-AS6</f>
        <v>12.872191119872332</v>
      </c>
      <c r="AU6" s="177">
        <f t="shared" ref="AU6:AU69" si="52">AS6/AR6</f>
        <v>2.8869918699186998E-2</v>
      </c>
      <c r="AW6" s="5">
        <f t="shared" ref="AW6:AW37" si="53">L*Iout^2/(2*Vripple1_spec*Vout*Npri_sec1^2)*1000000000*((1+N6)/(1-N6))^2</f>
        <v>12.079683950617282</v>
      </c>
      <c r="AX6" s="5">
        <f t="shared" si="26"/>
        <v>3.4118074074074072E-2</v>
      </c>
      <c r="AY6" s="5">
        <f t="shared" si="27"/>
        <v>0.85581907298473081</v>
      </c>
      <c r="AZ6" s="5">
        <f t="shared" si="28"/>
        <v>7.6361530343384797E-3</v>
      </c>
      <c r="BA6" s="5">
        <f t="shared" si="29"/>
        <v>0.20173960351612774</v>
      </c>
      <c r="BB6" s="469">
        <f t="shared" si="30"/>
        <v>15.165733421604317</v>
      </c>
      <c r="BC6" s="5"/>
      <c r="BD6" s="177">
        <f t="shared" ref="BD6:BD69" si="54">AI6*SQRT(AU6/3)</f>
        <v>8.0440730423779166E-2</v>
      </c>
      <c r="BE6" s="177">
        <f t="shared" si="31"/>
        <v>0.6266999141190881</v>
      </c>
      <c r="BF6" s="177">
        <f t="shared" si="32"/>
        <v>0.1471554861634061</v>
      </c>
      <c r="BG6" s="177"/>
      <c r="BH6" s="542">
        <f t="shared" si="33"/>
        <v>7.1177822222222222E-4</v>
      </c>
      <c r="BI6" s="542">
        <f t="shared" si="34"/>
        <v>1.2017103658536589E-2</v>
      </c>
      <c r="BJ6" s="542">
        <f t="shared" si="35"/>
        <v>3.7722019206254788E-3</v>
      </c>
      <c r="BK6" s="542">
        <f t="shared" si="36"/>
        <v>2.5620611550044629E-2</v>
      </c>
      <c r="BL6">
        <f t="shared" si="37"/>
        <v>4.3499999999999997E-3</v>
      </c>
      <c r="BM6" s="469">
        <f t="shared" ref="BM6:BM69" si="55">SUM(BH6:BL6)*1000</f>
        <v>46.47169535142892</v>
      </c>
      <c r="BN6" s="177">
        <f t="shared" si="38"/>
        <v>9.0000000000000011E-3</v>
      </c>
      <c r="BO6" s="177">
        <f t="shared" si="39"/>
        <v>2.2500000000000003E-3</v>
      </c>
      <c r="BP6" s="542"/>
      <c r="BR6" s="469">
        <f t="shared" ref="BR6:BR69" si="56">SUM(BN6:BQ6)*1000</f>
        <v>11.250000000000002</v>
      </c>
      <c r="BS6" s="542">
        <f t="shared" si="40"/>
        <v>0</v>
      </c>
      <c r="BT6" s="542">
        <f t="shared" ref="BT6:BT68" si="57">Rdcr_sec*BE6^2</f>
        <v>0</v>
      </c>
      <c r="BU6" s="542">
        <f t="shared" si="41"/>
        <v>0</v>
      </c>
      <c r="BV6" s="542">
        <f t="shared" si="42"/>
        <v>0</v>
      </c>
      <c r="BW6" s="647">
        <f t="shared" si="43"/>
        <v>0</v>
      </c>
      <c r="BX6" s="469">
        <f t="shared" ref="BX6:BX69" si="58">SUM(BS6:BW6)*1000</f>
        <v>0</v>
      </c>
      <c r="BY6" s="177">
        <f t="shared" ref="BY6:BY69" si="59">SUM(BH6:BL6,BN6:BQ6,BS6:BW6)</f>
        <v>5.7721695351428924E-2</v>
      </c>
      <c r="BZ6" s="5">
        <f t="shared" ref="BZ6:BZ69" si="60">MIN(H6+I6,O6+P6)</f>
        <v>0.16749999999999998</v>
      </c>
      <c r="CA6" s="177">
        <f t="shared" ref="CA6:CA69" si="61">BZ6/(BZ6+BY6)</f>
        <v>0.74371165592479094</v>
      </c>
      <c r="CB6" s="5">
        <f t="shared" ref="CB6:CB69" si="62">CA6*100</f>
        <v>74.371165592479088</v>
      </c>
      <c r="CC6">
        <f t="shared" ref="CC6:CC37" si="63">F6/Iout*100</f>
        <v>1</v>
      </c>
      <c r="CE6" s="576">
        <f t="shared" si="44"/>
        <v>-50</v>
      </c>
      <c r="CF6">
        <f t="shared" si="45"/>
        <v>-50</v>
      </c>
    </row>
    <row r="7" spans="2:84" x14ac:dyDescent="0.25">
      <c r="E7" s="174">
        <v>2</v>
      </c>
      <c r="F7" s="221">
        <f>IF(PLOT_TYPE=1, E7/100*Iout, min_I*EXP(O7*rr/100))</f>
        <v>0.02</v>
      </c>
      <c r="G7" s="221">
        <f t="shared" si="46"/>
        <v>5.0000000000000001E-3</v>
      </c>
      <c r="H7" s="221">
        <f t="shared" si="0"/>
        <v>0.3</v>
      </c>
      <c r="I7" s="221">
        <f>G7*Vout2</f>
        <v>3.5000000000000003E-2</v>
      </c>
      <c r="J7" s="555">
        <f t="shared" si="1"/>
        <v>15</v>
      </c>
      <c r="K7" s="451">
        <f t="shared" si="2"/>
        <v>23.85</v>
      </c>
      <c r="L7" s="451">
        <f t="shared" si="3"/>
        <v>38.85</v>
      </c>
      <c r="M7" s="451"/>
      <c r="N7" s="221">
        <f t="shared" si="4"/>
        <v>0.61389961389961389</v>
      </c>
      <c r="O7" s="176">
        <f t="shared" si="47"/>
        <v>16.05988878003803</v>
      </c>
      <c r="P7" s="176">
        <f t="shared" si="5"/>
        <v>1.873653691004437</v>
      </c>
      <c r="Q7" s="221">
        <f t="shared" si="6"/>
        <v>1.0706592520025353</v>
      </c>
      <c r="R7" s="221">
        <f t="shared" si="7"/>
        <v>2.2942698257197187</v>
      </c>
      <c r="S7" s="451">
        <f t="shared" si="8"/>
        <v>15</v>
      </c>
      <c r="T7" s="221">
        <f t="shared" si="9"/>
        <v>7.6588326161315237E-2</v>
      </c>
      <c r="U7" s="221">
        <f t="shared" si="10"/>
        <v>3.574121887528045E-2</v>
      </c>
      <c r="V7" s="221">
        <f t="shared" si="11"/>
        <v>2.2478754009610344E-2</v>
      </c>
      <c r="W7" s="201">
        <f t="shared" si="12"/>
        <v>350</v>
      </c>
      <c r="X7" s="451">
        <f t="shared" si="48"/>
        <v>350</v>
      </c>
      <c r="Z7" s="221">
        <f t="shared" si="13"/>
        <v>3.7585690646915135</v>
      </c>
      <c r="AA7" s="177">
        <f t="shared" si="14"/>
        <v>1.1031439602868174</v>
      </c>
      <c r="AB7" s="177">
        <f t="shared" si="15"/>
        <v>0.97467647041501804</v>
      </c>
      <c r="AC7" s="177"/>
      <c r="AD7" s="177">
        <f t="shared" si="16"/>
        <v>0.24067085953878403</v>
      </c>
      <c r="AE7" s="559">
        <f t="shared" si="17"/>
        <v>150.88807682501917</v>
      </c>
      <c r="AF7" s="542">
        <f t="shared" si="18"/>
        <v>4.6392002252886505E-2</v>
      </c>
      <c r="AH7" s="177">
        <f t="shared" si="19"/>
        <v>0.5229430062206607</v>
      </c>
      <c r="AI7" s="177">
        <f t="shared" si="20"/>
        <v>0.82</v>
      </c>
      <c r="AJ7" s="177">
        <f t="shared" si="21"/>
        <v>1.0862217581857252</v>
      </c>
      <c r="AL7" s="559">
        <f t="shared" si="22"/>
        <v>20</v>
      </c>
      <c r="AM7" s="469">
        <f t="shared" si="23"/>
        <v>150.88807682501917</v>
      </c>
      <c r="AO7">
        <f t="shared" si="49"/>
        <v>20</v>
      </c>
      <c r="AP7" s="469">
        <f t="shared" si="24"/>
        <v>150.88807682501917</v>
      </c>
      <c r="AQ7" s="469"/>
      <c r="AR7" s="5">
        <f t="shared" si="50"/>
        <v>6.6274288932694994</v>
      </c>
      <c r="AS7" s="5">
        <f t="shared" si="25"/>
        <v>0.3826666666666666</v>
      </c>
      <c r="AT7" s="5">
        <f t="shared" si="51"/>
        <v>6.2447622266028331</v>
      </c>
      <c r="AU7" s="177">
        <f t="shared" si="52"/>
        <v>5.7739837398373996E-2</v>
      </c>
      <c r="AW7" s="5">
        <f t="shared" si="53"/>
        <v>12.079683950617282</v>
      </c>
      <c r="AX7" s="5">
        <f t="shared" si="26"/>
        <v>7.6472296296296288E-2</v>
      </c>
      <c r="AY7" s="5">
        <f t="shared" si="27"/>
        <v>0.85581907298473081</v>
      </c>
      <c r="AZ7" s="5">
        <f t="shared" si="28"/>
        <v>1.5544612137353919E-2</v>
      </c>
      <c r="BA7" s="5">
        <f t="shared" si="29"/>
        <v>0.19574225458825253</v>
      </c>
      <c r="BB7" s="469">
        <f t="shared" si="30"/>
        <v>14.751195409908412</v>
      </c>
      <c r="BC7" s="5"/>
      <c r="BD7" s="177">
        <f t="shared" si="54"/>
        <v>0.11376037193250654</v>
      </c>
      <c r="BE7" s="177">
        <f t="shared" si="31"/>
        <v>0.61731431334560027</v>
      </c>
      <c r="BF7" s="177">
        <f t="shared" si="32"/>
        <v>0.14495165205773272</v>
      </c>
      <c r="BG7" s="177"/>
      <c r="BH7" s="542">
        <f t="shared" si="33"/>
        <v>1.4235564444444444E-3</v>
      </c>
      <c r="BI7" s="542">
        <f t="shared" si="34"/>
        <v>2.4034207317073179E-2</v>
      </c>
      <c r="BJ7" s="542">
        <f t="shared" si="35"/>
        <v>7.5444038412509577E-3</v>
      </c>
      <c r="BK7" s="542">
        <f t="shared" si="36"/>
        <v>5.1241223100089259E-2</v>
      </c>
      <c r="BL7">
        <f t="shared" si="37"/>
        <v>4.3499999999999997E-3</v>
      </c>
      <c r="BM7" s="469">
        <f t="shared" si="55"/>
        <v>88.593390702857846</v>
      </c>
      <c r="BN7" s="177">
        <f t="shared" si="38"/>
        <v>1.8000000000000002E-2</v>
      </c>
      <c r="BO7" s="177">
        <f t="shared" si="39"/>
        <v>4.5000000000000005E-3</v>
      </c>
      <c r="BP7" s="542"/>
      <c r="BR7" s="469">
        <f t="shared" si="56"/>
        <v>22.500000000000004</v>
      </c>
      <c r="BS7" s="542">
        <f t="shared" si="40"/>
        <v>0</v>
      </c>
      <c r="BT7" s="542">
        <f t="shared" si="57"/>
        <v>0</v>
      </c>
      <c r="BU7" s="542">
        <f t="shared" si="41"/>
        <v>0</v>
      </c>
      <c r="BV7" s="542">
        <f t="shared" si="42"/>
        <v>0</v>
      </c>
      <c r="BW7" s="647">
        <f t="shared" si="43"/>
        <v>0</v>
      </c>
      <c r="BX7" s="469">
        <f t="shared" si="58"/>
        <v>0</v>
      </c>
      <c r="BY7" s="177">
        <f t="shared" si="59"/>
        <v>0.11109339070285786</v>
      </c>
      <c r="BZ7" s="5">
        <f t="shared" si="60"/>
        <v>0.33499999999999996</v>
      </c>
      <c r="CA7" s="177">
        <f t="shared" si="61"/>
        <v>0.75096382726536071</v>
      </c>
      <c r="CB7" s="5">
        <f t="shared" si="62"/>
        <v>75.096382726536064</v>
      </c>
      <c r="CC7">
        <f t="shared" si="63"/>
        <v>2</v>
      </c>
      <c r="CE7" s="576">
        <f t="shared" si="44"/>
        <v>-50</v>
      </c>
      <c r="CF7">
        <f t="shared" si="45"/>
        <v>-50</v>
      </c>
    </row>
    <row r="8" spans="2:84" x14ac:dyDescent="0.25">
      <c r="E8" s="174">
        <v>3</v>
      </c>
      <c r="F8" s="221">
        <f t="shared" ref="F8:F39" si="64">IF(PLOT_TYPE=1, E8/100*Iout_max, min_I*EXP(O8*rr/100))</f>
        <v>0.03</v>
      </c>
      <c r="G8" s="221">
        <f t="shared" si="46"/>
        <v>7.4999999999999997E-3</v>
      </c>
      <c r="H8" s="221">
        <f t="shared" si="0"/>
        <v>0.44999999999999996</v>
      </c>
      <c r="I8" s="221">
        <f t="shared" ref="I8:I39" si="65">Vout2*G8</f>
        <v>5.2499999999999998E-2</v>
      </c>
      <c r="J8" s="555">
        <f t="shared" si="1"/>
        <v>15</v>
      </c>
      <c r="K8" s="451">
        <f t="shared" si="2"/>
        <v>23.85</v>
      </c>
      <c r="L8" s="451">
        <f t="shared" si="3"/>
        <v>38.85</v>
      </c>
      <c r="M8" s="451"/>
      <c r="N8" s="221">
        <f t="shared" si="4"/>
        <v>0.61389961389961389</v>
      </c>
      <c r="O8" s="176">
        <f t="shared" si="47"/>
        <v>16.05988878003803</v>
      </c>
      <c r="P8" s="176">
        <f t="shared" si="5"/>
        <v>1.873653691004437</v>
      </c>
      <c r="Q8" s="221">
        <f t="shared" si="6"/>
        <v>1.0706592520025353</v>
      </c>
      <c r="R8" s="221">
        <f t="shared" si="7"/>
        <v>2.2942698257197187</v>
      </c>
      <c r="S8" s="451">
        <f t="shared" si="8"/>
        <v>15</v>
      </c>
      <c r="T8" s="221">
        <f t="shared" si="9"/>
        <v>0.11488248924197285</v>
      </c>
      <c r="U8" s="221">
        <f t="shared" si="10"/>
        <v>5.3611828312920662E-2</v>
      </c>
      <c r="V8" s="221">
        <f t="shared" si="11"/>
        <v>3.3718131014415502E-2</v>
      </c>
      <c r="W8" s="201">
        <f t="shared" si="12"/>
        <v>350</v>
      </c>
      <c r="X8" s="451">
        <f t="shared" si="48"/>
        <v>350</v>
      </c>
      <c r="Z8" s="221">
        <f t="shared" si="13"/>
        <v>3.7585690646915135</v>
      </c>
      <c r="AA8" s="177">
        <f t="shared" si="14"/>
        <v>1.1031439602868174</v>
      </c>
      <c r="AB8" s="177">
        <f t="shared" si="15"/>
        <v>0.97467647041501804</v>
      </c>
      <c r="AC8" s="177"/>
      <c r="AD8" s="177">
        <f t="shared" si="16"/>
        <v>0.24067085953878403</v>
      </c>
      <c r="AE8" s="559">
        <f t="shared" si="17"/>
        <v>226.33211523752871</v>
      </c>
      <c r="AF8" s="542">
        <f t="shared" si="18"/>
        <v>4.6392002252886505E-2</v>
      </c>
      <c r="AH8" s="177">
        <f t="shared" si="19"/>
        <v>0.64047176489885405</v>
      </c>
      <c r="AI8" s="177">
        <f t="shared" si="20"/>
        <v>0.82</v>
      </c>
      <c r="AJ8" s="177">
        <f t="shared" si="21"/>
        <v>1.1293326372785879</v>
      </c>
      <c r="AL8" s="559">
        <f t="shared" si="22"/>
        <v>30</v>
      </c>
      <c r="AM8" s="469">
        <f t="shared" si="23"/>
        <v>226.33211523752871</v>
      </c>
      <c r="AO8">
        <f t="shared" si="49"/>
        <v>30</v>
      </c>
      <c r="AP8" s="469">
        <f t="shared" si="24"/>
        <v>226.33211523752871</v>
      </c>
      <c r="AQ8" s="469"/>
      <c r="AR8" s="5">
        <f t="shared" si="50"/>
        <v>4.4182859288463341</v>
      </c>
      <c r="AS8" s="5">
        <f t="shared" si="25"/>
        <v>0.3826666666666666</v>
      </c>
      <c r="AT8" s="5">
        <f t="shared" si="51"/>
        <v>4.0356192621796678</v>
      </c>
      <c r="AU8" s="177">
        <f t="shared" si="52"/>
        <v>8.6609756097560969E-2</v>
      </c>
      <c r="AW8" s="5">
        <f t="shared" si="53"/>
        <v>12.079683950617282</v>
      </c>
      <c r="AX8" s="5">
        <f t="shared" si="26"/>
        <v>0.12706266666666666</v>
      </c>
      <c r="AY8" s="5">
        <f t="shared" si="27"/>
        <v>0.85581907298473081</v>
      </c>
      <c r="AZ8" s="5">
        <f t="shared" si="28"/>
        <v>2.3725377309046319E-2</v>
      </c>
      <c r="BA8" s="5">
        <f t="shared" si="29"/>
        <v>0.18974490566037738</v>
      </c>
      <c r="BB8" s="469">
        <f t="shared" si="30"/>
        <v>14.336657398212511</v>
      </c>
      <c r="BC8" s="5"/>
      <c r="BD8" s="177">
        <f t="shared" si="54"/>
        <v>0.13932743209193707</v>
      </c>
      <c r="BE8" s="177">
        <f t="shared" si="31"/>
        <v>0.60778379426061335</v>
      </c>
      <c r="BF8" s="177">
        <f t="shared" si="32"/>
        <v>0.14271378966499212</v>
      </c>
      <c r="BG8" s="177"/>
      <c r="BH8" s="542">
        <f t="shared" si="33"/>
        <v>2.1353346666666668E-3</v>
      </c>
      <c r="BI8" s="542">
        <f t="shared" si="34"/>
        <v>3.6051310975609756E-2</v>
      </c>
      <c r="BJ8" s="542">
        <f t="shared" si="35"/>
        <v>1.1316605761876436E-2</v>
      </c>
      <c r="BK8" s="542">
        <f t="shared" si="36"/>
        <v>7.6861834650133867E-2</v>
      </c>
      <c r="BL8">
        <f t="shared" si="37"/>
        <v>4.3499999999999997E-3</v>
      </c>
      <c r="BM8" s="469">
        <f t="shared" si="55"/>
        <v>130.71508605428673</v>
      </c>
      <c r="BN8" s="177">
        <f t="shared" si="38"/>
        <v>2.7E-2</v>
      </c>
      <c r="BO8" s="177">
        <f t="shared" si="39"/>
        <v>6.7499999999999999E-3</v>
      </c>
      <c r="BP8" s="542"/>
      <c r="BR8" s="469">
        <f t="shared" si="56"/>
        <v>33.75</v>
      </c>
      <c r="BS8" s="542">
        <f t="shared" si="40"/>
        <v>0</v>
      </c>
      <c r="BT8" s="542">
        <f t="shared" si="57"/>
        <v>0</v>
      </c>
      <c r="BU8" s="542">
        <f t="shared" si="41"/>
        <v>0</v>
      </c>
      <c r="BV8" s="542">
        <f t="shared" si="42"/>
        <v>0</v>
      </c>
      <c r="BW8" s="647">
        <f t="shared" si="43"/>
        <v>0</v>
      </c>
      <c r="BX8" s="469">
        <f t="shared" si="58"/>
        <v>0</v>
      </c>
      <c r="BY8" s="177">
        <f t="shared" si="59"/>
        <v>0.16446508605428672</v>
      </c>
      <c r="BZ8" s="5">
        <f t="shared" si="60"/>
        <v>0.50249999999999995</v>
      </c>
      <c r="CA8" s="177">
        <f t="shared" si="61"/>
        <v>0.75341275054253698</v>
      </c>
      <c r="CB8" s="5">
        <f t="shared" si="62"/>
        <v>75.3412750542537</v>
      </c>
      <c r="CC8">
        <f t="shared" si="63"/>
        <v>3</v>
      </c>
      <c r="CE8" s="576">
        <f t="shared" si="44"/>
        <v>-50</v>
      </c>
      <c r="CF8">
        <f t="shared" si="45"/>
        <v>-50</v>
      </c>
    </row>
    <row r="9" spans="2:84" x14ac:dyDescent="0.25">
      <c r="E9" s="174">
        <v>4</v>
      </c>
      <c r="F9" s="221">
        <f t="shared" si="64"/>
        <v>0.04</v>
      </c>
      <c r="G9" s="221">
        <f t="shared" si="46"/>
        <v>0.01</v>
      </c>
      <c r="H9" s="221">
        <f t="shared" si="0"/>
        <v>0.6</v>
      </c>
      <c r="I9" s="221">
        <f t="shared" si="65"/>
        <v>7.0000000000000007E-2</v>
      </c>
      <c r="J9" s="555">
        <f t="shared" si="1"/>
        <v>15</v>
      </c>
      <c r="K9" s="451">
        <f t="shared" si="2"/>
        <v>23.85</v>
      </c>
      <c r="L9" s="451">
        <f t="shared" si="3"/>
        <v>38.85</v>
      </c>
      <c r="M9" s="451"/>
      <c r="N9" s="221">
        <f t="shared" si="4"/>
        <v>0.61389961389961389</v>
      </c>
      <c r="O9" s="176">
        <f t="shared" si="47"/>
        <v>16.05988878003803</v>
      </c>
      <c r="P9" s="176">
        <f t="shared" si="5"/>
        <v>1.873653691004437</v>
      </c>
      <c r="Q9" s="221">
        <f t="shared" si="6"/>
        <v>1.0706592520025353</v>
      </c>
      <c r="R9" s="221">
        <f t="shared" si="7"/>
        <v>2.2942698257197187</v>
      </c>
      <c r="S9" s="451">
        <f t="shared" si="8"/>
        <v>15</v>
      </c>
      <c r="T9" s="221">
        <f t="shared" si="9"/>
        <v>0.15317665232263047</v>
      </c>
      <c r="U9" s="221">
        <f t="shared" si="10"/>
        <v>7.1482437750560901E-2</v>
      </c>
      <c r="V9" s="221">
        <f t="shared" si="11"/>
        <v>4.4957508019220688E-2</v>
      </c>
      <c r="W9" s="201">
        <f t="shared" si="12"/>
        <v>350</v>
      </c>
      <c r="X9" s="451">
        <f t="shared" si="48"/>
        <v>350</v>
      </c>
      <c r="Z9" s="221">
        <f t="shared" si="13"/>
        <v>3.7585690646915135</v>
      </c>
      <c r="AA9" s="177">
        <f t="shared" si="14"/>
        <v>1.1031439602868174</v>
      </c>
      <c r="AB9" s="177">
        <f t="shared" si="15"/>
        <v>0.97467647041501804</v>
      </c>
      <c r="AC9" s="177"/>
      <c r="AD9" s="177">
        <f t="shared" si="16"/>
        <v>0.24067085953878403</v>
      </c>
      <c r="AE9" s="559">
        <f t="shared" si="17"/>
        <v>301.77615365003834</v>
      </c>
      <c r="AF9" s="542">
        <f t="shared" si="18"/>
        <v>4.6392002252886505E-2</v>
      </c>
      <c r="AH9" s="177">
        <f t="shared" si="19"/>
        <v>0.73955309174541617</v>
      </c>
      <c r="AI9" s="177">
        <f t="shared" si="20"/>
        <v>0.82</v>
      </c>
      <c r="AJ9" s="177">
        <f t="shared" si="21"/>
        <v>1.1724435163714504</v>
      </c>
      <c r="AL9" s="559">
        <f t="shared" si="22"/>
        <v>40</v>
      </c>
      <c r="AM9" s="469">
        <f t="shared" si="23"/>
        <v>301.77615365003834</v>
      </c>
      <c r="AO9">
        <f t="shared" si="49"/>
        <v>40</v>
      </c>
      <c r="AP9" s="469">
        <f t="shared" si="24"/>
        <v>301.77615365003834</v>
      </c>
      <c r="AQ9" s="469"/>
      <c r="AR9" s="5">
        <f t="shared" si="50"/>
        <v>3.3137144466347497</v>
      </c>
      <c r="AS9" s="5">
        <f t="shared" si="25"/>
        <v>0.3826666666666666</v>
      </c>
      <c r="AT9" s="5">
        <f t="shared" si="51"/>
        <v>2.931047779968083</v>
      </c>
      <c r="AU9" s="177">
        <f t="shared" si="52"/>
        <v>0.11547967479674799</v>
      </c>
      <c r="AW9" s="5">
        <f t="shared" si="53"/>
        <v>12.079683950617282</v>
      </c>
      <c r="AX9" s="5">
        <f t="shared" si="26"/>
        <v>0.18588918518518516</v>
      </c>
      <c r="AY9" s="5">
        <f t="shared" si="27"/>
        <v>0.85581907298473081</v>
      </c>
      <c r="AZ9" s="5">
        <f t="shared" si="28"/>
        <v>3.2178448549415678E-2</v>
      </c>
      <c r="BA9" s="5">
        <f t="shared" si="29"/>
        <v>0.18374755673250201</v>
      </c>
      <c r="BB9" s="469">
        <f t="shared" si="30"/>
        <v>13.9221193865166</v>
      </c>
      <c r="BC9" s="5"/>
      <c r="BD9" s="177">
        <f t="shared" si="54"/>
        <v>0.16088146084755833</v>
      </c>
      <c r="BE9" s="177">
        <f t="shared" si="31"/>
        <v>0.59810142924950882</v>
      </c>
      <c r="BF9" s="177">
        <f t="shared" si="32"/>
        <v>0.14044027231111883</v>
      </c>
      <c r="BG9" s="177"/>
      <c r="BH9" s="542">
        <f t="shared" si="33"/>
        <v>2.8471128888888889E-3</v>
      </c>
      <c r="BI9" s="542">
        <f t="shared" si="34"/>
        <v>4.8068414634146357E-2</v>
      </c>
      <c r="BJ9" s="542">
        <f t="shared" si="35"/>
        <v>1.5088807682501915E-2</v>
      </c>
      <c r="BK9" s="542">
        <f t="shared" si="36"/>
        <v>0.10248244620017852</v>
      </c>
      <c r="BL9">
        <f t="shared" si="37"/>
        <v>4.3499999999999997E-3</v>
      </c>
      <c r="BM9" s="469">
        <f t="shared" si="55"/>
        <v>172.83678140571567</v>
      </c>
      <c r="BN9" s="177">
        <f t="shared" si="38"/>
        <v>3.6000000000000004E-2</v>
      </c>
      <c r="BO9" s="177">
        <f t="shared" si="39"/>
        <v>9.0000000000000011E-3</v>
      </c>
      <c r="BP9" s="542"/>
      <c r="BR9" s="469">
        <f t="shared" si="56"/>
        <v>45.000000000000007</v>
      </c>
      <c r="BS9" s="542">
        <f t="shared" si="40"/>
        <v>0</v>
      </c>
      <c r="BT9" s="542">
        <f t="shared" si="57"/>
        <v>0</v>
      </c>
      <c r="BU9" s="542">
        <f t="shared" si="41"/>
        <v>0</v>
      </c>
      <c r="BV9" s="542">
        <f t="shared" si="42"/>
        <v>0</v>
      </c>
      <c r="BW9" s="647">
        <f t="shared" si="43"/>
        <v>0</v>
      </c>
      <c r="BX9" s="469">
        <f t="shared" si="58"/>
        <v>0</v>
      </c>
      <c r="BY9" s="177">
        <f t="shared" si="59"/>
        <v>0.21783678140571569</v>
      </c>
      <c r="BZ9" s="5">
        <f t="shared" si="60"/>
        <v>0.66999999999999993</v>
      </c>
      <c r="CA9" s="177">
        <f t="shared" si="61"/>
        <v>0.75464321149117763</v>
      </c>
      <c r="CB9" s="5">
        <f t="shared" si="62"/>
        <v>75.464321149117765</v>
      </c>
      <c r="CC9">
        <f t="shared" si="63"/>
        <v>4</v>
      </c>
      <c r="CE9" s="576">
        <f t="shared" si="44"/>
        <v>-50</v>
      </c>
      <c r="CF9">
        <f t="shared" si="45"/>
        <v>-50</v>
      </c>
    </row>
    <row r="10" spans="2:84" x14ac:dyDescent="0.25">
      <c r="E10" s="174">
        <v>5</v>
      </c>
      <c r="F10" s="221">
        <f t="shared" si="64"/>
        <v>0.05</v>
      </c>
      <c r="G10" s="221">
        <f t="shared" si="46"/>
        <v>1.2500000000000001E-2</v>
      </c>
      <c r="H10" s="221">
        <f t="shared" si="0"/>
        <v>0.75</v>
      </c>
      <c r="I10" s="221">
        <f t="shared" si="65"/>
        <v>8.7500000000000008E-2</v>
      </c>
      <c r="J10" s="555">
        <f t="shared" si="1"/>
        <v>15</v>
      </c>
      <c r="K10" s="451">
        <f t="shared" si="2"/>
        <v>23.85</v>
      </c>
      <c r="L10" s="451">
        <f t="shared" si="3"/>
        <v>38.85</v>
      </c>
      <c r="M10" s="451"/>
      <c r="N10" s="221">
        <f t="shared" si="4"/>
        <v>0.61389961389961389</v>
      </c>
      <c r="O10" s="176">
        <f t="shared" si="47"/>
        <v>16.05988878003803</v>
      </c>
      <c r="P10" s="176">
        <f t="shared" si="5"/>
        <v>1.873653691004437</v>
      </c>
      <c r="Q10" s="221">
        <f t="shared" si="6"/>
        <v>1.0706592520025353</v>
      </c>
      <c r="R10" s="221">
        <f t="shared" si="7"/>
        <v>2.2942698257197187</v>
      </c>
      <c r="S10" s="451">
        <f t="shared" si="8"/>
        <v>15</v>
      </c>
      <c r="T10" s="221">
        <f t="shared" si="9"/>
        <v>0.19147081540328811</v>
      </c>
      <c r="U10" s="221">
        <f t="shared" si="10"/>
        <v>8.9353047188201112E-2</v>
      </c>
      <c r="V10" s="221">
        <f t="shared" si="11"/>
        <v>5.6196885024025853E-2</v>
      </c>
      <c r="W10" s="201">
        <f t="shared" si="12"/>
        <v>350</v>
      </c>
      <c r="X10" s="451">
        <f t="shared" si="48"/>
        <v>350</v>
      </c>
      <c r="Z10" s="221">
        <f t="shared" si="13"/>
        <v>3.7585690646915135</v>
      </c>
      <c r="AA10" s="177">
        <f t="shared" si="14"/>
        <v>1.1031439602868174</v>
      </c>
      <c r="AB10" s="177">
        <f t="shared" si="15"/>
        <v>0.97467647041501804</v>
      </c>
      <c r="AC10" s="177"/>
      <c r="AD10" s="177">
        <f t="shared" si="16"/>
        <v>0.24067085953878403</v>
      </c>
      <c r="AE10" s="559">
        <f t="shared" si="17"/>
        <v>377.22019206254794</v>
      </c>
      <c r="AF10" s="542">
        <f t="shared" si="18"/>
        <v>4.6392002252886505E-2</v>
      </c>
      <c r="AH10" s="177">
        <f t="shared" si="19"/>
        <v>0.82684549305644461</v>
      </c>
      <c r="AI10" s="177">
        <f t="shared" si="20"/>
        <v>0.82684549305644461</v>
      </c>
      <c r="AJ10" s="177">
        <f t="shared" si="21"/>
        <v>1.2050707355973664</v>
      </c>
      <c r="AL10" s="559">
        <f t="shared" si="22"/>
        <v>50</v>
      </c>
      <c r="AM10" s="469">
        <f t="shared" si="23"/>
        <v>350</v>
      </c>
      <c r="AO10">
        <f t="shared" si="49"/>
        <v>50</v>
      </c>
      <c r="AP10" s="469">
        <f t="shared" si="24"/>
        <v>350</v>
      </c>
      <c r="AQ10" s="469"/>
      <c r="AR10" s="5">
        <f t="shared" si="50"/>
        <v>2.8571428571428572</v>
      </c>
      <c r="AS10" s="5">
        <f t="shared" si="25"/>
        <v>0.38586123009300749</v>
      </c>
      <c r="AT10" s="5">
        <f t="shared" si="51"/>
        <v>2.4712816270498497</v>
      </c>
      <c r="AU10" s="177">
        <f t="shared" si="52"/>
        <v>0.13505143053255261</v>
      </c>
      <c r="AW10" s="5">
        <f t="shared" si="53"/>
        <v>12.079683950617282</v>
      </c>
      <c r="AX10" s="5">
        <f t="shared" si="26"/>
        <v>0.25295185185185187</v>
      </c>
      <c r="AY10" s="5">
        <f t="shared" si="27"/>
        <v>0.85581907298473081</v>
      </c>
      <c r="AZ10" s="5">
        <f t="shared" si="28"/>
        <v>4.0903825858462001E-2</v>
      </c>
      <c r="BA10" s="5">
        <f t="shared" si="29"/>
        <v>0.19365598714893559</v>
      </c>
      <c r="BB10" s="469">
        <f t="shared" si="30"/>
        <v>14.700514825643854</v>
      </c>
      <c r="BC10" s="5"/>
      <c r="BD10" s="177">
        <f t="shared" si="54"/>
        <v>0.17543382423577808</v>
      </c>
      <c r="BE10" s="177">
        <f t="shared" si="31"/>
        <v>0.59638482629587342</v>
      </c>
      <c r="BF10" s="177">
        <f t="shared" si="32"/>
        <v>0.14003719655428418</v>
      </c>
      <c r="BG10" s="177"/>
      <c r="BH10" s="542">
        <f t="shared" si="33"/>
        <v>3.3854729354588862E-3</v>
      </c>
      <c r="BI10" s="542">
        <f t="shared" si="34"/>
        <v>5.6215157959175026E-2</v>
      </c>
      <c r="BJ10" s="542">
        <f t="shared" si="35"/>
        <v>1.7499999999999998E-2</v>
      </c>
      <c r="BK10" s="542">
        <f t="shared" si="36"/>
        <v>0.11885914687500002</v>
      </c>
      <c r="BL10">
        <f t="shared" si="37"/>
        <v>4.3499999999999997E-3</v>
      </c>
      <c r="BM10" s="469">
        <f t="shared" si="55"/>
        <v>200.30977776963391</v>
      </c>
      <c r="BN10" s="177">
        <f t="shared" si="38"/>
        <v>4.5000000000000005E-2</v>
      </c>
      <c r="BO10" s="177">
        <f t="shared" si="39"/>
        <v>1.1250000000000001E-2</v>
      </c>
      <c r="BP10" s="542"/>
      <c r="BR10" s="469">
        <f t="shared" si="56"/>
        <v>56.250000000000007</v>
      </c>
      <c r="BS10" s="542">
        <f t="shared" si="40"/>
        <v>0</v>
      </c>
      <c r="BT10" s="542">
        <f t="shared" si="57"/>
        <v>0</v>
      </c>
      <c r="BU10" s="542">
        <f t="shared" si="41"/>
        <v>0</v>
      </c>
      <c r="BV10" s="542">
        <f t="shared" si="42"/>
        <v>0</v>
      </c>
      <c r="BW10" s="647">
        <f t="shared" si="43"/>
        <v>0</v>
      </c>
      <c r="BX10" s="469">
        <f t="shared" si="58"/>
        <v>0</v>
      </c>
      <c r="BY10" s="177">
        <f t="shared" si="59"/>
        <v>0.2565597777696339</v>
      </c>
      <c r="BZ10" s="5">
        <f t="shared" si="60"/>
        <v>0.83750000000000002</v>
      </c>
      <c r="CA10" s="177">
        <f t="shared" si="61"/>
        <v>0.76549747739318197</v>
      </c>
      <c r="CB10" s="5">
        <f t="shared" si="62"/>
        <v>76.549747739318192</v>
      </c>
      <c r="CC10">
        <f t="shared" si="63"/>
        <v>5</v>
      </c>
      <c r="CE10" s="576">
        <f t="shared" si="44"/>
        <v>-50</v>
      </c>
      <c r="CF10">
        <f t="shared" si="45"/>
        <v>-50</v>
      </c>
    </row>
    <row r="11" spans="2:84" x14ac:dyDescent="0.25">
      <c r="E11" s="174">
        <v>6</v>
      </c>
      <c r="F11" s="221">
        <f t="shared" si="64"/>
        <v>0.06</v>
      </c>
      <c r="G11" s="221">
        <f t="shared" si="46"/>
        <v>1.4999999999999999E-2</v>
      </c>
      <c r="H11" s="221">
        <f t="shared" si="0"/>
        <v>0.89999999999999991</v>
      </c>
      <c r="I11" s="221">
        <f t="shared" si="65"/>
        <v>0.105</v>
      </c>
      <c r="J11" s="555">
        <f t="shared" si="1"/>
        <v>15</v>
      </c>
      <c r="K11" s="451">
        <f t="shared" si="2"/>
        <v>23.85</v>
      </c>
      <c r="L11" s="451">
        <f t="shared" si="3"/>
        <v>38.85</v>
      </c>
      <c r="M11" s="451"/>
      <c r="N11" s="221">
        <f t="shared" si="4"/>
        <v>0.61389961389961389</v>
      </c>
      <c r="O11" s="176">
        <f t="shared" si="47"/>
        <v>16.05988878003803</v>
      </c>
      <c r="P11" s="176">
        <f t="shared" si="5"/>
        <v>1.873653691004437</v>
      </c>
      <c r="Q11" s="221">
        <f t="shared" si="6"/>
        <v>1.0706592520025353</v>
      </c>
      <c r="R11" s="221">
        <f t="shared" si="7"/>
        <v>2.2942698257197187</v>
      </c>
      <c r="S11" s="451">
        <f t="shared" si="8"/>
        <v>15</v>
      </c>
      <c r="T11" s="221">
        <f t="shared" si="9"/>
        <v>0.2297649784839457</v>
      </c>
      <c r="U11" s="221">
        <f t="shared" si="10"/>
        <v>0.10722365662584132</v>
      </c>
      <c r="V11" s="221">
        <f t="shared" si="11"/>
        <v>6.7436262028831004E-2</v>
      </c>
      <c r="W11" s="201">
        <f t="shared" si="12"/>
        <v>350</v>
      </c>
      <c r="X11" s="451">
        <f t="shared" si="48"/>
        <v>350</v>
      </c>
      <c r="Z11" s="221">
        <f t="shared" si="13"/>
        <v>3.7585690646915135</v>
      </c>
      <c r="AA11" s="177">
        <f t="shared" si="14"/>
        <v>1.1031439602868174</v>
      </c>
      <c r="AB11" s="177">
        <f t="shared" si="15"/>
        <v>0.97467647041501804</v>
      </c>
      <c r="AC11" s="177"/>
      <c r="AD11" s="177">
        <f t="shared" si="16"/>
        <v>0.24067085953878403</v>
      </c>
      <c r="AE11" s="559">
        <f t="shared" si="17"/>
        <v>452.66423047505742</v>
      </c>
      <c r="AF11" s="542">
        <f t="shared" si="18"/>
        <v>4.6392002252886505E-2</v>
      </c>
      <c r="AH11" s="177">
        <f t="shared" si="19"/>
        <v>0.90576385623699185</v>
      </c>
      <c r="AI11" s="177">
        <f t="shared" si="20"/>
        <v>0.90576385623699185</v>
      </c>
      <c r="AJ11" s="177">
        <f t="shared" si="21"/>
        <v>1.2635287823977717</v>
      </c>
      <c r="AL11" s="559">
        <f t="shared" si="22"/>
        <v>60</v>
      </c>
      <c r="AM11" s="469">
        <f t="shared" si="23"/>
        <v>350</v>
      </c>
      <c r="AO11">
        <f t="shared" si="49"/>
        <v>60</v>
      </c>
      <c r="AP11" s="469">
        <f t="shared" si="24"/>
        <v>350</v>
      </c>
      <c r="AQ11" s="469"/>
      <c r="AR11" s="5">
        <f t="shared" si="50"/>
        <v>2.8571428571428572</v>
      </c>
      <c r="AS11" s="5">
        <f t="shared" si="25"/>
        <v>0.42268979957726288</v>
      </c>
      <c r="AT11" s="5">
        <f t="shared" si="51"/>
        <v>2.4344530575655945</v>
      </c>
      <c r="AU11" s="177">
        <f t="shared" si="52"/>
        <v>0.14794142985204201</v>
      </c>
      <c r="AW11" s="5">
        <f t="shared" si="53"/>
        <v>12.079683950617282</v>
      </c>
      <c r="AX11" s="5">
        <f t="shared" si="26"/>
        <v>0.32825066666666658</v>
      </c>
      <c r="AY11" s="5">
        <f t="shared" si="27"/>
        <v>0.85581907298473081</v>
      </c>
      <c r="AZ11" s="5">
        <f t="shared" si="28"/>
        <v>4.9901509236185276E-2</v>
      </c>
      <c r="BA11" s="5">
        <f t="shared" si="29"/>
        <v>0.22892400681669453</v>
      </c>
      <c r="BB11" s="469">
        <f t="shared" si="30"/>
        <v>17.380879458620505</v>
      </c>
      <c r="BC11" s="5"/>
      <c r="BD11" s="177">
        <f t="shared" si="54"/>
        <v>0.20114037944990634</v>
      </c>
      <c r="BE11" s="177">
        <f t="shared" si="31"/>
        <v>0.64842058013915804</v>
      </c>
      <c r="BF11" s="177">
        <f t="shared" si="32"/>
        <v>0.15225571850103015</v>
      </c>
      <c r="BG11" s="177"/>
      <c r="BH11" s="542">
        <f t="shared" si="33"/>
        <v>4.4503197469777534E-3</v>
      </c>
      <c r="BI11" s="542">
        <f t="shared" si="34"/>
        <v>6.1580620175912482E-2</v>
      </c>
      <c r="BJ11" s="542">
        <f t="shared" si="35"/>
        <v>1.7499999999999998E-2</v>
      </c>
      <c r="BK11" s="542">
        <f t="shared" si="36"/>
        <v>0.11885914687500002</v>
      </c>
      <c r="BL11">
        <f t="shared" si="37"/>
        <v>4.3499999999999997E-3</v>
      </c>
      <c r="BM11" s="469">
        <f t="shared" si="55"/>
        <v>206.74008679789026</v>
      </c>
      <c r="BN11" s="177">
        <f t="shared" si="38"/>
        <v>5.3999999999999999E-2</v>
      </c>
      <c r="BO11" s="177">
        <f t="shared" si="39"/>
        <v>1.35E-2</v>
      </c>
      <c r="BP11" s="542"/>
      <c r="BR11" s="469">
        <f t="shared" si="56"/>
        <v>67.5</v>
      </c>
      <c r="BS11" s="542">
        <f t="shared" si="40"/>
        <v>0</v>
      </c>
      <c r="BT11" s="542">
        <f t="shared" si="57"/>
        <v>0</v>
      </c>
      <c r="BU11" s="542">
        <f t="shared" si="41"/>
        <v>0</v>
      </c>
      <c r="BV11" s="542">
        <f t="shared" si="42"/>
        <v>0</v>
      </c>
      <c r="BW11" s="647">
        <f t="shared" si="43"/>
        <v>0</v>
      </c>
      <c r="BX11" s="469">
        <f t="shared" si="58"/>
        <v>0</v>
      </c>
      <c r="BY11" s="177">
        <f t="shared" si="59"/>
        <v>0.27424008679789025</v>
      </c>
      <c r="BZ11" s="5">
        <f t="shared" si="60"/>
        <v>1.0049999999999999</v>
      </c>
      <c r="CA11" s="177">
        <f t="shared" si="61"/>
        <v>0.78562266018074056</v>
      </c>
      <c r="CB11" s="5">
        <f t="shared" si="62"/>
        <v>78.562266018074055</v>
      </c>
      <c r="CC11">
        <f t="shared" si="63"/>
        <v>6</v>
      </c>
      <c r="CE11" s="576">
        <f t="shared" si="44"/>
        <v>-50</v>
      </c>
      <c r="CF11">
        <f t="shared" si="45"/>
        <v>-50</v>
      </c>
    </row>
    <row r="12" spans="2:84" x14ac:dyDescent="0.25">
      <c r="E12" s="174">
        <v>7</v>
      </c>
      <c r="F12" s="221">
        <f t="shared" si="64"/>
        <v>7.0000000000000007E-2</v>
      </c>
      <c r="G12" s="221">
        <f t="shared" si="46"/>
        <v>1.7500000000000002E-2</v>
      </c>
      <c r="H12" s="221">
        <f t="shared" si="0"/>
        <v>1.05</v>
      </c>
      <c r="I12" s="221">
        <f t="shared" si="65"/>
        <v>0.12250000000000001</v>
      </c>
      <c r="J12" s="555">
        <f t="shared" si="1"/>
        <v>15</v>
      </c>
      <c r="K12" s="451">
        <f t="shared" si="2"/>
        <v>23.85</v>
      </c>
      <c r="L12" s="451">
        <f t="shared" si="3"/>
        <v>38.85</v>
      </c>
      <c r="M12" s="451"/>
      <c r="N12" s="221">
        <f t="shared" si="4"/>
        <v>0.61389961389961389</v>
      </c>
      <c r="O12" s="176">
        <f t="shared" si="47"/>
        <v>16.05988878003803</v>
      </c>
      <c r="P12" s="176">
        <f t="shared" si="5"/>
        <v>1.873653691004437</v>
      </c>
      <c r="Q12" s="221">
        <f t="shared" si="6"/>
        <v>1.0706592520025353</v>
      </c>
      <c r="R12" s="221">
        <f t="shared" si="7"/>
        <v>2.2942698257197187</v>
      </c>
      <c r="S12" s="451">
        <f t="shared" si="8"/>
        <v>15</v>
      </c>
      <c r="T12" s="221">
        <f t="shared" si="9"/>
        <v>0.26805914156460336</v>
      </c>
      <c r="U12" s="221">
        <f t="shared" si="10"/>
        <v>0.12509426606348159</v>
      </c>
      <c r="V12" s="221">
        <f t="shared" si="11"/>
        <v>7.867563903363621E-2</v>
      </c>
      <c r="W12" s="201">
        <f t="shared" si="12"/>
        <v>350</v>
      </c>
      <c r="X12" s="451">
        <f t="shared" si="48"/>
        <v>350</v>
      </c>
      <c r="Z12" s="221">
        <f t="shared" si="13"/>
        <v>3.7585690646915135</v>
      </c>
      <c r="AA12" s="177">
        <f t="shared" si="14"/>
        <v>1.1031439602868174</v>
      </c>
      <c r="AB12" s="177">
        <f t="shared" si="15"/>
        <v>0.97467647041501804</v>
      </c>
      <c r="AC12" s="177"/>
      <c r="AD12" s="177">
        <f t="shared" si="16"/>
        <v>0.24067085953878403</v>
      </c>
      <c r="AE12" s="559">
        <f t="shared" si="17"/>
        <v>528.10826888756708</v>
      </c>
      <c r="AF12" s="542">
        <f t="shared" si="18"/>
        <v>4.6392002252886505E-2</v>
      </c>
      <c r="AH12" s="177">
        <f t="shared" si="19"/>
        <v>0.97833678104365329</v>
      </c>
      <c r="AI12" s="177">
        <f t="shared" si="20"/>
        <v>0.97833678104365329</v>
      </c>
      <c r="AJ12" s="177">
        <f t="shared" si="21"/>
        <v>1.3172865044767801</v>
      </c>
      <c r="AL12" s="559">
        <f t="shared" si="22"/>
        <v>70</v>
      </c>
      <c r="AM12" s="469">
        <f t="shared" si="23"/>
        <v>350</v>
      </c>
      <c r="AO12">
        <f t="shared" si="49"/>
        <v>70</v>
      </c>
      <c r="AP12" s="469">
        <f t="shared" si="24"/>
        <v>350</v>
      </c>
      <c r="AQ12" s="469"/>
      <c r="AR12" s="5">
        <f t="shared" si="50"/>
        <v>2.8571428571428572</v>
      </c>
      <c r="AS12" s="5">
        <f t="shared" si="25"/>
        <v>0.45655716448703815</v>
      </c>
      <c r="AT12" s="5">
        <f t="shared" si="51"/>
        <v>2.4005856926558189</v>
      </c>
      <c r="AU12" s="177">
        <f t="shared" si="52"/>
        <v>0.15979500757046336</v>
      </c>
      <c r="AW12" s="5">
        <f t="shared" si="53"/>
        <v>12.079683950617282</v>
      </c>
      <c r="AX12" s="5">
        <f t="shared" si="26"/>
        <v>0.41178562962962961</v>
      </c>
      <c r="AY12" s="5">
        <f t="shared" si="27"/>
        <v>0.85581907298473081</v>
      </c>
      <c r="AZ12" s="5">
        <f t="shared" si="28"/>
        <v>5.9171498682585519E-2</v>
      </c>
      <c r="BA12" s="5">
        <f t="shared" si="29"/>
        <v>0.26336250055101268</v>
      </c>
      <c r="BB12" s="469">
        <f t="shared" si="30"/>
        <v>19.999029646589111</v>
      </c>
      <c r="BC12" s="5"/>
      <c r="BD12" s="177">
        <f t="shared" si="54"/>
        <v>0.2257924194942173</v>
      </c>
      <c r="BE12" s="177">
        <f t="shared" si="31"/>
        <v>0.6954855154865166</v>
      </c>
      <c r="BF12" s="177">
        <f t="shared" si="32"/>
        <v>0.16330704192753015</v>
      </c>
      <c r="BG12" s="177"/>
      <c r="BH12" s="542">
        <f t="shared" si="33"/>
        <v>5.6080438371157865E-3</v>
      </c>
      <c r="BI12" s="542">
        <f t="shared" si="34"/>
        <v>6.6514671901205386E-2</v>
      </c>
      <c r="BJ12" s="542">
        <f t="shared" si="35"/>
        <v>1.7499999999999998E-2</v>
      </c>
      <c r="BK12" s="542">
        <f t="shared" si="36"/>
        <v>0.11885914687500002</v>
      </c>
      <c r="BL12">
        <f t="shared" si="37"/>
        <v>4.3499999999999997E-3</v>
      </c>
      <c r="BM12" s="469">
        <f t="shared" si="55"/>
        <v>212.83186261332119</v>
      </c>
      <c r="BN12" s="177">
        <f t="shared" si="38"/>
        <v>6.3000000000000014E-2</v>
      </c>
      <c r="BO12" s="177">
        <f t="shared" si="39"/>
        <v>1.5750000000000004E-2</v>
      </c>
      <c r="BP12" s="542"/>
      <c r="BR12" s="469">
        <f t="shared" si="56"/>
        <v>78.750000000000014</v>
      </c>
      <c r="BS12" s="542">
        <f t="shared" si="40"/>
        <v>0</v>
      </c>
      <c r="BT12" s="542">
        <f t="shared" si="57"/>
        <v>0</v>
      </c>
      <c r="BU12" s="542">
        <f t="shared" si="41"/>
        <v>0</v>
      </c>
      <c r="BV12" s="542">
        <f t="shared" si="42"/>
        <v>0</v>
      </c>
      <c r="BW12" s="647">
        <f t="shared" si="43"/>
        <v>0</v>
      </c>
      <c r="BX12" s="469">
        <f t="shared" si="58"/>
        <v>0</v>
      </c>
      <c r="BY12" s="177">
        <f t="shared" si="59"/>
        <v>0.2915818626133212</v>
      </c>
      <c r="BZ12" s="5">
        <f t="shared" si="60"/>
        <v>1.1725000000000001</v>
      </c>
      <c r="CA12" s="177">
        <f t="shared" si="61"/>
        <v>0.80084319732445797</v>
      </c>
      <c r="CB12" s="5">
        <f t="shared" si="62"/>
        <v>80.084319732445792</v>
      </c>
      <c r="CC12">
        <f t="shared" si="63"/>
        <v>7.0000000000000009</v>
      </c>
      <c r="CE12" s="576">
        <f t="shared" si="44"/>
        <v>-50</v>
      </c>
      <c r="CF12">
        <f t="shared" si="45"/>
        <v>-50</v>
      </c>
    </row>
    <row r="13" spans="2:84" s="76" customFormat="1" x14ac:dyDescent="0.25">
      <c r="E13" s="193">
        <v>8</v>
      </c>
      <c r="F13" s="221">
        <f t="shared" si="64"/>
        <v>0.08</v>
      </c>
      <c r="G13" s="221">
        <f t="shared" si="46"/>
        <v>0.02</v>
      </c>
      <c r="H13" s="221">
        <f t="shared" si="0"/>
        <v>1.2</v>
      </c>
      <c r="I13" s="221">
        <f t="shared" si="65"/>
        <v>0.14000000000000001</v>
      </c>
      <c r="J13" s="555">
        <f t="shared" si="1"/>
        <v>15</v>
      </c>
      <c r="K13" s="451">
        <f t="shared" si="2"/>
        <v>23.85</v>
      </c>
      <c r="L13" s="549">
        <f t="shared" si="3"/>
        <v>38.85</v>
      </c>
      <c r="M13" s="549"/>
      <c r="N13" s="333">
        <f t="shared" si="4"/>
        <v>0.61389961389961389</v>
      </c>
      <c r="O13" s="176">
        <f t="shared" si="47"/>
        <v>16.05988878003803</v>
      </c>
      <c r="P13" s="176">
        <f t="shared" si="5"/>
        <v>1.873653691004437</v>
      </c>
      <c r="Q13" s="333">
        <f t="shared" si="6"/>
        <v>1.0706592520025353</v>
      </c>
      <c r="R13" s="221">
        <f t="shared" si="7"/>
        <v>2.2942698257197187</v>
      </c>
      <c r="S13" s="451">
        <f t="shared" si="8"/>
        <v>15</v>
      </c>
      <c r="T13" s="221">
        <f t="shared" si="9"/>
        <v>0.30635330464526095</v>
      </c>
      <c r="U13" s="333">
        <f t="shared" si="10"/>
        <v>0.1429648755011218</v>
      </c>
      <c r="V13" s="221">
        <f t="shared" si="11"/>
        <v>8.9915016038441375E-2</v>
      </c>
      <c r="W13" s="551">
        <f t="shared" si="12"/>
        <v>350</v>
      </c>
      <c r="X13" s="549">
        <f t="shared" si="48"/>
        <v>350</v>
      </c>
      <c r="Z13" s="333">
        <f t="shared" si="13"/>
        <v>3.7585690646915135</v>
      </c>
      <c r="AA13" s="177">
        <f t="shared" si="14"/>
        <v>1.1031439602868174</v>
      </c>
      <c r="AB13" s="177">
        <f t="shared" si="15"/>
        <v>0.97467647041501804</v>
      </c>
      <c r="AC13" s="552"/>
      <c r="AD13" s="177">
        <f t="shared" si="16"/>
        <v>0.24067085953878403</v>
      </c>
      <c r="AE13" s="559">
        <f t="shared" si="17"/>
        <v>603.55230730007668</v>
      </c>
      <c r="AF13" s="542">
        <f t="shared" si="18"/>
        <v>4.6392002252886505E-2</v>
      </c>
      <c r="AG13"/>
      <c r="AH13" s="177">
        <f t="shared" si="19"/>
        <v>1.0458860124413214</v>
      </c>
      <c r="AI13" s="177">
        <f t="shared" si="20"/>
        <v>1.0458860124413214</v>
      </c>
      <c r="AJ13" s="177">
        <f t="shared" si="21"/>
        <v>1.3673229721787565</v>
      </c>
      <c r="AL13" s="559">
        <f t="shared" si="22"/>
        <v>80</v>
      </c>
      <c r="AM13" s="469">
        <f t="shared" si="23"/>
        <v>350</v>
      </c>
      <c r="AO13">
        <f t="shared" si="49"/>
        <v>80</v>
      </c>
      <c r="AP13" s="469">
        <f t="shared" si="24"/>
        <v>350</v>
      </c>
      <c r="AQ13" s="469"/>
      <c r="AR13" s="5">
        <f t="shared" si="50"/>
        <v>2.8571428571428572</v>
      </c>
      <c r="AS13" s="5">
        <f t="shared" si="25"/>
        <v>0.48808013913928333</v>
      </c>
      <c r="AT13" s="5">
        <f t="shared" si="51"/>
        <v>2.3690627180035739</v>
      </c>
      <c r="AU13" s="177">
        <f t="shared" si="52"/>
        <v>0.17082804869874915</v>
      </c>
      <c r="AW13" s="5">
        <f t="shared" si="53"/>
        <v>12.079683950617282</v>
      </c>
      <c r="AX13" s="5">
        <f t="shared" si="26"/>
        <v>0.50355674074074064</v>
      </c>
      <c r="AY13" s="5">
        <f t="shared" si="27"/>
        <v>0.85581907298473081</v>
      </c>
      <c r="AZ13" s="5">
        <f t="shared" si="28"/>
        <v>6.8713794197662714E-2</v>
      </c>
      <c r="BA13" s="5">
        <f t="shared" si="29"/>
        <v>0.29703336066664693</v>
      </c>
      <c r="BB13" s="469">
        <f t="shared" si="30"/>
        <v>22.559607313156413</v>
      </c>
      <c r="BC13" s="5"/>
      <c r="BD13" s="177">
        <f t="shared" si="54"/>
        <v>0.24957628597029718</v>
      </c>
      <c r="BE13" s="177">
        <f t="shared" si="31"/>
        <v>0.73860753785577415</v>
      </c>
      <c r="BF13" s="177">
        <f t="shared" si="32"/>
        <v>0.17343252945853935</v>
      </c>
      <c r="BG13" s="177"/>
      <c r="BH13" s="542">
        <f t="shared" si="33"/>
        <v>6.8517154770600316E-3</v>
      </c>
      <c r="BI13" s="542">
        <f t="shared" si="34"/>
        <v>7.1107175270854334E-2</v>
      </c>
      <c r="BJ13" s="542">
        <f t="shared" si="35"/>
        <v>1.7499999999999998E-2</v>
      </c>
      <c r="BK13" s="542">
        <f t="shared" si="36"/>
        <v>0.11885914687500002</v>
      </c>
      <c r="BL13">
        <f t="shared" si="37"/>
        <v>4.3499999999999997E-3</v>
      </c>
      <c r="BM13" s="469">
        <f t="shared" si="55"/>
        <v>218.6680376229144</v>
      </c>
      <c r="BN13" s="177">
        <f t="shared" si="38"/>
        <v>7.2000000000000008E-2</v>
      </c>
      <c r="BO13" s="177">
        <f t="shared" si="39"/>
        <v>1.8000000000000002E-2</v>
      </c>
      <c r="BP13" s="542"/>
      <c r="BR13" s="469">
        <f t="shared" si="56"/>
        <v>90.000000000000014</v>
      </c>
      <c r="BS13" s="542">
        <f t="shared" si="40"/>
        <v>0</v>
      </c>
      <c r="BT13" s="542">
        <f t="shared" si="57"/>
        <v>0</v>
      </c>
      <c r="BU13" s="542">
        <f t="shared" si="41"/>
        <v>0</v>
      </c>
      <c r="BV13" s="542">
        <f t="shared" si="42"/>
        <v>0</v>
      </c>
      <c r="BW13" s="647">
        <f t="shared" si="43"/>
        <v>0</v>
      </c>
      <c r="BX13" s="469">
        <f t="shared" si="58"/>
        <v>0</v>
      </c>
      <c r="BY13" s="177">
        <f t="shared" si="59"/>
        <v>0.30866803762291439</v>
      </c>
      <c r="BZ13" s="5">
        <f t="shared" si="60"/>
        <v>1.3399999999999999</v>
      </c>
      <c r="CA13" s="177">
        <f t="shared" si="61"/>
        <v>0.81277732655752888</v>
      </c>
      <c r="CB13" s="5">
        <f t="shared" si="62"/>
        <v>81.277732655752885</v>
      </c>
      <c r="CC13">
        <f t="shared" si="63"/>
        <v>8</v>
      </c>
      <c r="CE13" s="576">
        <f t="shared" si="44"/>
        <v>-50</v>
      </c>
      <c r="CF13">
        <f t="shared" si="45"/>
        <v>-50</v>
      </c>
    </row>
    <row r="14" spans="2:84" x14ac:dyDescent="0.25">
      <c r="E14" s="174">
        <v>9</v>
      </c>
      <c r="F14" s="221">
        <f t="shared" si="64"/>
        <v>0.09</v>
      </c>
      <c r="G14" s="221">
        <f t="shared" si="46"/>
        <v>2.2499999999999999E-2</v>
      </c>
      <c r="H14" s="221">
        <f t="shared" si="0"/>
        <v>1.3499999999999999</v>
      </c>
      <c r="I14" s="221">
        <f t="shared" si="65"/>
        <v>0.1575</v>
      </c>
      <c r="J14" s="555">
        <f t="shared" si="1"/>
        <v>15</v>
      </c>
      <c r="K14" s="451">
        <f t="shared" si="2"/>
        <v>23.85</v>
      </c>
      <c r="L14" s="451">
        <f t="shared" si="3"/>
        <v>38.85</v>
      </c>
      <c r="M14" s="451"/>
      <c r="N14" s="221">
        <f t="shared" si="4"/>
        <v>0.61389961389961389</v>
      </c>
      <c r="O14" s="176">
        <f t="shared" si="47"/>
        <v>16.05988878003803</v>
      </c>
      <c r="P14" s="176">
        <f t="shared" si="5"/>
        <v>1.873653691004437</v>
      </c>
      <c r="Q14" s="221">
        <f t="shared" si="6"/>
        <v>1.0706592520025353</v>
      </c>
      <c r="R14" s="221">
        <f t="shared" si="7"/>
        <v>2.2942698257197187</v>
      </c>
      <c r="S14" s="451">
        <f t="shared" si="8"/>
        <v>15</v>
      </c>
      <c r="T14" s="221">
        <f t="shared" si="9"/>
        <v>0.34464746772591853</v>
      </c>
      <c r="U14" s="221">
        <f t="shared" si="10"/>
        <v>0.16083548493876199</v>
      </c>
      <c r="V14" s="221">
        <f t="shared" si="11"/>
        <v>0.10115439304324653</v>
      </c>
      <c r="W14" s="201">
        <f t="shared" si="12"/>
        <v>350</v>
      </c>
      <c r="X14" s="451">
        <f t="shared" si="48"/>
        <v>350</v>
      </c>
      <c r="Z14" s="221">
        <f t="shared" si="13"/>
        <v>3.7585690646915135</v>
      </c>
      <c r="AA14" s="177">
        <f t="shared" si="14"/>
        <v>1.1031439602868174</v>
      </c>
      <c r="AB14" s="177">
        <f t="shared" si="15"/>
        <v>0.97467647041501804</v>
      </c>
      <c r="AC14" s="177"/>
      <c r="AD14" s="177">
        <f t="shared" si="16"/>
        <v>0.24067085953878403</v>
      </c>
      <c r="AE14" s="559">
        <f t="shared" si="17"/>
        <v>678.99634571258628</v>
      </c>
      <c r="AF14" s="542">
        <f t="shared" si="18"/>
        <v>4.6392002252886505E-2</v>
      </c>
      <c r="AH14" s="177">
        <f t="shared" si="19"/>
        <v>1.1093296376181243</v>
      </c>
      <c r="AI14" s="177">
        <f t="shared" si="20"/>
        <v>1.1093296376181243</v>
      </c>
      <c r="AJ14" s="177">
        <f t="shared" si="21"/>
        <v>1.4143182500874996</v>
      </c>
      <c r="AL14" s="559">
        <f t="shared" si="22"/>
        <v>90</v>
      </c>
      <c r="AM14" s="469">
        <f t="shared" si="23"/>
        <v>350</v>
      </c>
      <c r="AO14">
        <f t="shared" si="49"/>
        <v>90</v>
      </c>
      <c r="AP14" s="469">
        <f t="shared" si="24"/>
        <v>350</v>
      </c>
      <c r="AQ14" s="469"/>
      <c r="AR14" s="5">
        <f t="shared" si="50"/>
        <v>2.8571428571428572</v>
      </c>
      <c r="AS14" s="5">
        <f t="shared" si="25"/>
        <v>0.5176871642217914</v>
      </c>
      <c r="AT14" s="5">
        <f t="shared" si="51"/>
        <v>2.3394556929210659</v>
      </c>
      <c r="AU14" s="177">
        <f t="shared" si="52"/>
        <v>0.18119050747762699</v>
      </c>
      <c r="AW14" s="5">
        <f t="shared" si="53"/>
        <v>12.079683950617282</v>
      </c>
      <c r="AX14" s="5">
        <f t="shared" si="26"/>
        <v>0.60356399999999999</v>
      </c>
      <c r="AY14" s="5">
        <f t="shared" si="27"/>
        <v>0.85581907298473081</v>
      </c>
      <c r="AZ14" s="5">
        <f t="shared" si="28"/>
        <v>7.8528395781416876E-2</v>
      </c>
      <c r="BA14" s="5">
        <f t="shared" si="29"/>
        <v>0.32998638194886609</v>
      </c>
      <c r="BB14" s="469">
        <f t="shared" si="30"/>
        <v>25.066347067217588</v>
      </c>
      <c r="BC14" s="5"/>
      <c r="BD14" s="177">
        <f t="shared" si="54"/>
        <v>0.27262627481666973</v>
      </c>
      <c r="BE14" s="177">
        <f t="shared" si="31"/>
        <v>0.77850091948667466</v>
      </c>
      <c r="BF14" s="177">
        <f t="shared" si="32"/>
        <v>0.18279989944908628</v>
      </c>
      <c r="BG14" s="177"/>
      <c r="BH14" s="542">
        <f t="shared" si="33"/>
        <v>8.175759429245576E-3</v>
      </c>
      <c r="BI14" s="542">
        <f t="shared" si="34"/>
        <v>7.5420548737562237E-2</v>
      </c>
      <c r="BJ14" s="542">
        <f t="shared" si="35"/>
        <v>1.7499999999999998E-2</v>
      </c>
      <c r="BK14" s="542">
        <f t="shared" si="36"/>
        <v>0.11885914687500002</v>
      </c>
      <c r="BL14">
        <f t="shared" si="37"/>
        <v>4.3499999999999997E-3</v>
      </c>
      <c r="BM14" s="469">
        <f t="shared" si="55"/>
        <v>224.30545504180782</v>
      </c>
      <c r="BN14" s="177">
        <f t="shared" si="38"/>
        <v>8.1000000000000003E-2</v>
      </c>
      <c r="BO14" s="177">
        <f t="shared" si="39"/>
        <v>2.0250000000000001E-2</v>
      </c>
      <c r="BP14" s="542"/>
      <c r="BR14" s="469">
        <f t="shared" si="56"/>
        <v>101.25</v>
      </c>
      <c r="BS14" s="542">
        <f t="shared" si="40"/>
        <v>0</v>
      </c>
      <c r="BT14" s="542">
        <f t="shared" si="57"/>
        <v>0</v>
      </c>
      <c r="BU14" s="542">
        <f t="shared" si="41"/>
        <v>0</v>
      </c>
      <c r="BV14" s="542">
        <f t="shared" si="42"/>
        <v>0</v>
      </c>
      <c r="BW14" s="647">
        <f t="shared" si="43"/>
        <v>0</v>
      </c>
      <c r="BX14" s="469">
        <f t="shared" si="58"/>
        <v>0</v>
      </c>
      <c r="BY14" s="177">
        <f t="shared" si="59"/>
        <v>0.32555545504180783</v>
      </c>
      <c r="BZ14" s="5">
        <f t="shared" si="60"/>
        <v>1.5074999999999998</v>
      </c>
      <c r="CA14" s="177">
        <f t="shared" si="61"/>
        <v>0.82239737802456025</v>
      </c>
      <c r="CB14" s="5">
        <f t="shared" si="62"/>
        <v>82.23973780245602</v>
      </c>
      <c r="CC14">
        <f t="shared" si="63"/>
        <v>9</v>
      </c>
      <c r="CE14" s="576">
        <f t="shared" si="44"/>
        <v>-50</v>
      </c>
      <c r="CF14">
        <f t="shared" si="45"/>
        <v>-50</v>
      </c>
    </row>
    <row r="15" spans="2:84" x14ac:dyDescent="0.25">
      <c r="E15" s="174">
        <v>10</v>
      </c>
      <c r="F15" s="221">
        <f t="shared" si="64"/>
        <v>0.1</v>
      </c>
      <c r="G15" s="221">
        <f t="shared" si="46"/>
        <v>2.5000000000000001E-2</v>
      </c>
      <c r="H15" s="221">
        <f t="shared" si="0"/>
        <v>1.5</v>
      </c>
      <c r="I15" s="221">
        <f t="shared" si="65"/>
        <v>0.17500000000000002</v>
      </c>
      <c r="J15" s="555">
        <f t="shared" si="1"/>
        <v>15</v>
      </c>
      <c r="K15" s="451">
        <f t="shared" si="2"/>
        <v>23.85</v>
      </c>
      <c r="L15" s="451">
        <f t="shared" si="3"/>
        <v>38.85</v>
      </c>
      <c r="M15" s="451"/>
      <c r="N15" s="221">
        <f t="shared" si="4"/>
        <v>0.61389961389961389</v>
      </c>
      <c r="O15" s="176">
        <f t="shared" si="47"/>
        <v>16.05988878003803</v>
      </c>
      <c r="P15" s="176">
        <f t="shared" si="5"/>
        <v>1.873653691004437</v>
      </c>
      <c r="Q15" s="221">
        <f t="shared" si="6"/>
        <v>1.0706592520025353</v>
      </c>
      <c r="R15" s="221">
        <f t="shared" si="7"/>
        <v>2.2942698257197187</v>
      </c>
      <c r="S15" s="451">
        <f t="shared" si="8"/>
        <v>15</v>
      </c>
      <c r="T15" s="221">
        <f t="shared" si="9"/>
        <v>0.38294163080657623</v>
      </c>
      <c r="U15" s="221">
        <f t="shared" si="10"/>
        <v>0.17870609437640222</v>
      </c>
      <c r="V15" s="221">
        <f t="shared" si="11"/>
        <v>0.11239377004805171</v>
      </c>
      <c r="W15" s="201">
        <f t="shared" si="12"/>
        <v>350</v>
      </c>
      <c r="X15" s="451">
        <f t="shared" si="48"/>
        <v>350</v>
      </c>
      <c r="Z15" s="221">
        <f t="shared" si="13"/>
        <v>3.7585690646915135</v>
      </c>
      <c r="AA15" s="177">
        <f t="shared" si="14"/>
        <v>1.1031439602868174</v>
      </c>
      <c r="AB15" s="177">
        <f t="shared" si="15"/>
        <v>0.97467647041501804</v>
      </c>
      <c r="AC15" s="177"/>
      <c r="AD15" s="177">
        <f t="shared" si="16"/>
        <v>0.24067085953878403</v>
      </c>
      <c r="AE15" s="559">
        <f t="shared" si="17"/>
        <v>754.44038412509587</v>
      </c>
      <c r="AF15" s="542">
        <f t="shared" si="18"/>
        <v>4.6392002252886505E-2</v>
      </c>
      <c r="AH15" s="177">
        <f t="shared" si="19"/>
        <v>1.1693361102674928</v>
      </c>
      <c r="AI15" s="177">
        <f t="shared" si="20"/>
        <v>1.1693361102674928</v>
      </c>
      <c r="AJ15" s="177">
        <f t="shared" si="21"/>
        <v>1.4587674890870317</v>
      </c>
      <c r="AL15" s="559">
        <f t="shared" si="22"/>
        <v>100</v>
      </c>
      <c r="AM15" s="469">
        <f t="shared" si="23"/>
        <v>350</v>
      </c>
      <c r="AO15">
        <f t="shared" si="49"/>
        <v>100</v>
      </c>
      <c r="AP15" s="469">
        <f t="shared" si="24"/>
        <v>350</v>
      </c>
      <c r="AQ15" s="469"/>
      <c r="AR15" s="5">
        <f t="shared" si="50"/>
        <v>2.8571428571428572</v>
      </c>
      <c r="AS15" s="5">
        <f t="shared" si="25"/>
        <v>0.54569018479149656</v>
      </c>
      <c r="AT15" s="5">
        <f t="shared" si="51"/>
        <v>2.3114526723513604</v>
      </c>
      <c r="AU15" s="177">
        <f t="shared" si="52"/>
        <v>0.1909915646770238</v>
      </c>
      <c r="AW15" s="5">
        <f t="shared" si="53"/>
        <v>12.079683950617282</v>
      </c>
      <c r="AX15" s="5">
        <f t="shared" si="26"/>
        <v>0.71180740740740744</v>
      </c>
      <c r="AY15" s="5">
        <f t="shared" si="27"/>
        <v>0.85581907298473081</v>
      </c>
      <c r="AZ15" s="5">
        <f t="shared" si="28"/>
        <v>8.8615303433848006E-2</v>
      </c>
      <c r="BA15" s="5">
        <f t="shared" si="29"/>
        <v>0.36226275800594426</v>
      </c>
      <c r="BB15" s="469">
        <f t="shared" si="30"/>
        <v>27.522338429393187</v>
      </c>
      <c r="BC15" s="5"/>
      <c r="BD15" s="177">
        <f t="shared" si="54"/>
        <v>0.29504334782823199</v>
      </c>
      <c r="BE15" s="177">
        <f t="shared" si="31"/>
        <v>0.81568591980000882</v>
      </c>
      <c r="BF15" s="177">
        <f t="shared" si="32"/>
        <v>0.19153131407962232</v>
      </c>
      <c r="BG15" s="177"/>
      <c r="BH15" s="542">
        <f t="shared" si="33"/>
        <v>9.5755634807460199E-3</v>
      </c>
      <c r="BI15" s="542">
        <f t="shared" si="34"/>
        <v>7.9500238796811173E-2</v>
      </c>
      <c r="BJ15" s="542">
        <f t="shared" si="35"/>
        <v>1.7499999999999998E-2</v>
      </c>
      <c r="BK15" s="542">
        <f t="shared" si="36"/>
        <v>0.11885914687500002</v>
      </c>
      <c r="BL15">
        <f t="shared" si="37"/>
        <v>4.3499999999999997E-3</v>
      </c>
      <c r="BM15" s="469">
        <f t="shared" si="55"/>
        <v>229.7849491525572</v>
      </c>
      <c r="BN15" s="177">
        <f t="shared" si="38"/>
        <v>9.0000000000000011E-2</v>
      </c>
      <c r="BO15" s="177">
        <f t="shared" si="39"/>
        <v>2.2500000000000003E-2</v>
      </c>
      <c r="BP15" s="542"/>
      <c r="BR15" s="469">
        <f t="shared" si="56"/>
        <v>112.50000000000001</v>
      </c>
      <c r="BS15" s="542">
        <f t="shared" si="40"/>
        <v>0</v>
      </c>
      <c r="BT15" s="542">
        <f t="shared" si="57"/>
        <v>0</v>
      </c>
      <c r="BU15" s="542">
        <f t="shared" si="41"/>
        <v>0</v>
      </c>
      <c r="BV15" s="542">
        <f t="shared" si="42"/>
        <v>0</v>
      </c>
      <c r="BW15" s="647">
        <f t="shared" si="43"/>
        <v>0</v>
      </c>
      <c r="BX15" s="469">
        <f t="shared" si="58"/>
        <v>0</v>
      </c>
      <c r="BY15" s="177">
        <f t="shared" si="59"/>
        <v>0.34228494915255725</v>
      </c>
      <c r="BZ15" s="5">
        <f t="shared" si="60"/>
        <v>1.675</v>
      </c>
      <c r="CA15" s="177">
        <f t="shared" si="61"/>
        <v>0.83032394640313545</v>
      </c>
      <c r="CB15" s="5">
        <f t="shared" si="62"/>
        <v>83.032394640313541</v>
      </c>
      <c r="CC15">
        <f t="shared" si="63"/>
        <v>10</v>
      </c>
      <c r="CE15" s="576">
        <f t="shared" si="44"/>
        <v>-50</v>
      </c>
      <c r="CF15">
        <f t="shared" si="45"/>
        <v>-50</v>
      </c>
    </row>
    <row r="16" spans="2:84" x14ac:dyDescent="0.25">
      <c r="E16" s="174">
        <v>11</v>
      </c>
      <c r="F16" s="221">
        <f t="shared" si="64"/>
        <v>0.11</v>
      </c>
      <c r="G16" s="221">
        <f t="shared" si="46"/>
        <v>2.75E-2</v>
      </c>
      <c r="H16" s="221">
        <f t="shared" si="0"/>
        <v>1.65</v>
      </c>
      <c r="I16" s="221">
        <f t="shared" si="65"/>
        <v>0.1925</v>
      </c>
      <c r="J16" s="555">
        <f t="shared" si="1"/>
        <v>15</v>
      </c>
      <c r="K16" s="451">
        <f t="shared" si="2"/>
        <v>23.85</v>
      </c>
      <c r="L16" s="451">
        <f t="shared" si="3"/>
        <v>38.85</v>
      </c>
      <c r="M16" s="451"/>
      <c r="N16" s="221">
        <f t="shared" si="4"/>
        <v>0.61389961389961389</v>
      </c>
      <c r="O16" s="176">
        <f t="shared" si="47"/>
        <v>16.05988878003803</v>
      </c>
      <c r="P16" s="176">
        <f t="shared" si="5"/>
        <v>1.873653691004437</v>
      </c>
      <c r="Q16" s="221">
        <f t="shared" si="6"/>
        <v>1.0706592520025353</v>
      </c>
      <c r="R16" s="221">
        <f t="shared" si="7"/>
        <v>2.2942698257197187</v>
      </c>
      <c r="S16" s="451">
        <f t="shared" si="8"/>
        <v>15</v>
      </c>
      <c r="T16" s="221">
        <f t="shared" si="9"/>
        <v>0.42123579388723376</v>
      </c>
      <c r="U16" s="221">
        <f t="shared" si="10"/>
        <v>0.19657670381404244</v>
      </c>
      <c r="V16" s="221">
        <f t="shared" si="11"/>
        <v>0.12363314705285686</v>
      </c>
      <c r="W16" s="201">
        <f t="shared" si="12"/>
        <v>350</v>
      </c>
      <c r="X16" s="451">
        <f t="shared" si="48"/>
        <v>350</v>
      </c>
      <c r="Z16" s="221">
        <f t="shared" si="13"/>
        <v>3.7585690646915135</v>
      </c>
      <c r="AA16" s="177">
        <f t="shared" si="14"/>
        <v>1.1031439602868174</v>
      </c>
      <c r="AB16" s="177">
        <f t="shared" si="15"/>
        <v>0.97467647041501804</v>
      </c>
      <c r="AC16" s="177"/>
      <c r="AD16" s="177">
        <f t="shared" si="16"/>
        <v>0.24067085953878403</v>
      </c>
      <c r="AE16" s="559">
        <f t="shared" si="17"/>
        <v>829.88442253760536</v>
      </c>
      <c r="AF16" s="542">
        <f t="shared" si="18"/>
        <v>4.6392002252886505E-2</v>
      </c>
      <c r="AH16" s="177">
        <f t="shared" si="19"/>
        <v>1.2264100589334144</v>
      </c>
      <c r="AI16" s="177">
        <f t="shared" si="20"/>
        <v>1.2264100589334144</v>
      </c>
      <c r="AJ16" s="177">
        <f t="shared" si="21"/>
        <v>1.5010444880988254</v>
      </c>
      <c r="AL16" s="559">
        <f t="shared" si="22"/>
        <v>110</v>
      </c>
      <c r="AM16" s="469">
        <f t="shared" si="23"/>
        <v>350</v>
      </c>
      <c r="AO16">
        <f t="shared" si="49"/>
        <v>110</v>
      </c>
      <c r="AP16" s="469">
        <f t="shared" si="24"/>
        <v>350</v>
      </c>
      <c r="AQ16" s="469"/>
      <c r="AR16" s="5">
        <f t="shared" si="50"/>
        <v>2.8571428571428572</v>
      </c>
      <c r="AS16" s="5">
        <f t="shared" si="25"/>
        <v>0.57232469416892662</v>
      </c>
      <c r="AT16" s="5">
        <f t="shared" si="51"/>
        <v>2.2848181629739308</v>
      </c>
      <c r="AU16" s="177">
        <f t="shared" si="52"/>
        <v>0.20031364295912432</v>
      </c>
      <c r="AW16" s="5">
        <f t="shared" si="53"/>
        <v>12.079683950617282</v>
      </c>
      <c r="AX16" s="5">
        <f t="shared" si="26"/>
        <v>0.82828696296296289</v>
      </c>
      <c r="AY16" s="5">
        <f t="shared" si="27"/>
        <v>0.85581907298473081</v>
      </c>
      <c r="AZ16" s="5">
        <f t="shared" si="28"/>
        <v>9.8974517154956074E-2</v>
      </c>
      <c r="BA16" s="5">
        <f t="shared" si="29"/>
        <v>0.3938973066928157</v>
      </c>
      <c r="BB16" s="469">
        <f t="shared" si="30"/>
        <v>29.930192738803282</v>
      </c>
      <c r="BC16" s="5"/>
      <c r="BD16" s="177">
        <f t="shared" si="54"/>
        <v>0.31690591198053403</v>
      </c>
      <c r="BE16" s="177">
        <f t="shared" si="31"/>
        <v>0.85055544024661323</v>
      </c>
      <c r="BF16" s="177">
        <f t="shared" si="32"/>
        <v>0.19971903058955284</v>
      </c>
      <c r="BG16" s="177"/>
      <c r="BH16" s="542">
        <f t="shared" si="33"/>
        <v>1.1047229275303539E-2</v>
      </c>
      <c r="BI16" s="542">
        <f t="shared" si="34"/>
        <v>8.33805538817355E-2</v>
      </c>
      <c r="BJ16" s="542">
        <f t="shared" si="35"/>
        <v>1.7499999999999998E-2</v>
      </c>
      <c r="BK16" s="542">
        <f t="shared" si="36"/>
        <v>0.11885914687500002</v>
      </c>
      <c r="BL16">
        <f t="shared" si="37"/>
        <v>4.3499999999999997E-3</v>
      </c>
      <c r="BM16" s="469">
        <f t="shared" si="55"/>
        <v>235.13693003203903</v>
      </c>
      <c r="BN16" s="177">
        <f t="shared" si="38"/>
        <v>9.9000000000000005E-2</v>
      </c>
      <c r="BO16" s="177">
        <f t="shared" si="39"/>
        <v>2.4750000000000001E-2</v>
      </c>
      <c r="BP16" s="542"/>
      <c r="BR16" s="469">
        <f t="shared" si="56"/>
        <v>123.75</v>
      </c>
      <c r="BS16" s="542">
        <f t="shared" si="40"/>
        <v>0</v>
      </c>
      <c r="BT16" s="542">
        <f t="shared" si="57"/>
        <v>0</v>
      </c>
      <c r="BU16" s="542">
        <f t="shared" si="41"/>
        <v>0</v>
      </c>
      <c r="BV16" s="542">
        <f t="shared" si="42"/>
        <v>0</v>
      </c>
      <c r="BW16" s="647">
        <f t="shared" si="43"/>
        <v>0</v>
      </c>
      <c r="BX16" s="469">
        <f t="shared" si="58"/>
        <v>0</v>
      </c>
      <c r="BY16" s="177">
        <f t="shared" si="59"/>
        <v>0.35888693003203903</v>
      </c>
      <c r="BZ16" s="5">
        <f t="shared" si="60"/>
        <v>1.8424999999999998</v>
      </c>
      <c r="CA16" s="177">
        <f t="shared" si="61"/>
        <v>0.83697235359400646</v>
      </c>
      <c r="CB16" s="5">
        <f t="shared" si="62"/>
        <v>83.697235359400651</v>
      </c>
      <c r="CC16">
        <f t="shared" si="63"/>
        <v>11</v>
      </c>
      <c r="CE16" s="576">
        <f t="shared" si="44"/>
        <v>-50</v>
      </c>
      <c r="CF16">
        <f t="shared" si="45"/>
        <v>-50</v>
      </c>
    </row>
    <row r="17" spans="5:84" x14ac:dyDescent="0.25">
      <c r="E17" s="174">
        <v>12</v>
      </c>
      <c r="F17" s="221">
        <f t="shared" si="64"/>
        <v>0.12</v>
      </c>
      <c r="G17" s="221">
        <f t="shared" si="46"/>
        <v>0.03</v>
      </c>
      <c r="H17" s="221">
        <f t="shared" si="0"/>
        <v>1.7999999999999998</v>
      </c>
      <c r="I17" s="221">
        <f t="shared" si="65"/>
        <v>0.21</v>
      </c>
      <c r="J17" s="555">
        <f t="shared" si="1"/>
        <v>15</v>
      </c>
      <c r="K17" s="451">
        <f t="shared" si="2"/>
        <v>23.85</v>
      </c>
      <c r="L17" s="451">
        <f t="shared" si="3"/>
        <v>38.85</v>
      </c>
      <c r="M17" s="451"/>
      <c r="N17" s="221">
        <f t="shared" si="4"/>
        <v>0.61389961389961389</v>
      </c>
      <c r="O17" s="176">
        <f t="shared" si="47"/>
        <v>16.05988878003803</v>
      </c>
      <c r="P17" s="176">
        <f t="shared" si="5"/>
        <v>1.873653691004437</v>
      </c>
      <c r="Q17" s="221">
        <f t="shared" si="6"/>
        <v>1.0706592520025353</v>
      </c>
      <c r="R17" s="221">
        <f t="shared" si="7"/>
        <v>2.2942698257197187</v>
      </c>
      <c r="S17" s="451">
        <f t="shared" si="8"/>
        <v>15</v>
      </c>
      <c r="T17" s="221">
        <f t="shared" si="9"/>
        <v>0.4595299569678914</v>
      </c>
      <c r="U17" s="221">
        <f t="shared" si="10"/>
        <v>0.21444731325168265</v>
      </c>
      <c r="V17" s="221">
        <f t="shared" si="11"/>
        <v>0.13487252405766201</v>
      </c>
      <c r="W17" s="201">
        <f t="shared" si="12"/>
        <v>350</v>
      </c>
      <c r="X17" s="451">
        <f t="shared" si="48"/>
        <v>350</v>
      </c>
      <c r="Z17" s="221">
        <f t="shared" si="13"/>
        <v>3.7585690646915135</v>
      </c>
      <c r="AA17" s="177">
        <f t="shared" si="14"/>
        <v>1.1031439602868174</v>
      </c>
      <c r="AB17" s="177">
        <f t="shared" si="15"/>
        <v>0.97467647041501804</v>
      </c>
      <c r="AC17" s="177"/>
      <c r="AD17" s="177">
        <f t="shared" si="16"/>
        <v>0.24067085953878403</v>
      </c>
      <c r="AE17" s="559">
        <f t="shared" si="17"/>
        <v>905.32846095011485</v>
      </c>
      <c r="AF17" s="542">
        <f t="shared" si="18"/>
        <v>4.6392002252886505E-2</v>
      </c>
      <c r="AH17" s="177">
        <f t="shared" si="19"/>
        <v>1.2809435297977081</v>
      </c>
      <c r="AI17" s="177">
        <f t="shared" si="20"/>
        <v>1.2809435297977081</v>
      </c>
      <c r="AJ17" s="177">
        <f t="shared" si="21"/>
        <v>1.5414396517020059</v>
      </c>
      <c r="AL17" s="559">
        <f t="shared" si="22"/>
        <v>120</v>
      </c>
      <c r="AM17" s="469">
        <f t="shared" si="23"/>
        <v>350</v>
      </c>
      <c r="AO17">
        <f t="shared" si="49"/>
        <v>120</v>
      </c>
      <c r="AP17" s="469">
        <f t="shared" si="24"/>
        <v>350</v>
      </c>
      <c r="AQ17" s="469"/>
      <c r="AR17" s="5">
        <f t="shared" si="50"/>
        <v>2.8571428571428572</v>
      </c>
      <c r="AS17" s="5">
        <f t="shared" si="25"/>
        <v>0.59777364723893034</v>
      </c>
      <c r="AT17" s="5">
        <f t="shared" si="51"/>
        <v>2.2593692099039266</v>
      </c>
      <c r="AU17" s="177">
        <f t="shared" si="52"/>
        <v>0.20922077653362561</v>
      </c>
      <c r="AW17" s="5">
        <f t="shared" si="53"/>
        <v>12.079683950617282</v>
      </c>
      <c r="AX17" s="5">
        <f t="shared" si="26"/>
        <v>0.95300266666666644</v>
      </c>
      <c r="AY17" s="5">
        <f t="shared" si="27"/>
        <v>0.85581907298473081</v>
      </c>
      <c r="AZ17" s="5">
        <f t="shared" si="28"/>
        <v>0.10960603694474111</v>
      </c>
      <c r="BA17" s="5">
        <f t="shared" si="29"/>
        <v>0.42491996368719459</v>
      </c>
      <c r="BB17" s="469">
        <f t="shared" si="30"/>
        <v>32.292155171276434</v>
      </c>
      <c r="BC17" s="5"/>
      <c r="BD17" s="177">
        <f t="shared" si="54"/>
        <v>0.33827644808439616</v>
      </c>
      <c r="BE17" s="177">
        <f t="shared" si="31"/>
        <v>0.8834148368669531</v>
      </c>
      <c r="BF17" s="177">
        <f t="shared" si="32"/>
        <v>0.20743474966939215</v>
      </c>
      <c r="BG17" s="177"/>
      <c r="BH17" s="542">
        <f t="shared" si="33"/>
        <v>1.258740508614547E-2</v>
      </c>
      <c r="BI17" s="542">
        <f t="shared" si="34"/>
        <v>8.7088148232121673E-2</v>
      </c>
      <c r="BJ17" s="542">
        <f t="shared" si="35"/>
        <v>1.7499999999999998E-2</v>
      </c>
      <c r="BK17" s="542">
        <f t="shared" si="36"/>
        <v>0.11885914687500002</v>
      </c>
      <c r="BL17">
        <f t="shared" si="37"/>
        <v>4.3499999999999997E-3</v>
      </c>
      <c r="BM17" s="469">
        <f t="shared" si="55"/>
        <v>240.38470019326715</v>
      </c>
      <c r="BN17" s="177">
        <f t="shared" si="38"/>
        <v>0.108</v>
      </c>
      <c r="BO17" s="177">
        <f t="shared" si="39"/>
        <v>2.7E-2</v>
      </c>
      <c r="BP17" s="542"/>
      <c r="BR17" s="469">
        <f t="shared" si="56"/>
        <v>135</v>
      </c>
      <c r="BS17" s="542">
        <f t="shared" si="40"/>
        <v>0</v>
      </c>
      <c r="BT17" s="542">
        <f t="shared" si="57"/>
        <v>0</v>
      </c>
      <c r="BU17" s="542">
        <f t="shared" si="41"/>
        <v>0</v>
      </c>
      <c r="BV17" s="542">
        <f t="shared" si="42"/>
        <v>0</v>
      </c>
      <c r="BW17" s="647">
        <f t="shared" si="43"/>
        <v>0</v>
      </c>
      <c r="BX17" s="469">
        <f t="shared" si="58"/>
        <v>0</v>
      </c>
      <c r="BY17" s="177">
        <f t="shared" si="59"/>
        <v>0.3753847001932672</v>
      </c>
      <c r="BZ17" s="5">
        <f t="shared" si="60"/>
        <v>2.0099999999999998</v>
      </c>
      <c r="CA17" s="177">
        <f t="shared" si="61"/>
        <v>0.84263137926437903</v>
      </c>
      <c r="CB17" s="5">
        <f t="shared" si="62"/>
        <v>84.263137926437906</v>
      </c>
      <c r="CC17">
        <f t="shared" si="63"/>
        <v>12</v>
      </c>
      <c r="CE17" s="576">
        <f t="shared" si="44"/>
        <v>-50</v>
      </c>
      <c r="CF17">
        <f t="shared" si="45"/>
        <v>-50</v>
      </c>
    </row>
    <row r="18" spans="5:84" x14ac:dyDescent="0.25">
      <c r="E18" s="174">
        <v>13</v>
      </c>
      <c r="F18" s="221">
        <f t="shared" si="64"/>
        <v>0.13</v>
      </c>
      <c r="G18" s="221">
        <f t="shared" si="46"/>
        <v>3.2500000000000001E-2</v>
      </c>
      <c r="H18" s="221">
        <f t="shared" si="0"/>
        <v>1.9500000000000002</v>
      </c>
      <c r="I18" s="221">
        <f t="shared" si="65"/>
        <v>0.22750000000000001</v>
      </c>
      <c r="J18" s="555">
        <f t="shared" si="1"/>
        <v>15</v>
      </c>
      <c r="K18" s="451">
        <f t="shared" si="2"/>
        <v>23.85</v>
      </c>
      <c r="L18" s="451">
        <f t="shared" si="3"/>
        <v>38.85</v>
      </c>
      <c r="M18" s="451"/>
      <c r="N18" s="221">
        <f t="shared" si="4"/>
        <v>0.61389961389961389</v>
      </c>
      <c r="O18" s="176">
        <f t="shared" si="47"/>
        <v>16.05988878003803</v>
      </c>
      <c r="P18" s="176">
        <f t="shared" si="5"/>
        <v>1.873653691004437</v>
      </c>
      <c r="Q18" s="221">
        <f t="shared" si="6"/>
        <v>1.0706592520025353</v>
      </c>
      <c r="R18" s="221">
        <f t="shared" si="7"/>
        <v>2.2942698257197187</v>
      </c>
      <c r="S18" s="451">
        <f t="shared" si="8"/>
        <v>15</v>
      </c>
      <c r="T18" s="221">
        <f t="shared" si="9"/>
        <v>0.49782412004854909</v>
      </c>
      <c r="U18" s="221">
        <f t="shared" si="10"/>
        <v>0.23231792268932291</v>
      </c>
      <c r="V18" s="221">
        <f t="shared" si="11"/>
        <v>0.14611190106246724</v>
      </c>
      <c r="W18" s="201">
        <f t="shared" si="12"/>
        <v>350</v>
      </c>
      <c r="X18" s="451">
        <f t="shared" si="48"/>
        <v>350</v>
      </c>
      <c r="Z18" s="221">
        <f t="shared" si="13"/>
        <v>3.7585690646915135</v>
      </c>
      <c r="AA18" s="177">
        <f t="shared" si="14"/>
        <v>1.1031439602868174</v>
      </c>
      <c r="AB18" s="177">
        <f t="shared" si="15"/>
        <v>0.97467647041501804</v>
      </c>
      <c r="AC18" s="177"/>
      <c r="AD18" s="177">
        <f t="shared" si="16"/>
        <v>0.24067085953878403</v>
      </c>
      <c r="AE18" s="559">
        <f t="shared" si="17"/>
        <v>980.77249936262456</v>
      </c>
      <c r="AF18" s="542">
        <f t="shared" si="18"/>
        <v>4.6392002252886505E-2</v>
      </c>
      <c r="AH18" s="177">
        <f t="shared" si="19"/>
        <v>1.3332482966080113</v>
      </c>
      <c r="AI18" s="177">
        <f t="shared" si="20"/>
        <v>1.3332482966080113</v>
      </c>
      <c r="AJ18" s="177">
        <f t="shared" si="21"/>
        <v>1.5801839234133417</v>
      </c>
      <c r="AL18" s="559">
        <f t="shared" si="22"/>
        <v>130</v>
      </c>
      <c r="AM18" s="469">
        <f t="shared" si="23"/>
        <v>350</v>
      </c>
      <c r="AO18">
        <f t="shared" si="49"/>
        <v>130</v>
      </c>
      <c r="AP18" s="469">
        <f t="shared" si="24"/>
        <v>350</v>
      </c>
      <c r="AQ18" s="469"/>
      <c r="AR18" s="5">
        <f t="shared" si="50"/>
        <v>2.8571428571428572</v>
      </c>
      <c r="AS18" s="5">
        <f t="shared" si="25"/>
        <v>0.62218253841707194</v>
      </c>
      <c r="AT18" s="5">
        <f t="shared" si="51"/>
        <v>2.2349603187257854</v>
      </c>
      <c r="AU18" s="177">
        <f t="shared" si="52"/>
        <v>0.21776388844597516</v>
      </c>
      <c r="AW18" s="5">
        <f t="shared" si="53"/>
        <v>12.079683950617282</v>
      </c>
      <c r="AX18" s="5">
        <f t="shared" si="26"/>
        <v>1.0859545185185184</v>
      </c>
      <c r="AY18" s="5">
        <f t="shared" si="27"/>
        <v>0.85581907298473081</v>
      </c>
      <c r="AZ18" s="5">
        <f t="shared" si="28"/>
        <v>0.12050986280320311</v>
      </c>
      <c r="BA18" s="5">
        <f t="shared" si="29"/>
        <v>0.45535682751114837</v>
      </c>
      <c r="BB18" s="469">
        <f t="shared" si="30"/>
        <v>34.610183115967708</v>
      </c>
      <c r="BC18" s="5"/>
      <c r="BD18" s="177">
        <f t="shared" si="54"/>
        <v>0.35920580086035758</v>
      </c>
      <c r="BE18" s="177">
        <f t="shared" si="31"/>
        <v>0.91450702804404493</v>
      </c>
      <c r="BF18" s="177">
        <f t="shared" si="32"/>
        <v>0.21473551101540544</v>
      </c>
      <c r="BG18" s="177"/>
      <c r="BH18" s="542">
        <f t="shared" si="33"/>
        <v>1.4193168810890396E-2</v>
      </c>
      <c r="BI18" s="542">
        <f t="shared" si="34"/>
        <v>9.0644218565637175E-2</v>
      </c>
      <c r="BJ18" s="542">
        <f t="shared" si="35"/>
        <v>1.7499999999999998E-2</v>
      </c>
      <c r="BK18" s="542">
        <f t="shared" si="36"/>
        <v>0.11885914687500002</v>
      </c>
      <c r="BL18">
        <f t="shared" si="37"/>
        <v>4.3499999999999997E-3</v>
      </c>
      <c r="BM18" s="469">
        <f t="shared" si="55"/>
        <v>245.54653425152759</v>
      </c>
      <c r="BN18" s="177">
        <f t="shared" si="38"/>
        <v>0.11700000000000001</v>
      </c>
      <c r="BO18" s="177">
        <f t="shared" si="39"/>
        <v>2.9250000000000002E-2</v>
      </c>
      <c r="BP18" s="542"/>
      <c r="BR18" s="469">
        <f t="shared" si="56"/>
        <v>146.25000000000003</v>
      </c>
      <c r="BS18" s="542">
        <f t="shared" si="40"/>
        <v>0</v>
      </c>
      <c r="BT18" s="542">
        <f t="shared" si="57"/>
        <v>0</v>
      </c>
      <c r="BU18" s="542">
        <f t="shared" si="41"/>
        <v>0</v>
      </c>
      <c r="BV18" s="542">
        <f t="shared" si="42"/>
        <v>0</v>
      </c>
      <c r="BW18" s="647">
        <f t="shared" si="43"/>
        <v>0</v>
      </c>
      <c r="BX18" s="469">
        <f t="shared" si="58"/>
        <v>0</v>
      </c>
      <c r="BY18" s="177">
        <f t="shared" si="59"/>
        <v>0.39179653425152761</v>
      </c>
      <c r="BZ18" s="5">
        <f t="shared" si="60"/>
        <v>2.1775000000000002</v>
      </c>
      <c r="CA18" s="177">
        <f t="shared" si="61"/>
        <v>0.84750824631238464</v>
      </c>
      <c r="CB18" s="5">
        <f t="shared" si="62"/>
        <v>84.750824631238459</v>
      </c>
      <c r="CC18">
        <f t="shared" si="63"/>
        <v>13</v>
      </c>
      <c r="CE18" s="576">
        <f t="shared" si="44"/>
        <v>-50</v>
      </c>
      <c r="CF18">
        <f t="shared" si="45"/>
        <v>-50</v>
      </c>
    </row>
    <row r="19" spans="5:84" x14ac:dyDescent="0.25">
      <c r="E19" s="174">
        <v>14</v>
      </c>
      <c r="F19" s="221">
        <f t="shared" si="64"/>
        <v>0.14000000000000001</v>
      </c>
      <c r="G19" s="221">
        <f t="shared" si="46"/>
        <v>3.5000000000000003E-2</v>
      </c>
      <c r="H19" s="221">
        <f t="shared" si="0"/>
        <v>2.1</v>
      </c>
      <c r="I19" s="221">
        <f t="shared" si="65"/>
        <v>0.24500000000000002</v>
      </c>
      <c r="J19" s="555">
        <f t="shared" si="1"/>
        <v>15</v>
      </c>
      <c r="K19" s="451">
        <f t="shared" si="2"/>
        <v>23.85</v>
      </c>
      <c r="L19" s="451">
        <f t="shared" si="3"/>
        <v>38.85</v>
      </c>
      <c r="M19" s="451"/>
      <c r="N19" s="221">
        <f t="shared" si="4"/>
        <v>0.61389961389961389</v>
      </c>
      <c r="O19" s="176">
        <f t="shared" si="47"/>
        <v>16.05988878003803</v>
      </c>
      <c r="P19" s="176">
        <f t="shared" si="5"/>
        <v>1.873653691004437</v>
      </c>
      <c r="Q19" s="221">
        <f t="shared" si="6"/>
        <v>1.0706592520025353</v>
      </c>
      <c r="R19" s="221">
        <f t="shared" si="7"/>
        <v>2.2942698257197187</v>
      </c>
      <c r="S19" s="451">
        <f t="shared" si="8"/>
        <v>15</v>
      </c>
      <c r="T19" s="221">
        <f t="shared" si="9"/>
        <v>0.53611828312920673</v>
      </c>
      <c r="U19" s="221">
        <f t="shared" si="10"/>
        <v>0.25018853212696318</v>
      </c>
      <c r="V19" s="221">
        <f t="shared" si="11"/>
        <v>0.15735127806727242</v>
      </c>
      <c r="W19" s="201">
        <f t="shared" si="12"/>
        <v>350</v>
      </c>
      <c r="X19" s="451">
        <f t="shared" si="48"/>
        <v>350</v>
      </c>
      <c r="Z19" s="221">
        <f t="shared" si="13"/>
        <v>3.7585690646915135</v>
      </c>
      <c r="AA19" s="177">
        <f t="shared" si="14"/>
        <v>1.1031439602868174</v>
      </c>
      <c r="AB19" s="177">
        <f t="shared" si="15"/>
        <v>0.97467647041501804</v>
      </c>
      <c r="AC19" s="177"/>
      <c r="AD19" s="177">
        <f t="shared" si="16"/>
        <v>0.24067085953878403</v>
      </c>
      <c r="AE19" s="559">
        <f t="shared" si="17"/>
        <v>1056.2165377751342</v>
      </c>
      <c r="AF19" s="542">
        <f t="shared" si="18"/>
        <v>4.6392002252886505E-2</v>
      </c>
      <c r="AH19" s="177">
        <f t="shared" si="19"/>
        <v>1.3835771443203715</v>
      </c>
      <c r="AI19" s="177">
        <f t="shared" si="20"/>
        <v>1.3835771443203715</v>
      </c>
      <c r="AJ19" s="177">
        <f t="shared" si="21"/>
        <v>1.6174645513484234</v>
      </c>
      <c r="AL19" s="559">
        <f t="shared" si="22"/>
        <v>140</v>
      </c>
      <c r="AM19" s="469">
        <f t="shared" si="23"/>
        <v>350</v>
      </c>
      <c r="AO19">
        <f t="shared" si="49"/>
        <v>140</v>
      </c>
      <c r="AP19" s="469">
        <f t="shared" si="24"/>
        <v>350</v>
      </c>
      <c r="AQ19" s="469"/>
      <c r="AR19" s="5">
        <f t="shared" si="50"/>
        <v>2.8571428571428572</v>
      </c>
      <c r="AS19" s="5">
        <f t="shared" si="25"/>
        <v>0.64566933401617344</v>
      </c>
      <c r="AT19" s="5">
        <f t="shared" si="51"/>
        <v>2.211473523126684</v>
      </c>
      <c r="AU19" s="177">
        <f t="shared" si="52"/>
        <v>0.2259842669056607</v>
      </c>
      <c r="AW19" s="5">
        <f t="shared" si="53"/>
        <v>12.079683950617282</v>
      </c>
      <c r="AX19" s="5">
        <f t="shared" si="26"/>
        <v>1.2271425185185185</v>
      </c>
      <c r="AY19" s="5">
        <f t="shared" si="27"/>
        <v>0.85581907298473081</v>
      </c>
      <c r="AZ19" s="5">
        <f t="shared" si="28"/>
        <v>0.13168599473034207</v>
      </c>
      <c r="BA19" s="5">
        <f t="shared" si="29"/>
        <v>0.48523091571762106</v>
      </c>
      <c r="BB19" s="469">
        <f t="shared" si="30"/>
        <v>36.886002889347886</v>
      </c>
      <c r="BC19" s="5"/>
      <c r="BD19" s="177">
        <f t="shared" si="54"/>
        <v>0.37973607228830053</v>
      </c>
      <c r="BE19" s="177">
        <f t="shared" si="31"/>
        <v>0.94402903702828123</v>
      </c>
      <c r="BF19" s="177">
        <f t="shared" si="32"/>
        <v>0.22166757768195716</v>
      </c>
      <c r="BG19" s="177"/>
      <c r="BH19" s="542">
        <f t="shared" si="33"/>
        <v>1.5861943305663994E-2</v>
      </c>
      <c r="BI19" s="542">
        <f t="shared" si="34"/>
        <v>9.4065951099481265E-2</v>
      </c>
      <c r="BJ19" s="542">
        <f t="shared" si="35"/>
        <v>1.7499999999999998E-2</v>
      </c>
      <c r="BK19" s="542">
        <f t="shared" si="36"/>
        <v>0.11885914687500002</v>
      </c>
      <c r="BL19">
        <f t="shared" si="37"/>
        <v>4.3499999999999997E-3</v>
      </c>
      <c r="BM19" s="469">
        <f t="shared" si="55"/>
        <v>250.6370412801453</v>
      </c>
      <c r="BN19" s="177">
        <f t="shared" si="38"/>
        <v>0.12600000000000003</v>
      </c>
      <c r="BO19" s="177">
        <f t="shared" si="39"/>
        <v>3.1500000000000007E-2</v>
      </c>
      <c r="BP19" s="542"/>
      <c r="BR19" s="469">
        <f t="shared" si="56"/>
        <v>157.50000000000003</v>
      </c>
      <c r="BS19" s="542">
        <f t="shared" si="40"/>
        <v>0</v>
      </c>
      <c r="BT19" s="542">
        <f t="shared" si="57"/>
        <v>0</v>
      </c>
      <c r="BU19" s="542">
        <f t="shared" si="41"/>
        <v>0</v>
      </c>
      <c r="BV19" s="542">
        <f t="shared" si="42"/>
        <v>0</v>
      </c>
      <c r="BW19" s="647">
        <f t="shared" si="43"/>
        <v>0</v>
      </c>
      <c r="BX19" s="469">
        <f t="shared" si="58"/>
        <v>0</v>
      </c>
      <c r="BY19" s="177">
        <f t="shared" si="59"/>
        <v>0.40813704128014533</v>
      </c>
      <c r="BZ19" s="5">
        <f t="shared" si="60"/>
        <v>2.3450000000000002</v>
      </c>
      <c r="CA19" s="177">
        <f t="shared" si="61"/>
        <v>0.85175563905443252</v>
      </c>
      <c r="CB19" s="5">
        <f t="shared" si="62"/>
        <v>85.175563905443255</v>
      </c>
      <c r="CC19">
        <f t="shared" si="63"/>
        <v>14.000000000000002</v>
      </c>
      <c r="CE19" s="576">
        <f t="shared" si="44"/>
        <v>-50</v>
      </c>
      <c r="CF19">
        <f t="shared" si="45"/>
        <v>-50</v>
      </c>
    </row>
    <row r="20" spans="5:84" x14ac:dyDescent="0.25">
      <c r="E20" s="174">
        <v>15</v>
      </c>
      <c r="F20" s="221">
        <f t="shared" si="64"/>
        <v>0.15</v>
      </c>
      <c r="G20" s="221">
        <f t="shared" si="46"/>
        <v>3.7499999999999999E-2</v>
      </c>
      <c r="H20" s="221">
        <f t="shared" si="0"/>
        <v>2.25</v>
      </c>
      <c r="I20" s="221">
        <f t="shared" si="65"/>
        <v>0.26250000000000001</v>
      </c>
      <c r="J20" s="555">
        <f t="shared" si="1"/>
        <v>15</v>
      </c>
      <c r="K20" s="451">
        <f t="shared" si="2"/>
        <v>23.85</v>
      </c>
      <c r="L20" s="451">
        <f t="shared" si="3"/>
        <v>38.85</v>
      </c>
      <c r="M20" s="451"/>
      <c r="N20" s="221">
        <f t="shared" si="4"/>
        <v>0.61389961389961389</v>
      </c>
      <c r="O20" s="176">
        <f t="shared" si="47"/>
        <v>16.05988878003803</v>
      </c>
      <c r="P20" s="176">
        <f t="shared" si="5"/>
        <v>1.873653691004437</v>
      </c>
      <c r="Q20" s="221">
        <f t="shared" si="6"/>
        <v>1.0706592520025353</v>
      </c>
      <c r="R20" s="221">
        <f t="shared" si="7"/>
        <v>2.2942698257197187</v>
      </c>
      <c r="S20" s="451">
        <f t="shared" si="8"/>
        <v>15</v>
      </c>
      <c r="T20" s="221">
        <f t="shared" si="9"/>
        <v>0.57441244620986431</v>
      </c>
      <c r="U20" s="221">
        <f t="shared" si="10"/>
        <v>0.26805914156460336</v>
      </c>
      <c r="V20" s="221">
        <f t="shared" si="11"/>
        <v>0.16859065507207757</v>
      </c>
      <c r="W20" s="201">
        <f t="shared" si="12"/>
        <v>350</v>
      </c>
      <c r="X20" s="451">
        <f t="shared" si="48"/>
        <v>350</v>
      </c>
      <c r="Z20" s="221">
        <f t="shared" si="13"/>
        <v>3.7585690646915135</v>
      </c>
      <c r="AA20" s="177">
        <f t="shared" si="14"/>
        <v>1.1031439602868174</v>
      </c>
      <c r="AB20" s="177">
        <f t="shared" si="15"/>
        <v>0.97467647041501804</v>
      </c>
      <c r="AC20" s="177"/>
      <c r="AD20" s="177">
        <f t="shared" si="16"/>
        <v>0.24067085953878403</v>
      </c>
      <c r="AE20" s="559">
        <f t="shared" si="17"/>
        <v>1131.6605761876438</v>
      </c>
      <c r="AF20" s="542">
        <f t="shared" si="18"/>
        <v>4.6392002252886505E-2</v>
      </c>
      <c r="AH20" s="177">
        <f t="shared" si="19"/>
        <v>1.4321384039831015</v>
      </c>
      <c r="AI20" s="177">
        <f t="shared" si="20"/>
        <v>1.4321384039831015</v>
      </c>
      <c r="AJ20" s="177">
        <f t="shared" si="21"/>
        <v>1.6534358548022974</v>
      </c>
      <c r="AL20" s="559">
        <f t="shared" si="22"/>
        <v>150</v>
      </c>
      <c r="AM20" s="469">
        <f t="shared" si="23"/>
        <v>350</v>
      </c>
      <c r="AO20">
        <f t="shared" si="49"/>
        <v>150</v>
      </c>
      <c r="AP20" s="469">
        <f t="shared" si="24"/>
        <v>350</v>
      </c>
      <c r="AQ20" s="469"/>
      <c r="AR20" s="5">
        <f t="shared" si="50"/>
        <v>2.8571428571428572</v>
      </c>
      <c r="AS20" s="5">
        <f t="shared" si="25"/>
        <v>0.66833125519211412</v>
      </c>
      <c r="AT20" s="5">
        <f t="shared" si="51"/>
        <v>2.1888116019507429</v>
      </c>
      <c r="AU20" s="177">
        <f t="shared" si="52"/>
        <v>0.23391593931723995</v>
      </c>
      <c r="AW20" s="5">
        <f t="shared" si="53"/>
        <v>12.079683950617282</v>
      </c>
      <c r="AX20" s="5">
        <f t="shared" si="26"/>
        <v>1.3765666666666665</v>
      </c>
      <c r="AY20" s="5">
        <f t="shared" si="27"/>
        <v>0.85581907298473081</v>
      </c>
      <c r="AZ20" s="5">
        <f t="shared" si="28"/>
        <v>0.14313443272615797</v>
      </c>
      <c r="BA20" s="5">
        <f t="shared" si="29"/>
        <v>0.51456272747613963</v>
      </c>
      <c r="BB20" s="469">
        <f t="shared" si="30"/>
        <v>39.121151929131521</v>
      </c>
      <c r="BC20" s="5"/>
      <c r="BD20" s="177">
        <f t="shared" si="54"/>
        <v>0.39990264037402029</v>
      </c>
      <c r="BE20" s="177">
        <f t="shared" si="31"/>
        <v>0.97214329122173737</v>
      </c>
      <c r="BF20" s="177">
        <f t="shared" si="32"/>
        <v>0.22826908926788894</v>
      </c>
      <c r="BG20" s="177"/>
      <c r="BH20" s="542">
        <f t="shared" si="33"/>
        <v>1.759143339559243E-2</v>
      </c>
      <c r="BI20" s="542">
        <f t="shared" si="34"/>
        <v>9.736750974080112E-2</v>
      </c>
      <c r="BJ20" s="542">
        <f t="shared" si="35"/>
        <v>1.7499999999999998E-2</v>
      </c>
      <c r="BK20" s="542">
        <f t="shared" si="36"/>
        <v>0.11885914687500002</v>
      </c>
      <c r="BL20">
        <f t="shared" si="37"/>
        <v>4.3499999999999997E-3</v>
      </c>
      <c r="BM20" s="469">
        <f t="shared" si="55"/>
        <v>255.66809001139356</v>
      </c>
      <c r="BN20" s="177">
        <f t="shared" si="38"/>
        <v>0.13500000000000001</v>
      </c>
      <c r="BO20" s="177">
        <f t="shared" si="39"/>
        <v>3.3750000000000002E-2</v>
      </c>
      <c r="BP20" s="542"/>
      <c r="BR20" s="469">
        <f t="shared" si="56"/>
        <v>168.75</v>
      </c>
      <c r="BS20" s="542">
        <f t="shared" si="40"/>
        <v>0</v>
      </c>
      <c r="BT20" s="542">
        <f t="shared" si="57"/>
        <v>0</v>
      </c>
      <c r="BU20" s="542">
        <f t="shared" si="41"/>
        <v>0</v>
      </c>
      <c r="BV20" s="542">
        <f t="shared" si="42"/>
        <v>0</v>
      </c>
      <c r="BW20" s="647">
        <f t="shared" si="43"/>
        <v>0</v>
      </c>
      <c r="BX20" s="469">
        <f t="shared" si="58"/>
        <v>0</v>
      </c>
      <c r="BY20" s="177">
        <f t="shared" si="59"/>
        <v>0.42441809001139358</v>
      </c>
      <c r="BZ20" s="5">
        <f t="shared" si="60"/>
        <v>2.5125000000000002</v>
      </c>
      <c r="CA20" s="177">
        <f t="shared" si="61"/>
        <v>0.85548861867994863</v>
      </c>
      <c r="CB20" s="5">
        <f t="shared" si="62"/>
        <v>85.548861867994859</v>
      </c>
      <c r="CC20">
        <f t="shared" si="63"/>
        <v>15</v>
      </c>
      <c r="CE20" s="576">
        <f t="shared" si="44"/>
        <v>-50</v>
      </c>
      <c r="CF20">
        <f t="shared" si="45"/>
        <v>-50</v>
      </c>
    </row>
    <row r="21" spans="5:84" s="76" customFormat="1" x14ac:dyDescent="0.25">
      <c r="E21" s="193">
        <v>16</v>
      </c>
      <c r="F21" s="333">
        <f t="shared" si="64"/>
        <v>0.16</v>
      </c>
      <c r="G21" s="221">
        <f t="shared" si="46"/>
        <v>0.04</v>
      </c>
      <c r="H21" s="221">
        <f t="shared" si="0"/>
        <v>2.4</v>
      </c>
      <c r="I21" s="221">
        <f t="shared" si="65"/>
        <v>0.28000000000000003</v>
      </c>
      <c r="J21" s="555">
        <f t="shared" si="1"/>
        <v>15</v>
      </c>
      <c r="K21" s="451">
        <f t="shared" si="2"/>
        <v>23.85</v>
      </c>
      <c r="L21" s="549">
        <f t="shared" si="3"/>
        <v>38.85</v>
      </c>
      <c r="M21" s="549"/>
      <c r="N21" s="333">
        <f t="shared" si="4"/>
        <v>0.61389961389961389</v>
      </c>
      <c r="O21" s="176">
        <f t="shared" si="47"/>
        <v>16.05988878003803</v>
      </c>
      <c r="P21" s="176">
        <f t="shared" si="5"/>
        <v>1.873653691004437</v>
      </c>
      <c r="Q21" s="333">
        <f t="shared" si="6"/>
        <v>1.0706592520025353</v>
      </c>
      <c r="R21" s="221">
        <f t="shared" si="7"/>
        <v>2.2942698257197187</v>
      </c>
      <c r="S21" s="451">
        <f t="shared" si="8"/>
        <v>15</v>
      </c>
      <c r="T21" s="221">
        <f t="shared" si="9"/>
        <v>0.6127066092905219</v>
      </c>
      <c r="U21" s="333">
        <f t="shared" si="10"/>
        <v>0.2859297510022436</v>
      </c>
      <c r="V21" s="221">
        <f t="shared" si="11"/>
        <v>0.17983003207688275</v>
      </c>
      <c r="W21" s="551">
        <f t="shared" si="12"/>
        <v>350</v>
      </c>
      <c r="X21" s="549">
        <f t="shared" si="48"/>
        <v>350</v>
      </c>
      <c r="Z21" s="333">
        <f t="shared" si="13"/>
        <v>3.7585690646915135</v>
      </c>
      <c r="AA21" s="177">
        <f t="shared" si="14"/>
        <v>1.1031439602868174</v>
      </c>
      <c r="AB21" s="177">
        <f t="shared" si="15"/>
        <v>0.97467647041501804</v>
      </c>
      <c r="AC21" s="552"/>
      <c r="AD21" s="177">
        <f t="shared" si="16"/>
        <v>0.24067085953878403</v>
      </c>
      <c r="AE21" s="559">
        <f t="shared" si="17"/>
        <v>1207.1046146001534</v>
      </c>
      <c r="AF21" s="542">
        <f t="shared" si="18"/>
        <v>4.6392002252886505E-2</v>
      </c>
      <c r="AG21"/>
      <c r="AH21" s="177">
        <f t="shared" si="19"/>
        <v>1.4791061834908323</v>
      </c>
      <c r="AI21" s="177">
        <f t="shared" si="20"/>
        <v>1.4791061834908323</v>
      </c>
      <c r="AJ21" s="177">
        <f t="shared" si="21"/>
        <v>1.6882268025858018</v>
      </c>
      <c r="AL21" s="559">
        <f t="shared" si="22"/>
        <v>160</v>
      </c>
      <c r="AM21" s="469">
        <f t="shared" si="23"/>
        <v>350</v>
      </c>
      <c r="AO21">
        <f t="shared" si="49"/>
        <v>160</v>
      </c>
      <c r="AP21" s="469">
        <f t="shared" si="24"/>
        <v>350</v>
      </c>
      <c r="AQ21" s="469"/>
      <c r="AR21" s="5">
        <f t="shared" si="50"/>
        <v>2.8571428571428572</v>
      </c>
      <c r="AS21" s="5">
        <f t="shared" si="25"/>
        <v>0.69024955229572182</v>
      </c>
      <c r="AT21" s="5">
        <f t="shared" si="51"/>
        <v>2.1668933048471355</v>
      </c>
      <c r="AU21" s="177">
        <f t="shared" si="52"/>
        <v>0.24158734330350262</v>
      </c>
      <c r="AW21" s="5">
        <f t="shared" si="53"/>
        <v>12.079683950617282</v>
      </c>
      <c r="AX21" s="5">
        <f t="shared" si="26"/>
        <v>1.5342269629629628</v>
      </c>
      <c r="AY21" s="5">
        <f t="shared" si="27"/>
        <v>0.85581907298473081</v>
      </c>
      <c r="AZ21" s="5">
        <f t="shared" si="28"/>
        <v>0.15485517679065086</v>
      </c>
      <c r="BA21" s="5">
        <f t="shared" si="29"/>
        <v>0.5433706719990945</v>
      </c>
      <c r="BB21" s="469">
        <f t="shared" si="30"/>
        <v>41.317010926247882</v>
      </c>
      <c r="BC21" s="5"/>
      <c r="BD21" s="177">
        <f t="shared" si="54"/>
        <v>0.41973560840951768</v>
      </c>
      <c r="BE21" s="177">
        <f t="shared" si="31"/>
        <v>0.99898557699428459</v>
      </c>
      <c r="BF21" s="177">
        <f t="shared" si="32"/>
        <v>0.23457192978789845</v>
      </c>
      <c r="BG21" s="177"/>
      <c r="BH21" s="542">
        <f t="shared" si="33"/>
        <v>1.9379577906359878E-2</v>
      </c>
      <c r="BI21" s="542">
        <f t="shared" si="34"/>
        <v>0.10056073165008296</v>
      </c>
      <c r="BJ21" s="542">
        <f t="shared" si="35"/>
        <v>1.7499999999999998E-2</v>
      </c>
      <c r="BK21" s="542">
        <f t="shared" si="36"/>
        <v>0.11885914687500002</v>
      </c>
      <c r="BL21">
        <f t="shared" si="37"/>
        <v>4.3499999999999997E-3</v>
      </c>
      <c r="BM21" s="469">
        <f t="shared" si="55"/>
        <v>260.64945643144284</v>
      </c>
      <c r="BN21" s="177">
        <f t="shared" si="38"/>
        <v>0.14400000000000002</v>
      </c>
      <c r="BO21" s="177">
        <f t="shared" si="39"/>
        <v>3.6000000000000004E-2</v>
      </c>
      <c r="BP21" s="542"/>
      <c r="BR21" s="469">
        <f t="shared" si="56"/>
        <v>180.00000000000003</v>
      </c>
      <c r="BS21" s="542">
        <f t="shared" si="40"/>
        <v>0</v>
      </c>
      <c r="BT21" s="542">
        <f t="shared" si="57"/>
        <v>0</v>
      </c>
      <c r="BU21" s="542">
        <f t="shared" si="41"/>
        <v>0</v>
      </c>
      <c r="BV21" s="542">
        <f t="shared" si="42"/>
        <v>0</v>
      </c>
      <c r="BW21" s="647">
        <f t="shared" si="43"/>
        <v>0</v>
      </c>
      <c r="BX21" s="469">
        <f t="shared" si="58"/>
        <v>0</v>
      </c>
      <c r="BY21" s="177">
        <f t="shared" si="59"/>
        <v>0.44064945643144282</v>
      </c>
      <c r="BZ21" s="5">
        <f t="shared" si="60"/>
        <v>2.6799999999999997</v>
      </c>
      <c r="CA21" s="177">
        <f t="shared" si="61"/>
        <v>0.85879559284581131</v>
      </c>
      <c r="CB21" s="5">
        <f t="shared" si="62"/>
        <v>85.879559284581134</v>
      </c>
      <c r="CC21">
        <f t="shared" si="63"/>
        <v>16</v>
      </c>
      <c r="CE21" s="576">
        <f t="shared" si="44"/>
        <v>-50</v>
      </c>
      <c r="CF21">
        <f t="shared" si="45"/>
        <v>-50</v>
      </c>
    </row>
    <row r="22" spans="5:84" x14ac:dyDescent="0.25">
      <c r="E22" s="174">
        <v>17</v>
      </c>
      <c r="F22" s="221">
        <f t="shared" si="64"/>
        <v>0.17</v>
      </c>
      <c r="G22" s="221">
        <f t="shared" si="46"/>
        <v>4.2500000000000003E-2</v>
      </c>
      <c r="H22" s="221">
        <f t="shared" si="0"/>
        <v>2.5500000000000003</v>
      </c>
      <c r="I22" s="221">
        <f t="shared" si="65"/>
        <v>0.29750000000000004</v>
      </c>
      <c r="J22" s="555">
        <f t="shared" si="1"/>
        <v>15</v>
      </c>
      <c r="K22" s="451">
        <f t="shared" si="2"/>
        <v>23.85</v>
      </c>
      <c r="L22" s="451">
        <f t="shared" si="3"/>
        <v>38.85</v>
      </c>
      <c r="M22" s="451"/>
      <c r="N22" s="221">
        <f t="shared" si="4"/>
        <v>0.61389961389961389</v>
      </c>
      <c r="O22" s="176">
        <f t="shared" si="47"/>
        <v>16.05988878003803</v>
      </c>
      <c r="P22" s="176">
        <f t="shared" si="5"/>
        <v>1.873653691004437</v>
      </c>
      <c r="Q22" s="221">
        <f t="shared" si="6"/>
        <v>1.0706592520025353</v>
      </c>
      <c r="R22" s="221">
        <f t="shared" si="7"/>
        <v>2.2942698257197187</v>
      </c>
      <c r="S22" s="451">
        <f t="shared" si="8"/>
        <v>15</v>
      </c>
      <c r="T22" s="221">
        <f t="shared" si="9"/>
        <v>0.65100077237117959</v>
      </c>
      <c r="U22" s="221">
        <f t="shared" si="10"/>
        <v>0.30380036043988379</v>
      </c>
      <c r="V22" s="221">
        <f t="shared" si="11"/>
        <v>0.1910694090816879</v>
      </c>
      <c r="W22" s="201">
        <f t="shared" si="12"/>
        <v>350</v>
      </c>
      <c r="X22" s="451">
        <f t="shared" si="48"/>
        <v>350</v>
      </c>
      <c r="Z22" s="221">
        <f t="shared" si="13"/>
        <v>3.7585690646915135</v>
      </c>
      <c r="AA22" s="177">
        <f t="shared" si="14"/>
        <v>1.1031439602868174</v>
      </c>
      <c r="AB22" s="177">
        <f t="shared" si="15"/>
        <v>0.97467647041501804</v>
      </c>
      <c r="AC22" s="177"/>
      <c r="AD22" s="177">
        <f t="shared" si="16"/>
        <v>0.24067085953878403</v>
      </c>
      <c r="AE22" s="559">
        <f t="shared" si="17"/>
        <v>1282.5486530126627</v>
      </c>
      <c r="AF22" s="542">
        <f t="shared" si="18"/>
        <v>4.6392002252886505E-2</v>
      </c>
      <c r="AH22" s="177">
        <f t="shared" si="19"/>
        <v>1.5246277565092299</v>
      </c>
      <c r="AI22" s="177">
        <f t="shared" si="20"/>
        <v>1.5246277565092299</v>
      </c>
      <c r="AJ22" s="177">
        <f t="shared" si="21"/>
        <v>1.7219464863031333</v>
      </c>
      <c r="AL22" s="559">
        <f t="shared" si="22"/>
        <v>170</v>
      </c>
      <c r="AM22" s="469">
        <f t="shared" si="23"/>
        <v>350</v>
      </c>
      <c r="AO22">
        <f t="shared" si="49"/>
        <v>170</v>
      </c>
      <c r="AP22" s="469">
        <f t="shared" si="24"/>
        <v>350</v>
      </c>
      <c r="AQ22" s="469"/>
      <c r="AR22" s="5">
        <f t="shared" si="50"/>
        <v>2.8571428571428572</v>
      </c>
      <c r="AS22" s="5">
        <f t="shared" si="25"/>
        <v>0.7114929530376406</v>
      </c>
      <c r="AT22" s="5">
        <f t="shared" si="51"/>
        <v>2.1456499041052166</v>
      </c>
      <c r="AU22" s="177">
        <f t="shared" si="52"/>
        <v>0.24902253356317419</v>
      </c>
      <c r="AW22" s="5">
        <f t="shared" si="53"/>
        <v>12.079683950617282</v>
      </c>
      <c r="AX22" s="5">
        <f t="shared" si="26"/>
        <v>1.7001234074074074</v>
      </c>
      <c r="AY22" s="5">
        <f t="shared" si="27"/>
        <v>0.85581907298473081</v>
      </c>
      <c r="AZ22" s="5">
        <f t="shared" si="28"/>
        <v>0.1668482269238207</v>
      </c>
      <c r="BA22" s="5">
        <f t="shared" si="29"/>
        <v>0.57167140135107408</v>
      </c>
      <c r="BB22" s="469">
        <f t="shared" si="30"/>
        <v>43.474828785541085</v>
      </c>
      <c r="BC22" s="5"/>
      <c r="BD22" s="177">
        <f t="shared" si="54"/>
        <v>0.43926087094168298</v>
      </c>
      <c r="BE22" s="177">
        <f t="shared" si="31"/>
        <v>1.0246707859597937</v>
      </c>
      <c r="BF22" s="177">
        <f t="shared" si="32"/>
        <v>0.24060307695638192</v>
      </c>
      <c r="BG22" s="177"/>
      <c r="BH22" s="542">
        <f t="shared" si="33"/>
        <v>2.1224512401449045E-2</v>
      </c>
      <c r="BI22" s="542">
        <f t="shared" si="34"/>
        <v>0.10365562959567128</v>
      </c>
      <c r="BJ22" s="542">
        <f t="shared" si="35"/>
        <v>1.7499999999999998E-2</v>
      </c>
      <c r="BK22" s="542">
        <f t="shared" si="36"/>
        <v>0.11885914687500002</v>
      </c>
      <c r="BL22">
        <f t="shared" si="37"/>
        <v>4.3499999999999997E-3</v>
      </c>
      <c r="BM22" s="469">
        <f t="shared" si="55"/>
        <v>265.58928887212033</v>
      </c>
      <c r="BN22" s="177">
        <f t="shared" si="38"/>
        <v>0.15300000000000002</v>
      </c>
      <c r="BO22" s="177">
        <f t="shared" si="39"/>
        <v>3.8250000000000006E-2</v>
      </c>
      <c r="BP22" s="542"/>
      <c r="BR22" s="469">
        <f t="shared" si="56"/>
        <v>191.25000000000003</v>
      </c>
      <c r="BS22" s="542">
        <f t="shared" si="40"/>
        <v>0</v>
      </c>
      <c r="BT22" s="542">
        <f t="shared" si="57"/>
        <v>0</v>
      </c>
      <c r="BU22" s="542">
        <f t="shared" si="41"/>
        <v>0</v>
      </c>
      <c r="BV22" s="542">
        <f t="shared" si="42"/>
        <v>0</v>
      </c>
      <c r="BW22" s="647">
        <f t="shared" si="43"/>
        <v>0</v>
      </c>
      <c r="BX22" s="469">
        <f t="shared" si="58"/>
        <v>0</v>
      </c>
      <c r="BY22" s="177">
        <f t="shared" si="59"/>
        <v>0.45683928887212039</v>
      </c>
      <c r="BZ22" s="5">
        <f t="shared" si="60"/>
        <v>2.8475000000000001</v>
      </c>
      <c r="CA22" s="177">
        <f t="shared" si="61"/>
        <v>0.86174564748523308</v>
      </c>
      <c r="CB22" s="5">
        <f t="shared" si="62"/>
        <v>86.174564748523309</v>
      </c>
      <c r="CC22">
        <f t="shared" si="63"/>
        <v>17</v>
      </c>
      <c r="CE22" s="576">
        <f t="shared" si="44"/>
        <v>-50</v>
      </c>
      <c r="CF22">
        <f t="shared" si="45"/>
        <v>-50</v>
      </c>
    </row>
    <row r="23" spans="5:84" x14ac:dyDescent="0.25">
      <c r="E23" s="174">
        <v>18</v>
      </c>
      <c r="F23" s="221">
        <f t="shared" si="64"/>
        <v>0.18</v>
      </c>
      <c r="G23" s="221">
        <f t="shared" si="46"/>
        <v>4.4999999999999998E-2</v>
      </c>
      <c r="H23" s="221">
        <f t="shared" si="0"/>
        <v>2.6999999999999997</v>
      </c>
      <c r="I23" s="221">
        <f t="shared" si="65"/>
        <v>0.315</v>
      </c>
      <c r="J23" s="555">
        <f t="shared" si="1"/>
        <v>15</v>
      </c>
      <c r="K23" s="451">
        <f t="shared" si="2"/>
        <v>23.85</v>
      </c>
      <c r="L23" s="451">
        <f t="shared" si="3"/>
        <v>38.85</v>
      </c>
      <c r="M23" s="451"/>
      <c r="N23" s="221">
        <f t="shared" si="4"/>
        <v>0.61389961389961389</v>
      </c>
      <c r="O23" s="176">
        <f t="shared" si="47"/>
        <v>16.05988878003803</v>
      </c>
      <c r="P23" s="176">
        <f t="shared" si="5"/>
        <v>1.873653691004437</v>
      </c>
      <c r="Q23" s="221">
        <f t="shared" si="6"/>
        <v>1.0706592520025353</v>
      </c>
      <c r="R23" s="221">
        <f t="shared" si="7"/>
        <v>2.2942698257197187</v>
      </c>
      <c r="S23" s="451">
        <f t="shared" si="8"/>
        <v>15</v>
      </c>
      <c r="T23" s="221">
        <f t="shared" si="9"/>
        <v>0.68929493545183707</v>
      </c>
      <c r="U23" s="221">
        <f t="shared" si="10"/>
        <v>0.32167096987752397</v>
      </c>
      <c r="V23" s="221">
        <f t="shared" si="11"/>
        <v>0.20230878608649305</v>
      </c>
      <c r="W23" s="201">
        <f t="shared" si="12"/>
        <v>350</v>
      </c>
      <c r="X23" s="451">
        <f t="shared" si="48"/>
        <v>350</v>
      </c>
      <c r="Z23" s="221">
        <f t="shared" si="13"/>
        <v>3.7585690646915135</v>
      </c>
      <c r="AA23" s="177">
        <f t="shared" si="14"/>
        <v>1.1031439602868174</v>
      </c>
      <c r="AB23" s="177">
        <f t="shared" si="15"/>
        <v>0.97467647041501804</v>
      </c>
      <c r="AC23" s="177"/>
      <c r="AD23" s="177">
        <f t="shared" si="16"/>
        <v>0.24067085953878403</v>
      </c>
      <c r="AE23" s="559">
        <f t="shared" si="17"/>
        <v>1357.9926914251726</v>
      </c>
      <c r="AF23" s="542">
        <f t="shared" si="18"/>
        <v>4.6392002252886505E-2</v>
      </c>
      <c r="AH23" s="177">
        <f t="shared" si="19"/>
        <v>1.5688290186619822</v>
      </c>
      <c r="AI23" s="177">
        <f t="shared" si="20"/>
        <v>1.5688290186619822</v>
      </c>
      <c r="AJ23" s="177">
        <f t="shared" si="21"/>
        <v>1.7546881619718386</v>
      </c>
      <c r="AL23" s="559">
        <f t="shared" si="22"/>
        <v>180</v>
      </c>
      <c r="AM23" s="469">
        <f t="shared" si="23"/>
        <v>350</v>
      </c>
      <c r="AO23">
        <f t="shared" si="49"/>
        <v>180</v>
      </c>
      <c r="AP23" s="469">
        <f t="shared" si="24"/>
        <v>350</v>
      </c>
      <c r="AQ23" s="469"/>
      <c r="AR23" s="5">
        <f t="shared" si="50"/>
        <v>2.8571428571428572</v>
      </c>
      <c r="AS23" s="5">
        <f t="shared" si="25"/>
        <v>0.73212020870892502</v>
      </c>
      <c r="AT23" s="5">
        <f t="shared" si="51"/>
        <v>2.1250226484339323</v>
      </c>
      <c r="AU23" s="177">
        <f t="shared" si="52"/>
        <v>0.25624207304812374</v>
      </c>
      <c r="AW23" s="5">
        <f t="shared" si="53"/>
        <v>12.079683950617282</v>
      </c>
      <c r="AX23" s="5">
        <f t="shared" si="26"/>
        <v>1.8742559999999999</v>
      </c>
      <c r="AY23" s="5">
        <f t="shared" si="27"/>
        <v>0.85581907298473081</v>
      </c>
      <c r="AZ23" s="5">
        <f t="shared" si="28"/>
        <v>0.1791135831256675</v>
      </c>
      <c r="BA23" s="5">
        <f t="shared" si="29"/>
        <v>0.59948007345294085</v>
      </c>
      <c r="BB23" s="469">
        <f t="shared" si="30"/>
        <v>45.595742351075828</v>
      </c>
      <c r="BC23" s="5"/>
      <c r="BD23" s="177">
        <f t="shared" si="54"/>
        <v>0.45850091439462315</v>
      </c>
      <c r="BE23" s="177">
        <f t="shared" si="31"/>
        <v>1.0492971589910178</v>
      </c>
      <c r="BF23" s="177">
        <f t="shared" si="32"/>
        <v>0.24638559872510607</v>
      </c>
      <c r="BG23" s="177"/>
      <c r="BH23" s="542">
        <f t="shared" si="33"/>
        <v>2.3124539735077609E-2</v>
      </c>
      <c r="BI23" s="542">
        <f t="shared" si="34"/>
        <v>0.10666076290628153</v>
      </c>
      <c r="BJ23" s="542">
        <f t="shared" si="35"/>
        <v>1.7499999999999998E-2</v>
      </c>
      <c r="BK23" s="542">
        <f t="shared" si="36"/>
        <v>0.11885914687500002</v>
      </c>
      <c r="BL23">
        <f t="shared" si="37"/>
        <v>4.3499999999999997E-3</v>
      </c>
      <c r="BM23" s="469">
        <f t="shared" si="55"/>
        <v>270.49444951635917</v>
      </c>
      <c r="BN23" s="177">
        <f t="shared" si="38"/>
        <v>0.16200000000000001</v>
      </c>
      <c r="BO23" s="177">
        <f t="shared" si="39"/>
        <v>4.0500000000000001E-2</v>
      </c>
      <c r="BP23" s="542"/>
      <c r="BR23" s="469">
        <f t="shared" si="56"/>
        <v>202.5</v>
      </c>
      <c r="BS23" s="542">
        <f t="shared" si="40"/>
        <v>0</v>
      </c>
      <c r="BT23" s="542">
        <f t="shared" si="57"/>
        <v>0</v>
      </c>
      <c r="BU23" s="542">
        <f t="shared" si="41"/>
        <v>0</v>
      </c>
      <c r="BV23" s="542">
        <f t="shared" si="42"/>
        <v>0</v>
      </c>
      <c r="BW23" s="647">
        <f t="shared" si="43"/>
        <v>0</v>
      </c>
      <c r="BX23" s="469">
        <f t="shared" si="58"/>
        <v>0</v>
      </c>
      <c r="BY23" s="177">
        <f t="shared" si="59"/>
        <v>0.47299444951635916</v>
      </c>
      <c r="BZ23" s="5">
        <f t="shared" si="60"/>
        <v>3.0149999999999997</v>
      </c>
      <c r="CA23" s="177">
        <f t="shared" si="61"/>
        <v>0.86439357735160849</v>
      </c>
      <c r="CB23" s="5">
        <f t="shared" si="62"/>
        <v>86.439357735160854</v>
      </c>
      <c r="CC23">
        <f t="shared" si="63"/>
        <v>18</v>
      </c>
      <c r="CE23" s="576">
        <f t="shared" si="44"/>
        <v>-50</v>
      </c>
      <c r="CF23">
        <f t="shared" si="45"/>
        <v>-50</v>
      </c>
    </row>
    <row r="24" spans="5:84" x14ac:dyDescent="0.25">
      <c r="E24" s="174">
        <v>19</v>
      </c>
      <c r="F24" s="221">
        <f t="shared" si="64"/>
        <v>0.19</v>
      </c>
      <c r="G24" s="221">
        <f t="shared" si="46"/>
        <v>4.7500000000000001E-2</v>
      </c>
      <c r="H24" s="221">
        <f t="shared" si="0"/>
        <v>2.85</v>
      </c>
      <c r="I24" s="221">
        <f t="shared" si="65"/>
        <v>0.33250000000000002</v>
      </c>
      <c r="J24" s="555">
        <f t="shared" si="1"/>
        <v>15</v>
      </c>
      <c r="K24" s="451">
        <f t="shared" si="2"/>
        <v>23.85</v>
      </c>
      <c r="L24" s="451">
        <f t="shared" si="3"/>
        <v>38.85</v>
      </c>
      <c r="M24" s="451"/>
      <c r="N24" s="221">
        <f t="shared" si="4"/>
        <v>0.61389961389961389</v>
      </c>
      <c r="O24" s="176">
        <f t="shared" si="47"/>
        <v>16.05988878003803</v>
      </c>
      <c r="P24" s="176">
        <f t="shared" si="5"/>
        <v>1.873653691004437</v>
      </c>
      <c r="Q24" s="221">
        <f t="shared" si="6"/>
        <v>1.0706592520025353</v>
      </c>
      <c r="R24" s="221">
        <f t="shared" si="7"/>
        <v>2.2942698257197187</v>
      </c>
      <c r="S24" s="451">
        <f t="shared" si="8"/>
        <v>15</v>
      </c>
      <c r="T24" s="221">
        <f t="shared" si="9"/>
        <v>0.72758909853249476</v>
      </c>
      <c r="U24" s="221">
        <f t="shared" si="10"/>
        <v>0.33954157931516421</v>
      </c>
      <c r="V24" s="221">
        <f t="shared" si="11"/>
        <v>0.21354816309129826</v>
      </c>
      <c r="W24" s="201">
        <f t="shared" si="12"/>
        <v>350</v>
      </c>
      <c r="X24" s="451">
        <f t="shared" si="48"/>
        <v>350</v>
      </c>
      <c r="Z24" s="221">
        <f t="shared" si="13"/>
        <v>3.7585690646915135</v>
      </c>
      <c r="AA24" s="177">
        <f t="shared" si="14"/>
        <v>1.1031439602868174</v>
      </c>
      <c r="AB24" s="177">
        <f t="shared" si="15"/>
        <v>0.97467647041501804</v>
      </c>
      <c r="AC24" s="177"/>
      <c r="AD24" s="177">
        <f t="shared" si="16"/>
        <v>0.24067085953878403</v>
      </c>
      <c r="AE24" s="559">
        <f t="shared" si="17"/>
        <v>1433.4367298376822</v>
      </c>
      <c r="AF24" s="542">
        <f t="shared" si="18"/>
        <v>4.6392002252886505E-2</v>
      </c>
      <c r="AH24" s="177">
        <f t="shared" si="19"/>
        <v>1.6118185951506667</v>
      </c>
      <c r="AI24" s="177">
        <f t="shared" si="20"/>
        <v>1.6118185951506667</v>
      </c>
      <c r="AJ24" s="177">
        <f t="shared" si="21"/>
        <v>1.7865322927041976</v>
      </c>
      <c r="AL24" s="559">
        <f t="shared" si="22"/>
        <v>190</v>
      </c>
      <c r="AM24" s="469">
        <f t="shared" si="23"/>
        <v>350</v>
      </c>
      <c r="AO24">
        <f t="shared" si="49"/>
        <v>190</v>
      </c>
      <c r="AP24" s="469">
        <f t="shared" si="24"/>
        <v>350</v>
      </c>
      <c r="AQ24" s="469"/>
      <c r="AR24" s="5">
        <f t="shared" si="50"/>
        <v>2.8571428571428572</v>
      </c>
      <c r="AS24" s="5">
        <f t="shared" si="25"/>
        <v>0.75218201107031113</v>
      </c>
      <c r="AT24" s="5">
        <f t="shared" si="51"/>
        <v>2.104960846072546</v>
      </c>
      <c r="AU24" s="177">
        <f t="shared" si="52"/>
        <v>0.2632637038746089</v>
      </c>
      <c r="AW24" s="5">
        <f t="shared" si="53"/>
        <v>12.079683950617282</v>
      </c>
      <c r="AX24" s="5">
        <f t="shared" si="26"/>
        <v>2.0566247407407405</v>
      </c>
      <c r="AY24" s="5">
        <f t="shared" si="27"/>
        <v>0.85581907298473081</v>
      </c>
      <c r="AZ24" s="5">
        <f t="shared" si="28"/>
        <v>0.19165124539619127</v>
      </c>
      <c r="BA24" s="5">
        <f t="shared" si="29"/>
        <v>0.62681056305271365</v>
      </c>
      <c r="BB24" s="469">
        <f t="shared" si="30"/>
        <v>47.680792228953528</v>
      </c>
      <c r="BC24" s="5"/>
      <c r="BD24" s="177">
        <f t="shared" si="54"/>
        <v>0.4774754294582193</v>
      </c>
      <c r="BE24" s="177">
        <f t="shared" si="31"/>
        <v>1.0729494818750231</v>
      </c>
      <c r="BF24" s="177">
        <f t="shared" si="32"/>
        <v>0.2519394036554643</v>
      </c>
      <c r="BG24" s="177"/>
      <c r="BH24" s="542">
        <f t="shared" si="33"/>
        <v>2.5078106430994205E-2</v>
      </c>
      <c r="BI24" s="542">
        <f t="shared" si="34"/>
        <v>0.10958351673780595</v>
      </c>
      <c r="BJ24" s="542">
        <f t="shared" si="35"/>
        <v>1.7499999999999998E-2</v>
      </c>
      <c r="BK24" s="542">
        <f t="shared" si="36"/>
        <v>0.11885914687500002</v>
      </c>
      <c r="BL24">
        <f t="shared" si="37"/>
        <v>4.3499999999999997E-3</v>
      </c>
      <c r="BM24" s="469">
        <f t="shared" si="55"/>
        <v>275.37077004380018</v>
      </c>
      <c r="BN24" s="177">
        <f t="shared" si="38"/>
        <v>0.17100000000000001</v>
      </c>
      <c r="BO24" s="177">
        <f t="shared" si="39"/>
        <v>4.2750000000000003E-2</v>
      </c>
      <c r="BP24" s="542"/>
      <c r="BR24" s="469">
        <f t="shared" si="56"/>
        <v>213.75000000000003</v>
      </c>
      <c r="BS24" s="542">
        <f t="shared" si="40"/>
        <v>0</v>
      </c>
      <c r="BT24" s="542">
        <f t="shared" si="57"/>
        <v>0</v>
      </c>
      <c r="BU24" s="542">
        <f t="shared" si="41"/>
        <v>0</v>
      </c>
      <c r="BV24" s="542">
        <f t="shared" si="42"/>
        <v>0</v>
      </c>
      <c r="BW24" s="647">
        <f t="shared" si="43"/>
        <v>0</v>
      </c>
      <c r="BX24" s="469">
        <f t="shared" si="58"/>
        <v>0</v>
      </c>
      <c r="BY24" s="177">
        <f t="shared" si="59"/>
        <v>0.48912077004380022</v>
      </c>
      <c r="BZ24" s="5">
        <f t="shared" si="60"/>
        <v>3.1825000000000001</v>
      </c>
      <c r="CA24" s="177">
        <f t="shared" si="61"/>
        <v>0.86678341782069035</v>
      </c>
      <c r="CB24" s="5">
        <f t="shared" si="62"/>
        <v>86.67834178206904</v>
      </c>
      <c r="CC24">
        <f t="shared" si="63"/>
        <v>19</v>
      </c>
      <c r="CE24" s="576">
        <f t="shared" si="44"/>
        <v>-50</v>
      </c>
      <c r="CF24">
        <f t="shared" si="45"/>
        <v>-50</v>
      </c>
    </row>
    <row r="25" spans="5:84" x14ac:dyDescent="0.25">
      <c r="E25" s="174">
        <v>20</v>
      </c>
      <c r="F25" s="221">
        <f t="shared" si="64"/>
        <v>0.2</v>
      </c>
      <c r="G25" s="221">
        <f t="shared" si="46"/>
        <v>0.05</v>
      </c>
      <c r="H25" s="221">
        <f t="shared" si="0"/>
        <v>3</v>
      </c>
      <c r="I25" s="221">
        <f t="shared" si="65"/>
        <v>0.35000000000000003</v>
      </c>
      <c r="J25" s="555">
        <f t="shared" si="1"/>
        <v>15</v>
      </c>
      <c r="K25" s="451">
        <f t="shared" si="2"/>
        <v>23.85</v>
      </c>
      <c r="L25" s="451">
        <f t="shared" si="3"/>
        <v>38.85</v>
      </c>
      <c r="M25" s="451"/>
      <c r="N25" s="221">
        <f t="shared" si="4"/>
        <v>0.61389961389961389</v>
      </c>
      <c r="O25" s="176">
        <f t="shared" si="47"/>
        <v>16.05988878003803</v>
      </c>
      <c r="P25" s="176">
        <f t="shared" si="5"/>
        <v>1.873653691004437</v>
      </c>
      <c r="Q25" s="221">
        <f t="shared" si="6"/>
        <v>1.0706592520025353</v>
      </c>
      <c r="R25" s="221">
        <f t="shared" si="7"/>
        <v>2.2942698257197187</v>
      </c>
      <c r="S25" s="451">
        <f t="shared" si="8"/>
        <v>15</v>
      </c>
      <c r="T25" s="221">
        <f t="shared" si="9"/>
        <v>0.76588326161315246</v>
      </c>
      <c r="U25" s="221">
        <f t="shared" si="10"/>
        <v>0.35741218875280445</v>
      </c>
      <c r="V25" s="221">
        <f t="shared" si="11"/>
        <v>0.22478754009610341</v>
      </c>
      <c r="W25" s="201">
        <f t="shared" si="12"/>
        <v>350</v>
      </c>
      <c r="X25" s="451">
        <f t="shared" si="48"/>
        <v>350</v>
      </c>
      <c r="Z25" s="221">
        <f t="shared" si="13"/>
        <v>3.7585690646915135</v>
      </c>
      <c r="AA25" s="177">
        <f t="shared" si="14"/>
        <v>1.1031439602868174</v>
      </c>
      <c r="AB25" s="177">
        <f t="shared" si="15"/>
        <v>0.97467647041501804</v>
      </c>
      <c r="AC25" s="177"/>
      <c r="AD25" s="177">
        <f t="shared" si="16"/>
        <v>0.24067085953878403</v>
      </c>
      <c r="AE25" s="559">
        <f t="shared" si="17"/>
        <v>1508.8807682501917</v>
      </c>
      <c r="AF25" s="542">
        <f t="shared" si="18"/>
        <v>4.6392002252886505E-2</v>
      </c>
      <c r="AH25" s="177">
        <f t="shared" si="19"/>
        <v>1.6536909861128892</v>
      </c>
      <c r="AI25" s="177">
        <f t="shared" si="20"/>
        <v>1.6536909861128892</v>
      </c>
      <c r="AJ25" s="177">
        <f t="shared" si="21"/>
        <v>1.8175488786021401</v>
      </c>
      <c r="AL25" s="559">
        <f t="shared" si="22"/>
        <v>200</v>
      </c>
      <c r="AM25" s="469">
        <f t="shared" si="23"/>
        <v>350</v>
      </c>
      <c r="AO25">
        <f t="shared" si="49"/>
        <v>200</v>
      </c>
      <c r="AP25" s="469">
        <f t="shared" si="24"/>
        <v>350</v>
      </c>
      <c r="AQ25" s="469"/>
      <c r="AR25" s="5">
        <f t="shared" si="50"/>
        <v>2.8571428571428572</v>
      </c>
      <c r="AS25" s="5">
        <f t="shared" si="25"/>
        <v>0.77172246018601498</v>
      </c>
      <c r="AT25" s="5">
        <f t="shared" si="51"/>
        <v>2.0854203969568421</v>
      </c>
      <c r="AU25" s="177">
        <f t="shared" si="52"/>
        <v>0.27010286106510523</v>
      </c>
      <c r="AW25" s="5">
        <f t="shared" si="53"/>
        <v>12.079683950617282</v>
      </c>
      <c r="AX25" s="5">
        <f t="shared" si="26"/>
        <v>2.2472296296296301</v>
      </c>
      <c r="AY25" s="5">
        <f t="shared" si="27"/>
        <v>0.85581907298473081</v>
      </c>
      <c r="AZ25" s="5">
        <f t="shared" si="28"/>
        <v>0.204461213735392</v>
      </c>
      <c r="BA25" s="5">
        <f t="shared" si="29"/>
        <v>0.65367563319816802</v>
      </c>
      <c r="BB25" s="469">
        <f t="shared" si="30"/>
        <v>49.730935647757335</v>
      </c>
      <c r="BC25" s="5"/>
      <c r="BD25" s="177">
        <f t="shared" si="54"/>
        <v>0.49620178706643026</v>
      </c>
      <c r="BE25" s="177">
        <f t="shared" si="31"/>
        <v>1.0957015328064226</v>
      </c>
      <c r="BF25" s="177">
        <f t="shared" si="32"/>
        <v>0.25728181561467262</v>
      </c>
      <c r="BG25" s="177"/>
      <c r="BH25" s="542">
        <f t="shared" si="33"/>
        <v>2.7083783483671089E-2</v>
      </c>
      <c r="BI25" s="542">
        <f t="shared" si="34"/>
        <v>0.11243031591835005</v>
      </c>
      <c r="BJ25" s="542">
        <f t="shared" si="35"/>
        <v>1.7499999999999998E-2</v>
      </c>
      <c r="BK25" s="542">
        <f t="shared" si="36"/>
        <v>0.11885914687500002</v>
      </c>
      <c r="BL25">
        <f t="shared" si="37"/>
        <v>4.3499999999999997E-3</v>
      </c>
      <c r="BM25" s="469">
        <f t="shared" si="55"/>
        <v>280.22324627702119</v>
      </c>
      <c r="BN25" s="177">
        <f t="shared" si="38"/>
        <v>0.18000000000000002</v>
      </c>
      <c r="BO25" s="177">
        <f t="shared" si="39"/>
        <v>4.5000000000000005E-2</v>
      </c>
      <c r="BP25" s="542"/>
      <c r="BR25" s="469">
        <f t="shared" si="56"/>
        <v>225.00000000000003</v>
      </c>
      <c r="BS25" s="542">
        <f t="shared" si="40"/>
        <v>0</v>
      </c>
      <c r="BT25" s="542">
        <f t="shared" si="57"/>
        <v>0</v>
      </c>
      <c r="BU25" s="542">
        <f t="shared" si="41"/>
        <v>0</v>
      </c>
      <c r="BV25" s="542">
        <f t="shared" si="42"/>
        <v>0</v>
      </c>
      <c r="BW25" s="647">
        <f t="shared" si="43"/>
        <v>0</v>
      </c>
      <c r="BX25" s="469">
        <f t="shared" si="58"/>
        <v>0</v>
      </c>
      <c r="BY25" s="177">
        <f t="shared" si="59"/>
        <v>0.5052232462770212</v>
      </c>
      <c r="BZ25" s="5">
        <f t="shared" si="60"/>
        <v>3.35</v>
      </c>
      <c r="CA25" s="177">
        <f t="shared" si="61"/>
        <v>0.86895097533848031</v>
      </c>
      <c r="CB25" s="5">
        <f t="shared" si="62"/>
        <v>86.89509753384803</v>
      </c>
      <c r="CC25">
        <f t="shared" si="63"/>
        <v>20</v>
      </c>
      <c r="CE25" s="576">
        <f t="shared" si="44"/>
        <v>-50</v>
      </c>
      <c r="CF25">
        <f t="shared" si="45"/>
        <v>-50</v>
      </c>
    </row>
    <row r="26" spans="5:84" x14ac:dyDescent="0.25">
      <c r="E26" s="174">
        <v>21</v>
      </c>
      <c r="F26" s="221">
        <f t="shared" si="64"/>
        <v>0.21</v>
      </c>
      <c r="G26" s="221">
        <f t="shared" si="46"/>
        <v>5.2499999999999998E-2</v>
      </c>
      <c r="H26" s="221">
        <f t="shared" si="0"/>
        <v>3.15</v>
      </c>
      <c r="I26" s="221">
        <f t="shared" si="65"/>
        <v>0.36749999999999999</v>
      </c>
      <c r="J26" s="555">
        <f t="shared" si="1"/>
        <v>15</v>
      </c>
      <c r="K26" s="451">
        <f t="shared" si="2"/>
        <v>23.85</v>
      </c>
      <c r="L26" s="451">
        <f t="shared" si="3"/>
        <v>38.85</v>
      </c>
      <c r="M26" s="451"/>
      <c r="N26" s="221">
        <f t="shared" si="4"/>
        <v>0.61389961389961389</v>
      </c>
      <c r="O26" s="176">
        <f t="shared" si="47"/>
        <v>16.05988878003803</v>
      </c>
      <c r="P26" s="176">
        <f t="shared" si="5"/>
        <v>1.873653691004437</v>
      </c>
      <c r="Q26" s="221">
        <f t="shared" si="6"/>
        <v>1.0706592520025353</v>
      </c>
      <c r="R26" s="221">
        <f t="shared" si="7"/>
        <v>2.2942698257197187</v>
      </c>
      <c r="S26" s="451">
        <f t="shared" si="8"/>
        <v>15</v>
      </c>
      <c r="T26" s="221">
        <f t="shared" si="9"/>
        <v>0.80417742469381004</v>
      </c>
      <c r="U26" s="221">
        <f t="shared" si="10"/>
        <v>0.37528279819044463</v>
      </c>
      <c r="V26" s="221">
        <f t="shared" si="11"/>
        <v>0.23602691710090859</v>
      </c>
      <c r="W26" s="201">
        <f t="shared" si="12"/>
        <v>350</v>
      </c>
      <c r="X26" s="451">
        <f t="shared" si="48"/>
        <v>350</v>
      </c>
      <c r="Z26" s="221">
        <f t="shared" si="13"/>
        <v>3.7585690646915135</v>
      </c>
      <c r="AA26" s="177">
        <f t="shared" si="14"/>
        <v>1.1031439602868174</v>
      </c>
      <c r="AB26" s="177">
        <f t="shared" si="15"/>
        <v>0.97467647041501804</v>
      </c>
      <c r="AC26" s="177"/>
      <c r="AD26" s="177">
        <f t="shared" si="16"/>
        <v>0.24067085953878403</v>
      </c>
      <c r="AE26" s="559">
        <f t="shared" si="17"/>
        <v>1584.3248066627011</v>
      </c>
      <c r="AF26" s="542">
        <f t="shared" si="18"/>
        <v>4.6392002252886505E-2</v>
      </c>
      <c r="AH26" s="177">
        <f t="shared" si="19"/>
        <v>1.6945290116809955</v>
      </c>
      <c r="AI26" s="177">
        <f t="shared" si="20"/>
        <v>1.6945290116809955</v>
      </c>
      <c r="AJ26" s="177">
        <f t="shared" si="21"/>
        <v>1.8477992679118485</v>
      </c>
      <c r="AL26" s="559">
        <f t="shared" si="22"/>
        <v>210</v>
      </c>
      <c r="AM26" s="469">
        <f t="shared" si="23"/>
        <v>350</v>
      </c>
      <c r="AO26">
        <f t="shared" si="49"/>
        <v>210</v>
      </c>
      <c r="AP26" s="469">
        <f t="shared" si="24"/>
        <v>350</v>
      </c>
      <c r="AQ26" s="469"/>
      <c r="AR26" s="5">
        <f t="shared" si="50"/>
        <v>2.8571428571428572</v>
      </c>
      <c r="AS26" s="5">
        <f t="shared" si="25"/>
        <v>0.79078020545113126</v>
      </c>
      <c r="AT26" s="5">
        <f t="shared" si="51"/>
        <v>2.0663626516917262</v>
      </c>
      <c r="AU26" s="177">
        <f t="shared" si="52"/>
        <v>0.27677307190789591</v>
      </c>
      <c r="AW26" s="5">
        <f t="shared" si="53"/>
        <v>12.079683950617282</v>
      </c>
      <c r="AX26" s="5">
        <f t="shared" si="26"/>
        <v>2.4460706666666661</v>
      </c>
      <c r="AY26" s="5">
        <f t="shared" si="27"/>
        <v>0.85581907298473081</v>
      </c>
      <c r="AZ26" s="5">
        <f t="shared" si="28"/>
        <v>0.21754348814326963</v>
      </c>
      <c r="BA26" s="5">
        <f t="shared" si="29"/>
        <v>0.68008707624099618</v>
      </c>
      <c r="BB26" s="469">
        <f t="shared" si="30"/>
        <v>51.747057033864195</v>
      </c>
      <c r="BC26" s="5"/>
      <c r="BD26" s="177">
        <f t="shared" si="54"/>
        <v>0.51469541364396176</v>
      </c>
      <c r="BE26" s="177">
        <f t="shared" si="31"/>
        <v>1.1176179853139612</v>
      </c>
      <c r="BF26" s="177">
        <f t="shared" si="32"/>
        <v>0.26242802060220227</v>
      </c>
      <c r="BG26" s="177"/>
      <c r="BH26" s="542">
        <f t="shared" si="33"/>
        <v>2.9140250570874181E-2</v>
      </c>
      <c r="BI26" s="542">
        <f t="shared" si="34"/>
        <v>0.11520679118166169</v>
      </c>
      <c r="BJ26" s="542">
        <f t="shared" si="35"/>
        <v>1.7499999999999998E-2</v>
      </c>
      <c r="BK26" s="542">
        <f t="shared" si="36"/>
        <v>0.11885914687500002</v>
      </c>
      <c r="BL26">
        <f t="shared" si="37"/>
        <v>4.3499999999999997E-3</v>
      </c>
      <c r="BM26" s="469">
        <f t="shared" si="55"/>
        <v>285.0561886275359</v>
      </c>
      <c r="BN26" s="177">
        <f t="shared" si="38"/>
        <v>0.189</v>
      </c>
      <c r="BO26" s="177">
        <f t="shared" si="39"/>
        <v>4.725E-2</v>
      </c>
      <c r="BP26" s="542"/>
      <c r="BR26" s="469">
        <f t="shared" si="56"/>
        <v>236.25000000000003</v>
      </c>
      <c r="BS26" s="542">
        <f t="shared" si="40"/>
        <v>0</v>
      </c>
      <c r="BT26" s="542">
        <f t="shared" si="57"/>
        <v>0</v>
      </c>
      <c r="BU26" s="542">
        <f t="shared" si="41"/>
        <v>0</v>
      </c>
      <c r="BV26" s="542">
        <f t="shared" si="42"/>
        <v>0</v>
      </c>
      <c r="BW26" s="647">
        <f t="shared" si="43"/>
        <v>0</v>
      </c>
      <c r="BX26" s="469">
        <f t="shared" si="58"/>
        <v>0</v>
      </c>
      <c r="BY26" s="177">
        <f t="shared" si="59"/>
        <v>0.52130618862753586</v>
      </c>
      <c r="BZ26" s="5">
        <f t="shared" si="60"/>
        <v>3.5175000000000001</v>
      </c>
      <c r="CA26" s="177">
        <f t="shared" si="61"/>
        <v>0.87092567350831818</v>
      </c>
      <c r="CB26" s="5">
        <f t="shared" si="62"/>
        <v>87.092567350831814</v>
      </c>
      <c r="CC26">
        <f t="shared" si="63"/>
        <v>21</v>
      </c>
      <c r="CE26" s="576">
        <f t="shared" si="44"/>
        <v>-50</v>
      </c>
      <c r="CF26">
        <f t="shared" si="45"/>
        <v>-50</v>
      </c>
    </row>
    <row r="27" spans="5:84" x14ac:dyDescent="0.25">
      <c r="E27" s="174">
        <v>22</v>
      </c>
      <c r="F27" s="221">
        <f t="shared" si="64"/>
        <v>0.22</v>
      </c>
      <c r="G27" s="221">
        <f t="shared" si="46"/>
        <v>5.5E-2</v>
      </c>
      <c r="H27" s="221">
        <f t="shared" si="0"/>
        <v>3.3</v>
      </c>
      <c r="I27" s="221">
        <f t="shared" si="65"/>
        <v>0.38500000000000001</v>
      </c>
      <c r="J27" s="555">
        <f t="shared" si="1"/>
        <v>15</v>
      </c>
      <c r="K27" s="451">
        <f t="shared" si="2"/>
        <v>23.85</v>
      </c>
      <c r="L27" s="451">
        <f t="shared" si="3"/>
        <v>38.85</v>
      </c>
      <c r="M27" s="451"/>
      <c r="N27" s="221">
        <f t="shared" si="4"/>
        <v>0.61389961389961389</v>
      </c>
      <c r="O27" s="176">
        <f t="shared" si="47"/>
        <v>16.05988878003803</v>
      </c>
      <c r="P27" s="176">
        <f t="shared" si="5"/>
        <v>1.873653691004437</v>
      </c>
      <c r="Q27" s="221">
        <f t="shared" si="6"/>
        <v>1.0706592520025353</v>
      </c>
      <c r="R27" s="221">
        <f t="shared" si="7"/>
        <v>2.2942698257197187</v>
      </c>
      <c r="S27" s="451">
        <f t="shared" si="8"/>
        <v>15</v>
      </c>
      <c r="T27" s="221">
        <f t="shared" si="9"/>
        <v>0.84247158777446751</v>
      </c>
      <c r="U27" s="221">
        <f t="shared" si="10"/>
        <v>0.39315340762808487</v>
      </c>
      <c r="V27" s="221">
        <f t="shared" si="11"/>
        <v>0.24726629410571371</v>
      </c>
      <c r="W27" s="201">
        <f t="shared" si="12"/>
        <v>350</v>
      </c>
      <c r="X27" s="451">
        <f t="shared" si="48"/>
        <v>350</v>
      </c>
      <c r="Z27" s="221">
        <f t="shared" si="13"/>
        <v>3.7585690646915135</v>
      </c>
      <c r="AA27" s="177">
        <f t="shared" si="14"/>
        <v>1.1031439602868174</v>
      </c>
      <c r="AB27" s="177">
        <f t="shared" si="15"/>
        <v>0.97467647041501804</v>
      </c>
      <c r="AC27" s="177"/>
      <c r="AD27" s="177">
        <f t="shared" si="16"/>
        <v>0.24067085953878403</v>
      </c>
      <c r="AE27" s="559">
        <f t="shared" si="17"/>
        <v>1659.7688450752107</v>
      </c>
      <c r="AF27" s="542">
        <f t="shared" si="18"/>
        <v>4.6392002252886505E-2</v>
      </c>
      <c r="AH27" s="177">
        <f t="shared" si="19"/>
        <v>1.7344057383744214</v>
      </c>
      <c r="AI27" s="177">
        <f t="shared" si="20"/>
        <v>1.7344057383744214</v>
      </c>
      <c r="AJ27" s="177">
        <f t="shared" si="21"/>
        <v>1.8773375839810529</v>
      </c>
      <c r="AL27" s="559">
        <f t="shared" si="22"/>
        <v>220</v>
      </c>
      <c r="AM27" s="469">
        <f t="shared" si="23"/>
        <v>350</v>
      </c>
      <c r="AO27">
        <f t="shared" si="49"/>
        <v>220</v>
      </c>
      <c r="AP27" s="469">
        <f t="shared" si="24"/>
        <v>350</v>
      </c>
      <c r="AQ27" s="469"/>
      <c r="AR27" s="5">
        <f t="shared" si="50"/>
        <v>2.8571428571428572</v>
      </c>
      <c r="AS27" s="5">
        <f t="shared" si="25"/>
        <v>0.80938934457473</v>
      </c>
      <c r="AT27" s="5">
        <f t="shared" si="51"/>
        <v>2.0477535125681272</v>
      </c>
      <c r="AU27" s="177">
        <f t="shared" si="52"/>
        <v>0.28328627060115547</v>
      </c>
      <c r="AW27" s="5">
        <f t="shared" si="53"/>
        <v>12.079683950617282</v>
      </c>
      <c r="AX27" s="5">
        <f t="shared" si="26"/>
        <v>2.6531478518518514</v>
      </c>
      <c r="AY27" s="5">
        <f t="shared" si="27"/>
        <v>0.85581907298473081</v>
      </c>
      <c r="AZ27" s="5">
        <f t="shared" si="28"/>
        <v>0.23089806861982429</v>
      </c>
      <c r="BA27" s="5">
        <f t="shared" si="29"/>
        <v>0.70605583100009806</v>
      </c>
      <c r="BB27" s="469">
        <f t="shared" si="30"/>
        <v>53.72997679869156</v>
      </c>
      <c r="BC27" s="5"/>
      <c r="BD27" s="177">
        <f t="shared" si="54"/>
        <v>0.53297009071428059</v>
      </c>
      <c r="BE27" s="177">
        <f t="shared" si="31"/>
        <v>1.1387559078019323</v>
      </c>
      <c r="BF27" s="177">
        <f t="shared" si="32"/>
        <v>0.26739141885728918</v>
      </c>
      <c r="BG27" s="177"/>
      <c r="BH27" s="542">
        <f t="shared" si="33"/>
        <v>3.1246282935558731E-2</v>
      </c>
      <c r="BI27" s="542">
        <f t="shared" si="34"/>
        <v>0.11791791013773101</v>
      </c>
      <c r="BJ27" s="542">
        <f t="shared" si="35"/>
        <v>1.7499999999999998E-2</v>
      </c>
      <c r="BK27" s="542">
        <f t="shared" si="36"/>
        <v>0.11885914687500002</v>
      </c>
      <c r="BL27">
        <f t="shared" si="37"/>
        <v>4.3499999999999997E-3</v>
      </c>
      <c r="BM27" s="469">
        <f t="shared" si="55"/>
        <v>289.87333994828975</v>
      </c>
      <c r="BN27" s="177">
        <f t="shared" si="38"/>
        <v>0.19800000000000001</v>
      </c>
      <c r="BO27" s="177">
        <f t="shared" si="39"/>
        <v>4.9500000000000002E-2</v>
      </c>
      <c r="BP27" s="542"/>
      <c r="BR27" s="469">
        <f t="shared" si="56"/>
        <v>247.5</v>
      </c>
      <c r="BS27" s="542">
        <f t="shared" si="40"/>
        <v>0</v>
      </c>
      <c r="BT27" s="542">
        <f t="shared" si="57"/>
        <v>0</v>
      </c>
      <c r="BU27" s="542">
        <f t="shared" si="41"/>
        <v>0</v>
      </c>
      <c r="BV27" s="542">
        <f t="shared" si="42"/>
        <v>0</v>
      </c>
      <c r="BW27" s="647">
        <f t="shared" si="43"/>
        <v>0</v>
      </c>
      <c r="BX27" s="469">
        <f t="shared" si="58"/>
        <v>0</v>
      </c>
      <c r="BY27" s="177">
        <f t="shared" si="59"/>
        <v>0.53737333994828973</v>
      </c>
      <c r="BZ27" s="5">
        <f t="shared" si="60"/>
        <v>3.6849999999999996</v>
      </c>
      <c r="CA27" s="177">
        <f t="shared" si="61"/>
        <v>0.87273192191127491</v>
      </c>
      <c r="CB27" s="5">
        <f t="shared" si="62"/>
        <v>87.273192191127492</v>
      </c>
      <c r="CC27">
        <f t="shared" si="63"/>
        <v>22</v>
      </c>
      <c r="CE27" s="576">
        <f t="shared" si="44"/>
        <v>-50</v>
      </c>
      <c r="CF27">
        <f t="shared" si="45"/>
        <v>-50</v>
      </c>
    </row>
    <row r="28" spans="5:84" x14ac:dyDescent="0.25">
      <c r="E28" s="174">
        <v>23</v>
      </c>
      <c r="F28" s="221">
        <f t="shared" si="64"/>
        <v>0.23</v>
      </c>
      <c r="G28" s="221">
        <f t="shared" si="46"/>
        <v>5.7500000000000002E-2</v>
      </c>
      <c r="H28" s="221">
        <f t="shared" si="0"/>
        <v>3.45</v>
      </c>
      <c r="I28" s="221">
        <f t="shared" si="65"/>
        <v>0.40250000000000002</v>
      </c>
      <c r="J28" s="555">
        <f t="shared" si="1"/>
        <v>15</v>
      </c>
      <c r="K28" s="451">
        <f t="shared" si="2"/>
        <v>23.85</v>
      </c>
      <c r="L28" s="451">
        <f t="shared" si="3"/>
        <v>38.85</v>
      </c>
      <c r="M28" s="451"/>
      <c r="N28" s="221">
        <f t="shared" si="4"/>
        <v>0.61389961389961389</v>
      </c>
      <c r="O28" s="176">
        <f t="shared" si="47"/>
        <v>16.05988878003803</v>
      </c>
      <c r="P28" s="176">
        <f t="shared" si="5"/>
        <v>1.873653691004437</v>
      </c>
      <c r="Q28" s="221">
        <f t="shared" si="6"/>
        <v>1.0706592520025353</v>
      </c>
      <c r="R28" s="221">
        <f t="shared" si="7"/>
        <v>2.2942698257197187</v>
      </c>
      <c r="S28" s="451">
        <f t="shared" si="8"/>
        <v>15</v>
      </c>
      <c r="T28" s="221">
        <f t="shared" si="9"/>
        <v>0.88076575085512532</v>
      </c>
      <c r="U28" s="221">
        <f t="shared" si="10"/>
        <v>0.41102401706572517</v>
      </c>
      <c r="V28" s="221">
        <f t="shared" si="11"/>
        <v>0.25850567111051898</v>
      </c>
      <c r="W28" s="201">
        <f t="shared" si="12"/>
        <v>350</v>
      </c>
      <c r="X28" s="451">
        <f t="shared" si="48"/>
        <v>350</v>
      </c>
      <c r="Z28" s="221">
        <f t="shared" si="13"/>
        <v>3.7585690646915135</v>
      </c>
      <c r="AA28" s="177">
        <f t="shared" si="14"/>
        <v>1.1031439602868174</v>
      </c>
      <c r="AB28" s="177">
        <f t="shared" si="15"/>
        <v>0.97467647041501804</v>
      </c>
      <c r="AC28" s="177"/>
      <c r="AD28" s="177">
        <f t="shared" si="16"/>
        <v>0.24067085953878403</v>
      </c>
      <c r="AE28" s="559">
        <f t="shared" si="17"/>
        <v>1735.2128834877205</v>
      </c>
      <c r="AF28" s="542">
        <f t="shared" si="18"/>
        <v>4.6392002252886505E-2</v>
      </c>
      <c r="AH28" s="177">
        <f t="shared" si="19"/>
        <v>1.7733860152780254</v>
      </c>
      <c r="AI28" s="177">
        <f t="shared" si="20"/>
        <v>1.7733860152780254</v>
      </c>
      <c r="AJ28" s="177">
        <f t="shared" si="21"/>
        <v>1.9062118631689078</v>
      </c>
      <c r="AL28" s="559">
        <f t="shared" si="22"/>
        <v>230</v>
      </c>
      <c r="AM28" s="469">
        <f t="shared" si="23"/>
        <v>350</v>
      </c>
      <c r="AO28">
        <f t="shared" si="49"/>
        <v>230</v>
      </c>
      <c r="AP28" s="469">
        <f t="shared" si="24"/>
        <v>350</v>
      </c>
      <c r="AQ28" s="469"/>
      <c r="AR28" s="5">
        <f t="shared" si="50"/>
        <v>2.8571428571428572</v>
      </c>
      <c r="AS28" s="5">
        <f t="shared" si="25"/>
        <v>0.82758014046307848</v>
      </c>
      <c r="AT28" s="5">
        <f t="shared" si="51"/>
        <v>2.0295627166797789</v>
      </c>
      <c r="AU28" s="177">
        <f t="shared" si="52"/>
        <v>0.28965304916207746</v>
      </c>
      <c r="AW28" s="5">
        <f t="shared" si="53"/>
        <v>12.079683950617282</v>
      </c>
      <c r="AX28" s="5">
        <f t="shared" si="26"/>
        <v>2.8684611851851849</v>
      </c>
      <c r="AY28" s="5">
        <f t="shared" si="27"/>
        <v>0.85581907298473081</v>
      </c>
      <c r="AZ28" s="5">
        <f t="shared" si="28"/>
        <v>0.2445249551650559</v>
      </c>
      <c r="BA28" s="5">
        <f t="shared" si="29"/>
        <v>0.7315920810300679</v>
      </c>
      <c r="BB28" s="469">
        <f t="shared" si="30"/>
        <v>55.680458708834038</v>
      </c>
      <c r="BC28" s="5"/>
      <c r="BD28" s="177">
        <f t="shared" si="54"/>
        <v>0.55103819685545863</v>
      </c>
      <c r="BE28" s="177">
        <f t="shared" si="31"/>
        <v>1.1591659595633348</v>
      </c>
      <c r="BF28" s="177">
        <f t="shared" si="32"/>
        <v>0.27218390569493489</v>
      </c>
      <c r="BG28" s="177"/>
      <c r="BH28" s="542">
        <f t="shared" si="33"/>
        <v>3.3400740383308668E-2</v>
      </c>
      <c r="BI28" s="542">
        <f t="shared" si="34"/>
        <v>0.12056808171371475</v>
      </c>
      <c r="BJ28" s="542">
        <f t="shared" si="35"/>
        <v>1.7499999999999998E-2</v>
      </c>
      <c r="BK28" s="542">
        <f t="shared" si="36"/>
        <v>0.11885914687500002</v>
      </c>
      <c r="BL28">
        <f t="shared" si="37"/>
        <v>4.3499999999999997E-3</v>
      </c>
      <c r="BM28" s="469">
        <f t="shared" si="55"/>
        <v>294.67796897202339</v>
      </c>
      <c r="BN28" s="177">
        <f t="shared" si="38"/>
        <v>0.20700000000000002</v>
      </c>
      <c r="BO28" s="177">
        <f t="shared" si="39"/>
        <v>5.1750000000000004E-2</v>
      </c>
      <c r="BP28" s="542"/>
      <c r="BR28" s="469">
        <f t="shared" si="56"/>
        <v>258.75000000000006</v>
      </c>
      <c r="BS28" s="542">
        <f t="shared" si="40"/>
        <v>0</v>
      </c>
      <c r="BT28" s="542">
        <f t="shared" si="57"/>
        <v>0</v>
      </c>
      <c r="BU28" s="542">
        <f t="shared" si="41"/>
        <v>0</v>
      </c>
      <c r="BV28" s="542">
        <f t="shared" si="42"/>
        <v>0</v>
      </c>
      <c r="BW28" s="647">
        <f t="shared" si="43"/>
        <v>0</v>
      </c>
      <c r="BX28" s="469">
        <f t="shared" si="58"/>
        <v>0</v>
      </c>
      <c r="BY28" s="177">
        <f t="shared" si="59"/>
        <v>0.5534279689720234</v>
      </c>
      <c r="BZ28" s="5">
        <f t="shared" si="60"/>
        <v>3.8525</v>
      </c>
      <c r="CA28" s="177">
        <f t="shared" si="61"/>
        <v>0.8743901459875324</v>
      </c>
      <c r="CB28" s="5">
        <f t="shared" si="62"/>
        <v>87.439014598753246</v>
      </c>
      <c r="CC28">
        <f t="shared" si="63"/>
        <v>23</v>
      </c>
      <c r="CE28" s="576">
        <f t="shared" si="44"/>
        <v>-50</v>
      </c>
      <c r="CF28">
        <f t="shared" si="45"/>
        <v>-50</v>
      </c>
    </row>
    <row r="29" spans="5:84" x14ac:dyDescent="0.25">
      <c r="E29" s="174">
        <v>24</v>
      </c>
      <c r="F29" s="221">
        <f t="shared" si="64"/>
        <v>0.24</v>
      </c>
      <c r="G29" s="221">
        <f t="shared" si="46"/>
        <v>0.06</v>
      </c>
      <c r="H29" s="221">
        <f t="shared" si="0"/>
        <v>3.5999999999999996</v>
      </c>
      <c r="I29" s="221">
        <f t="shared" si="65"/>
        <v>0.42</v>
      </c>
      <c r="J29" s="555">
        <f t="shared" si="1"/>
        <v>15</v>
      </c>
      <c r="K29" s="451">
        <f t="shared" si="2"/>
        <v>23.85</v>
      </c>
      <c r="L29" s="451">
        <f t="shared" si="3"/>
        <v>38.85</v>
      </c>
      <c r="M29" s="451"/>
      <c r="N29" s="221">
        <f t="shared" si="4"/>
        <v>0.61389961389961389</v>
      </c>
      <c r="O29" s="176">
        <f t="shared" si="47"/>
        <v>16.05988878003803</v>
      </c>
      <c r="P29" s="176">
        <f t="shared" si="5"/>
        <v>1.873653691004437</v>
      </c>
      <c r="Q29" s="221">
        <f t="shared" si="6"/>
        <v>1.0706592520025353</v>
      </c>
      <c r="R29" s="221">
        <f t="shared" si="7"/>
        <v>2.2942698257197187</v>
      </c>
      <c r="S29" s="451">
        <f t="shared" si="8"/>
        <v>15</v>
      </c>
      <c r="T29" s="221">
        <f t="shared" si="9"/>
        <v>0.91905991393578279</v>
      </c>
      <c r="U29" s="221">
        <f t="shared" si="10"/>
        <v>0.42889462650336529</v>
      </c>
      <c r="V29" s="221">
        <f t="shared" si="11"/>
        <v>0.26974504811532402</v>
      </c>
      <c r="W29" s="201">
        <f t="shared" si="12"/>
        <v>350</v>
      </c>
      <c r="X29" s="451">
        <f t="shared" si="48"/>
        <v>350</v>
      </c>
      <c r="Z29" s="221">
        <f t="shared" si="13"/>
        <v>3.7585690646915135</v>
      </c>
      <c r="AA29" s="177">
        <f t="shared" si="14"/>
        <v>1.1031439602868174</v>
      </c>
      <c r="AB29" s="177">
        <f t="shared" si="15"/>
        <v>0.97467647041501804</v>
      </c>
      <c r="AC29" s="177"/>
      <c r="AD29" s="177">
        <f t="shared" si="16"/>
        <v>0.24067085953878403</v>
      </c>
      <c r="AE29" s="559">
        <f t="shared" si="17"/>
        <v>1810.6569219002297</v>
      </c>
      <c r="AF29" s="542">
        <f t="shared" si="18"/>
        <v>4.6392002252886505E-2</v>
      </c>
      <c r="AH29" s="177">
        <f t="shared" si="19"/>
        <v>1.8115277124739837</v>
      </c>
      <c r="AI29" s="177">
        <f t="shared" si="20"/>
        <v>1.8115277124739837</v>
      </c>
      <c r="AJ29" s="177">
        <f t="shared" si="21"/>
        <v>1.9344649722029508</v>
      </c>
      <c r="AL29" s="559">
        <f t="shared" si="22"/>
        <v>240</v>
      </c>
      <c r="AM29" s="469">
        <f t="shared" si="23"/>
        <v>350</v>
      </c>
      <c r="AO29">
        <f t="shared" si="49"/>
        <v>240</v>
      </c>
      <c r="AP29" s="469">
        <f t="shared" si="24"/>
        <v>350</v>
      </c>
      <c r="AQ29" s="469"/>
      <c r="AR29" s="5">
        <f t="shared" si="50"/>
        <v>2.8571428571428572</v>
      </c>
      <c r="AS29" s="5">
        <f t="shared" si="25"/>
        <v>0.84537959915452576</v>
      </c>
      <c r="AT29" s="5">
        <f t="shared" si="51"/>
        <v>2.0117632579883313</v>
      </c>
      <c r="AU29" s="177">
        <f t="shared" si="52"/>
        <v>0.29588285970408401</v>
      </c>
      <c r="AW29" s="5">
        <f t="shared" si="53"/>
        <v>12.079683950617282</v>
      </c>
      <c r="AX29" s="5">
        <f t="shared" si="26"/>
        <v>3.092010666666666</v>
      </c>
      <c r="AY29" s="5">
        <f t="shared" si="27"/>
        <v>0.85581907298473081</v>
      </c>
      <c r="AZ29" s="5">
        <f t="shared" si="28"/>
        <v>0.25842414777896439</v>
      </c>
      <c r="BA29" s="5">
        <f t="shared" si="29"/>
        <v>0.75670533774157589</v>
      </c>
      <c r="BB29" s="469">
        <f t="shared" si="30"/>
        <v>57.59921612009186</v>
      </c>
      <c r="BC29" s="5"/>
      <c r="BD29" s="177">
        <f t="shared" si="54"/>
        <v>0.56891090511785625</v>
      </c>
      <c r="BE29" s="177">
        <f t="shared" si="31"/>
        <v>1.1788933551564467</v>
      </c>
      <c r="BF29" s="177">
        <f t="shared" si="32"/>
        <v>0.27681609795129225</v>
      </c>
      <c r="BG29" s="177"/>
      <c r="BH29" s="542">
        <f t="shared" si="33"/>
        <v>3.5602557975822027E-2</v>
      </c>
      <c r="BI29" s="542">
        <f t="shared" si="34"/>
        <v>0.12316124035182496</v>
      </c>
      <c r="BJ29" s="542">
        <f t="shared" si="35"/>
        <v>1.7499999999999998E-2</v>
      </c>
      <c r="BK29" s="542">
        <f t="shared" si="36"/>
        <v>0.11885914687500002</v>
      </c>
      <c r="BL29">
        <f t="shared" si="37"/>
        <v>4.3499999999999997E-3</v>
      </c>
      <c r="BM29" s="469">
        <f t="shared" si="55"/>
        <v>299.472945202647</v>
      </c>
      <c r="BN29" s="177">
        <f t="shared" si="38"/>
        <v>0.216</v>
      </c>
      <c r="BO29" s="177">
        <f t="shared" si="39"/>
        <v>5.3999999999999999E-2</v>
      </c>
      <c r="BP29" s="542"/>
      <c r="BR29" s="469">
        <f t="shared" si="56"/>
        <v>270</v>
      </c>
      <c r="BS29" s="542">
        <f t="shared" si="40"/>
        <v>0</v>
      </c>
      <c r="BT29" s="542">
        <f t="shared" si="57"/>
        <v>0</v>
      </c>
      <c r="BU29" s="542">
        <f t="shared" si="41"/>
        <v>0</v>
      </c>
      <c r="BV29" s="542">
        <f t="shared" si="42"/>
        <v>0</v>
      </c>
      <c r="BW29" s="647">
        <f t="shared" si="43"/>
        <v>0</v>
      </c>
      <c r="BX29" s="469">
        <f t="shared" si="58"/>
        <v>0</v>
      </c>
      <c r="BY29" s="177">
        <f t="shared" si="59"/>
        <v>0.56947294520264702</v>
      </c>
      <c r="BZ29" s="5">
        <f t="shared" si="60"/>
        <v>4.0199999999999996</v>
      </c>
      <c r="CA29" s="177">
        <f t="shared" si="61"/>
        <v>0.87591757223497435</v>
      </c>
      <c r="CB29" s="5">
        <f t="shared" si="62"/>
        <v>87.591757223497439</v>
      </c>
      <c r="CC29">
        <f t="shared" si="63"/>
        <v>24</v>
      </c>
      <c r="CE29" s="576">
        <f t="shared" si="44"/>
        <v>-50</v>
      </c>
      <c r="CF29">
        <f t="shared" si="45"/>
        <v>-50</v>
      </c>
    </row>
    <row r="30" spans="5:84" x14ac:dyDescent="0.25">
      <c r="E30" s="174">
        <v>25</v>
      </c>
      <c r="F30" s="221">
        <f t="shared" si="64"/>
        <v>0.25</v>
      </c>
      <c r="G30" s="221">
        <f t="shared" si="46"/>
        <v>6.25E-2</v>
      </c>
      <c r="H30" s="221">
        <f t="shared" si="0"/>
        <v>3.75</v>
      </c>
      <c r="I30" s="221">
        <f t="shared" si="65"/>
        <v>0.4375</v>
      </c>
      <c r="J30" s="555">
        <f t="shared" si="1"/>
        <v>15</v>
      </c>
      <c r="K30" s="451">
        <f t="shared" si="2"/>
        <v>23.85</v>
      </c>
      <c r="L30" s="451">
        <f t="shared" si="3"/>
        <v>38.85</v>
      </c>
      <c r="M30" s="451"/>
      <c r="N30" s="221">
        <f t="shared" si="4"/>
        <v>0.61389961389961389</v>
      </c>
      <c r="O30" s="176">
        <f t="shared" si="47"/>
        <v>16.05988878003803</v>
      </c>
      <c r="P30" s="176">
        <f t="shared" si="5"/>
        <v>1.873653691004437</v>
      </c>
      <c r="Q30" s="221">
        <f t="shared" si="6"/>
        <v>1.0706592520025353</v>
      </c>
      <c r="R30" s="221">
        <f t="shared" si="7"/>
        <v>2.2942698257197187</v>
      </c>
      <c r="S30" s="451">
        <f t="shared" si="8"/>
        <v>15</v>
      </c>
      <c r="T30" s="221">
        <f t="shared" si="9"/>
        <v>0.95735407701644049</v>
      </c>
      <c r="U30" s="221">
        <f t="shared" si="10"/>
        <v>0.44676523594100553</v>
      </c>
      <c r="V30" s="221">
        <f t="shared" si="11"/>
        <v>0.28098442512012928</v>
      </c>
      <c r="W30" s="201">
        <f t="shared" si="12"/>
        <v>350</v>
      </c>
      <c r="X30" s="451">
        <f t="shared" si="48"/>
        <v>350</v>
      </c>
      <c r="Z30" s="221">
        <f t="shared" si="13"/>
        <v>3.7585690646915135</v>
      </c>
      <c r="AA30" s="177">
        <f t="shared" si="14"/>
        <v>1.1031439602868174</v>
      </c>
      <c r="AB30" s="177">
        <f t="shared" si="15"/>
        <v>0.97467647041501804</v>
      </c>
      <c r="AC30" s="177"/>
      <c r="AD30" s="177">
        <f t="shared" si="16"/>
        <v>0.24067085953878403</v>
      </c>
      <c r="AE30" s="559">
        <f t="shared" si="17"/>
        <v>1886.1009603127393</v>
      </c>
      <c r="AF30" s="542">
        <f t="shared" si="18"/>
        <v>4.6392002252886505E-2</v>
      </c>
      <c r="AH30" s="177">
        <f t="shared" si="19"/>
        <v>1.8488827293635406</v>
      </c>
      <c r="AI30" s="177">
        <f t="shared" si="20"/>
        <v>1.8488827293635406</v>
      </c>
      <c r="AJ30" s="177">
        <f t="shared" si="21"/>
        <v>1.9621353550841041</v>
      </c>
      <c r="AL30" s="559">
        <f t="shared" si="22"/>
        <v>250</v>
      </c>
      <c r="AM30" s="469">
        <f t="shared" si="23"/>
        <v>350</v>
      </c>
      <c r="AO30">
        <f t="shared" si="49"/>
        <v>250</v>
      </c>
      <c r="AP30" s="469">
        <f t="shared" si="24"/>
        <v>350</v>
      </c>
      <c r="AQ30" s="469"/>
      <c r="AR30" s="5">
        <f t="shared" si="50"/>
        <v>2.8571428571428572</v>
      </c>
      <c r="AS30" s="5">
        <f t="shared" si="25"/>
        <v>0.86281194036965225</v>
      </c>
      <c r="AT30" s="5">
        <f t="shared" si="51"/>
        <v>1.9943309167732051</v>
      </c>
      <c r="AU30" s="177">
        <f t="shared" si="52"/>
        <v>0.30198417912937831</v>
      </c>
      <c r="AW30" s="5">
        <f t="shared" si="53"/>
        <v>12.079683950617282</v>
      </c>
      <c r="AX30" s="5">
        <f t="shared" si="26"/>
        <v>3.3237962962962957</v>
      </c>
      <c r="AY30" s="5">
        <f t="shared" si="27"/>
        <v>0.85581907298473081</v>
      </c>
      <c r="AZ30" s="5">
        <f t="shared" si="28"/>
        <v>0.27259564646154993</v>
      </c>
      <c r="BA30" s="5">
        <f t="shared" si="29"/>
        <v>0.78140451125032018</v>
      </c>
      <c r="BB30" s="469">
        <f t="shared" si="30"/>
        <v>59.48691729114244</v>
      </c>
      <c r="BC30" s="5"/>
      <c r="BD30" s="177">
        <f t="shared" si="54"/>
        <v>0.58659834561307134</v>
      </c>
      <c r="BE30" s="177">
        <f t="shared" si="31"/>
        <v>1.1979786497370979</v>
      </c>
      <c r="BF30" s="177">
        <f t="shared" si="32"/>
        <v>0.281297518387635</v>
      </c>
      <c r="BG30" s="177"/>
      <c r="BH30" s="542">
        <f t="shared" si="33"/>
        <v>3.7850738098359149E-2</v>
      </c>
      <c r="BI30" s="542">
        <f t="shared" si="34"/>
        <v>0.12570091456260371</v>
      </c>
      <c r="BJ30" s="542">
        <f t="shared" si="35"/>
        <v>1.7499999999999998E-2</v>
      </c>
      <c r="BK30" s="542">
        <f t="shared" si="36"/>
        <v>0.11885914687500002</v>
      </c>
      <c r="BL30">
        <f t="shared" si="37"/>
        <v>4.3499999999999997E-3</v>
      </c>
      <c r="BM30" s="469">
        <f t="shared" si="55"/>
        <v>304.26079953596292</v>
      </c>
      <c r="BN30" s="177">
        <f t="shared" si="38"/>
        <v>0.22500000000000001</v>
      </c>
      <c r="BO30" s="177">
        <f t="shared" si="39"/>
        <v>5.6250000000000001E-2</v>
      </c>
      <c r="BP30" s="542"/>
      <c r="BR30" s="469">
        <f t="shared" si="56"/>
        <v>281.25</v>
      </c>
      <c r="BS30" s="542">
        <f t="shared" si="40"/>
        <v>0</v>
      </c>
      <c r="BT30" s="542">
        <f t="shared" si="57"/>
        <v>0</v>
      </c>
      <c r="BU30" s="542">
        <f t="shared" si="41"/>
        <v>0</v>
      </c>
      <c r="BV30" s="542">
        <f t="shared" si="42"/>
        <v>0</v>
      </c>
      <c r="BW30" s="647">
        <f t="shared" si="43"/>
        <v>0</v>
      </c>
      <c r="BX30" s="469">
        <f t="shared" si="58"/>
        <v>0</v>
      </c>
      <c r="BY30" s="177">
        <f t="shared" si="59"/>
        <v>0.58551079953596297</v>
      </c>
      <c r="BZ30" s="5">
        <f t="shared" si="60"/>
        <v>4.1875</v>
      </c>
      <c r="CA30" s="177">
        <f t="shared" si="61"/>
        <v>0.87732883412019791</v>
      </c>
      <c r="CB30" s="5">
        <f t="shared" si="62"/>
        <v>87.732883412019788</v>
      </c>
      <c r="CC30">
        <f t="shared" si="63"/>
        <v>25</v>
      </c>
      <c r="CE30" s="576">
        <f t="shared" si="44"/>
        <v>-50</v>
      </c>
      <c r="CF30">
        <f t="shared" si="45"/>
        <v>-50</v>
      </c>
    </row>
    <row r="31" spans="5:84" x14ac:dyDescent="0.25">
      <c r="E31" s="174">
        <v>26</v>
      </c>
      <c r="F31" s="221">
        <f t="shared" si="64"/>
        <v>0.26</v>
      </c>
      <c r="G31" s="221">
        <f t="shared" si="46"/>
        <v>6.5000000000000002E-2</v>
      </c>
      <c r="H31" s="221">
        <f t="shared" si="0"/>
        <v>3.9000000000000004</v>
      </c>
      <c r="I31" s="221">
        <f t="shared" si="65"/>
        <v>0.45500000000000002</v>
      </c>
      <c r="J31" s="555">
        <f t="shared" si="1"/>
        <v>15</v>
      </c>
      <c r="K31" s="451">
        <f t="shared" si="2"/>
        <v>23.85</v>
      </c>
      <c r="L31" s="451">
        <f t="shared" si="3"/>
        <v>38.85</v>
      </c>
      <c r="M31" s="451"/>
      <c r="N31" s="221">
        <f t="shared" si="4"/>
        <v>0.61389961389961389</v>
      </c>
      <c r="O31" s="176">
        <f t="shared" si="47"/>
        <v>16.05988878003803</v>
      </c>
      <c r="P31" s="176">
        <f t="shared" si="5"/>
        <v>1.873653691004437</v>
      </c>
      <c r="Q31" s="221">
        <f t="shared" si="6"/>
        <v>1.0706592520025353</v>
      </c>
      <c r="R31" s="221">
        <f t="shared" si="7"/>
        <v>2.2942698257197187</v>
      </c>
      <c r="S31" s="451">
        <f t="shared" si="8"/>
        <v>15</v>
      </c>
      <c r="T31" s="221">
        <f t="shared" si="9"/>
        <v>0.99564824009709818</v>
      </c>
      <c r="U31" s="221">
        <f t="shared" si="10"/>
        <v>0.46463584537864583</v>
      </c>
      <c r="V31" s="221">
        <f t="shared" si="11"/>
        <v>0.29222380212493448</v>
      </c>
      <c r="W31" s="201">
        <f t="shared" si="12"/>
        <v>350</v>
      </c>
      <c r="X31" s="451">
        <f t="shared" si="48"/>
        <v>350</v>
      </c>
      <c r="Z31" s="221">
        <f t="shared" si="13"/>
        <v>3.7585690646915135</v>
      </c>
      <c r="AA31" s="177">
        <f t="shared" si="14"/>
        <v>1.1031439602868174</v>
      </c>
      <c r="AB31" s="177">
        <f t="shared" si="15"/>
        <v>0.97467647041501804</v>
      </c>
      <c r="AC31" s="177"/>
      <c r="AD31" s="177">
        <f t="shared" si="16"/>
        <v>0.24067085953878403</v>
      </c>
      <c r="AE31" s="559">
        <f t="shared" si="17"/>
        <v>1961.5449987252491</v>
      </c>
      <c r="AF31" s="542">
        <f t="shared" si="18"/>
        <v>4.6392002252886505E-2</v>
      </c>
      <c r="AH31" s="177">
        <f t="shared" si="19"/>
        <v>1.8854978230738764</v>
      </c>
      <c r="AI31" s="177">
        <f t="shared" si="20"/>
        <v>1.8854978230738764</v>
      </c>
      <c r="AJ31" s="177">
        <f t="shared" si="21"/>
        <v>1.9892576467213898</v>
      </c>
      <c r="AL31" s="559">
        <f t="shared" si="22"/>
        <v>260</v>
      </c>
      <c r="AM31" s="469">
        <f t="shared" si="23"/>
        <v>350</v>
      </c>
      <c r="AO31">
        <f t="shared" si="49"/>
        <v>260</v>
      </c>
      <c r="AP31" s="469">
        <f t="shared" si="24"/>
        <v>350</v>
      </c>
      <c r="AQ31" s="469"/>
      <c r="AR31" s="5">
        <f t="shared" si="50"/>
        <v>2.8571428571428572</v>
      </c>
      <c r="AS31" s="5">
        <f t="shared" si="25"/>
        <v>0.87989898410114231</v>
      </c>
      <c r="AT31" s="5">
        <f t="shared" si="51"/>
        <v>1.977243873041715</v>
      </c>
      <c r="AU31" s="177">
        <f t="shared" si="52"/>
        <v>0.30796464443539978</v>
      </c>
      <c r="AW31" s="5">
        <f t="shared" si="53"/>
        <v>12.079683950617282</v>
      </c>
      <c r="AX31" s="5">
        <f t="shared" si="26"/>
        <v>3.5638180740740735</v>
      </c>
      <c r="AY31" s="5">
        <f t="shared" si="27"/>
        <v>0.85581907298473081</v>
      </c>
      <c r="AZ31" s="5">
        <f t="shared" si="28"/>
        <v>0.28703945121281244</v>
      </c>
      <c r="BA31" s="5">
        <f t="shared" si="29"/>
        <v>0.80569797119033171</v>
      </c>
      <c r="BB31" s="469">
        <f t="shared" si="30"/>
        <v>61.344189944538051</v>
      </c>
      <c r="BC31" s="5"/>
      <c r="BD31" s="177">
        <f t="shared" si="54"/>
        <v>0.60410974056362865</v>
      </c>
      <c r="BE31" s="177">
        <f t="shared" si="31"/>
        <v>1.2164583843819476</v>
      </c>
      <c r="BF31" s="177">
        <f t="shared" si="32"/>
        <v>0.28563674721879911</v>
      </c>
      <c r="BG31" s="177"/>
      <c r="BH31" s="542">
        <f t="shared" si="33"/>
        <v>4.0144343650824019E-2</v>
      </c>
      <c r="BI31" s="542">
        <f t="shared" si="34"/>
        <v>0.12819028324623516</v>
      </c>
      <c r="BJ31" s="542">
        <f t="shared" si="35"/>
        <v>1.7499999999999998E-2</v>
      </c>
      <c r="BK31" s="542">
        <f t="shared" si="36"/>
        <v>0.11885914687500002</v>
      </c>
      <c r="BL31">
        <f t="shared" si="37"/>
        <v>4.3499999999999997E-3</v>
      </c>
      <c r="BM31" s="469">
        <f t="shared" si="55"/>
        <v>309.04377377205924</v>
      </c>
      <c r="BN31" s="177">
        <f t="shared" si="38"/>
        <v>0.23400000000000001</v>
      </c>
      <c r="BO31" s="177">
        <f t="shared" si="39"/>
        <v>5.8500000000000003E-2</v>
      </c>
      <c r="BP31" s="542"/>
      <c r="BR31" s="469">
        <f t="shared" si="56"/>
        <v>292.50000000000006</v>
      </c>
      <c r="BS31" s="542">
        <f t="shared" si="40"/>
        <v>0</v>
      </c>
      <c r="BT31" s="542">
        <f t="shared" si="57"/>
        <v>0</v>
      </c>
      <c r="BU31" s="542">
        <f t="shared" si="41"/>
        <v>0</v>
      </c>
      <c r="BV31" s="542">
        <f t="shared" si="42"/>
        <v>0</v>
      </c>
      <c r="BW31" s="647">
        <f t="shared" si="43"/>
        <v>0</v>
      </c>
      <c r="BX31" s="469">
        <f t="shared" si="58"/>
        <v>0</v>
      </c>
      <c r="BY31" s="177">
        <f t="shared" si="59"/>
        <v>0.60154377377205925</v>
      </c>
      <c r="BZ31" s="5">
        <f t="shared" si="60"/>
        <v>4.3550000000000004</v>
      </c>
      <c r="CA31" s="177">
        <f t="shared" si="61"/>
        <v>0.8786364448236742</v>
      </c>
      <c r="CB31" s="5">
        <f t="shared" si="62"/>
        <v>87.86364448236742</v>
      </c>
      <c r="CC31">
        <f t="shared" si="63"/>
        <v>26</v>
      </c>
      <c r="CE31" s="576">
        <f t="shared" si="44"/>
        <v>-50</v>
      </c>
      <c r="CF31">
        <f t="shared" si="45"/>
        <v>-50</v>
      </c>
    </row>
    <row r="32" spans="5:84" x14ac:dyDescent="0.25">
      <c r="E32" s="174">
        <v>27</v>
      </c>
      <c r="F32" s="221">
        <f t="shared" si="64"/>
        <v>0.27</v>
      </c>
      <c r="G32" s="221">
        <f t="shared" si="46"/>
        <v>6.7500000000000004E-2</v>
      </c>
      <c r="H32" s="221">
        <f t="shared" si="0"/>
        <v>4.0500000000000007</v>
      </c>
      <c r="I32" s="221">
        <f t="shared" si="65"/>
        <v>0.47250000000000003</v>
      </c>
      <c r="J32" s="555">
        <f t="shared" si="1"/>
        <v>15</v>
      </c>
      <c r="K32" s="451">
        <f t="shared" si="2"/>
        <v>23.85</v>
      </c>
      <c r="L32" s="451">
        <f t="shared" si="3"/>
        <v>38.85</v>
      </c>
      <c r="M32" s="451"/>
      <c r="N32" s="221">
        <f t="shared" si="4"/>
        <v>0.61389961389961389</v>
      </c>
      <c r="O32" s="176">
        <f t="shared" si="47"/>
        <v>16.05988878003803</v>
      </c>
      <c r="P32" s="176">
        <f t="shared" si="5"/>
        <v>1.873653691004437</v>
      </c>
      <c r="Q32" s="221">
        <f t="shared" si="6"/>
        <v>1.0706592520025353</v>
      </c>
      <c r="R32" s="221">
        <f t="shared" si="7"/>
        <v>2.2942698257197187</v>
      </c>
      <c r="S32" s="451">
        <f t="shared" si="8"/>
        <v>15</v>
      </c>
      <c r="T32" s="221">
        <f t="shared" si="9"/>
        <v>1.033942403177756</v>
      </c>
      <c r="U32" s="221">
        <f t="shared" si="10"/>
        <v>0.48250645481628612</v>
      </c>
      <c r="V32" s="221">
        <f t="shared" si="11"/>
        <v>0.30346317912973964</v>
      </c>
      <c r="W32" s="201">
        <f t="shared" si="12"/>
        <v>350</v>
      </c>
      <c r="X32" s="451">
        <f t="shared" si="48"/>
        <v>350</v>
      </c>
      <c r="Z32" s="221">
        <f t="shared" si="13"/>
        <v>3.7585690646915135</v>
      </c>
      <c r="AA32" s="177">
        <f t="shared" si="14"/>
        <v>1.1031439602868174</v>
      </c>
      <c r="AB32" s="177">
        <f t="shared" si="15"/>
        <v>0.97467647041501804</v>
      </c>
      <c r="AC32" s="177"/>
      <c r="AD32" s="177">
        <f t="shared" si="16"/>
        <v>0.24067085953878403</v>
      </c>
      <c r="AE32" s="559">
        <f t="shared" si="17"/>
        <v>2036.9890371377587</v>
      </c>
      <c r="AF32" s="542">
        <f t="shared" si="18"/>
        <v>4.6392002252886505E-2</v>
      </c>
      <c r="AH32" s="177">
        <f t="shared" si="19"/>
        <v>1.9214152946965626</v>
      </c>
      <c r="AI32" s="177">
        <f t="shared" si="20"/>
        <v>1.9214152946965626</v>
      </c>
      <c r="AJ32" s="177">
        <f t="shared" si="21"/>
        <v>2.0158631812567132</v>
      </c>
      <c r="AL32" s="559">
        <f t="shared" si="22"/>
        <v>270</v>
      </c>
      <c r="AM32" s="469">
        <f t="shared" si="23"/>
        <v>350</v>
      </c>
      <c r="AO32">
        <f t="shared" si="49"/>
        <v>270</v>
      </c>
      <c r="AP32" s="469">
        <f t="shared" si="24"/>
        <v>350</v>
      </c>
      <c r="AQ32" s="469"/>
      <c r="AR32" s="5">
        <f t="shared" si="50"/>
        <v>2.8571428571428572</v>
      </c>
      <c r="AS32" s="5">
        <f t="shared" si="25"/>
        <v>0.89666047085839573</v>
      </c>
      <c r="AT32" s="5">
        <f t="shared" si="51"/>
        <v>1.9604823862844616</v>
      </c>
      <c r="AU32" s="177">
        <f t="shared" si="52"/>
        <v>0.31383116480043849</v>
      </c>
      <c r="AW32" s="5">
        <f t="shared" si="53"/>
        <v>12.079683950617282</v>
      </c>
      <c r="AX32" s="5">
        <f t="shared" si="26"/>
        <v>3.8120759999999998</v>
      </c>
      <c r="AY32" s="5">
        <f t="shared" si="27"/>
        <v>0.85581907298473081</v>
      </c>
      <c r="AZ32" s="5">
        <f t="shared" si="28"/>
        <v>0.30175556203275189</v>
      </c>
      <c r="BA32" s="5">
        <f t="shared" si="29"/>
        <v>0.82959359924879361</v>
      </c>
      <c r="BB32" s="469">
        <f t="shared" si="30"/>
        <v>63.171625206817403</v>
      </c>
      <c r="BC32" s="5"/>
      <c r="BD32" s="177">
        <f t="shared" si="54"/>
        <v>0.62145351735589127</v>
      </c>
      <c r="BE32" s="177">
        <f t="shared" si="31"/>
        <v>1.2343656207606193</v>
      </c>
      <c r="BF32" s="177">
        <f t="shared" si="32"/>
        <v>0.28984154765961379</v>
      </c>
      <c r="BG32" s="177"/>
      <c r="BH32" s="542">
        <f t="shared" si="33"/>
        <v>4.2482492165740994E-2</v>
      </c>
      <c r="BI32" s="542">
        <f t="shared" si="34"/>
        <v>0.13063222234818259</v>
      </c>
      <c r="BJ32" s="542">
        <f t="shared" si="35"/>
        <v>1.7499999999999998E-2</v>
      </c>
      <c r="BK32" s="542">
        <f t="shared" si="36"/>
        <v>0.11885914687500002</v>
      </c>
      <c r="BL32">
        <f t="shared" si="37"/>
        <v>4.3499999999999997E-3</v>
      </c>
      <c r="BM32" s="469">
        <f t="shared" si="55"/>
        <v>313.8238613889236</v>
      </c>
      <c r="BN32" s="177">
        <f t="shared" si="38"/>
        <v>0.24300000000000002</v>
      </c>
      <c r="BO32" s="177">
        <f t="shared" si="39"/>
        <v>6.0750000000000005E-2</v>
      </c>
      <c r="BP32" s="542"/>
      <c r="BR32" s="469">
        <f t="shared" si="56"/>
        <v>303.75</v>
      </c>
      <c r="BS32" s="542">
        <f t="shared" si="40"/>
        <v>0</v>
      </c>
      <c r="BT32" s="542">
        <f t="shared" si="57"/>
        <v>0</v>
      </c>
      <c r="BU32" s="542">
        <f t="shared" si="41"/>
        <v>0</v>
      </c>
      <c r="BV32" s="542">
        <f t="shared" si="42"/>
        <v>0</v>
      </c>
      <c r="BW32" s="647">
        <f t="shared" si="43"/>
        <v>0</v>
      </c>
      <c r="BX32" s="469">
        <f t="shared" si="58"/>
        <v>0</v>
      </c>
      <c r="BY32" s="177">
        <f t="shared" si="59"/>
        <v>0.61757386138892356</v>
      </c>
      <c r="BZ32" s="5">
        <f t="shared" si="60"/>
        <v>4.5225000000000009</v>
      </c>
      <c r="CA32" s="177">
        <f t="shared" si="61"/>
        <v>0.87985116983862832</v>
      </c>
      <c r="CB32" s="5">
        <f t="shared" si="62"/>
        <v>87.985116983862838</v>
      </c>
      <c r="CC32">
        <f t="shared" si="63"/>
        <v>27</v>
      </c>
      <c r="CE32" s="576">
        <f t="shared" si="44"/>
        <v>-50</v>
      </c>
      <c r="CF32">
        <f t="shared" si="45"/>
        <v>-50</v>
      </c>
    </row>
    <row r="33" spans="5:84" x14ac:dyDescent="0.25">
      <c r="E33" s="174">
        <v>28</v>
      </c>
      <c r="F33" s="221">
        <f t="shared" si="64"/>
        <v>0.28000000000000003</v>
      </c>
      <c r="G33" s="221">
        <f t="shared" si="46"/>
        <v>7.0000000000000007E-2</v>
      </c>
      <c r="H33" s="221">
        <f t="shared" si="0"/>
        <v>4.2</v>
      </c>
      <c r="I33" s="221">
        <f t="shared" si="65"/>
        <v>0.49000000000000005</v>
      </c>
      <c r="J33" s="555">
        <f t="shared" si="1"/>
        <v>15</v>
      </c>
      <c r="K33" s="451">
        <f t="shared" si="2"/>
        <v>23.85</v>
      </c>
      <c r="L33" s="451">
        <f t="shared" si="3"/>
        <v>38.85</v>
      </c>
      <c r="M33" s="451"/>
      <c r="N33" s="221">
        <f t="shared" si="4"/>
        <v>0.61389961389961389</v>
      </c>
      <c r="O33" s="176">
        <f t="shared" si="47"/>
        <v>16.05988878003803</v>
      </c>
      <c r="P33" s="176">
        <f t="shared" si="5"/>
        <v>1.873653691004437</v>
      </c>
      <c r="Q33" s="221">
        <f t="shared" si="6"/>
        <v>1.0706592520025353</v>
      </c>
      <c r="R33" s="221">
        <f t="shared" si="7"/>
        <v>2.2942698257197187</v>
      </c>
      <c r="S33" s="451">
        <f t="shared" si="8"/>
        <v>15</v>
      </c>
      <c r="T33" s="221">
        <f t="shared" si="9"/>
        <v>1.0722365662584135</v>
      </c>
      <c r="U33" s="221">
        <f t="shared" si="10"/>
        <v>0.50037706425392636</v>
      </c>
      <c r="V33" s="221">
        <f t="shared" si="11"/>
        <v>0.31470255613454484</v>
      </c>
      <c r="W33" s="201">
        <f t="shared" si="12"/>
        <v>350</v>
      </c>
      <c r="X33" s="451">
        <f t="shared" si="48"/>
        <v>350</v>
      </c>
      <c r="Z33" s="221">
        <f t="shared" si="13"/>
        <v>3.7585690646915135</v>
      </c>
      <c r="AA33" s="177">
        <f t="shared" si="14"/>
        <v>1.1031439602868174</v>
      </c>
      <c r="AB33" s="177">
        <f t="shared" si="15"/>
        <v>0.97467647041501804</v>
      </c>
      <c r="AC33" s="177"/>
      <c r="AD33" s="177">
        <f t="shared" si="16"/>
        <v>0.24067085953878403</v>
      </c>
      <c r="AE33" s="559">
        <f t="shared" si="17"/>
        <v>2112.4330755502683</v>
      </c>
      <c r="AF33" s="542">
        <f t="shared" si="18"/>
        <v>4.6392002252886505E-2</v>
      </c>
      <c r="AH33" s="177">
        <f t="shared" si="19"/>
        <v>1.9566735620873066</v>
      </c>
      <c r="AI33" s="177">
        <f t="shared" si="20"/>
        <v>1.9566735620873066</v>
      </c>
      <c r="AJ33" s="177">
        <f t="shared" si="21"/>
        <v>2.0419804163609676</v>
      </c>
      <c r="AL33" s="559">
        <f t="shared" si="22"/>
        <v>280</v>
      </c>
      <c r="AM33" s="469">
        <f t="shared" si="23"/>
        <v>350</v>
      </c>
      <c r="AO33">
        <f t="shared" si="49"/>
        <v>280</v>
      </c>
      <c r="AP33" s="469">
        <f t="shared" si="24"/>
        <v>350</v>
      </c>
      <c r="AQ33" s="469"/>
      <c r="AR33" s="5">
        <f t="shared" si="50"/>
        <v>2.8571428571428572</v>
      </c>
      <c r="AS33" s="5">
        <f t="shared" si="25"/>
        <v>0.91311432897407629</v>
      </c>
      <c r="AT33" s="5">
        <f t="shared" si="51"/>
        <v>1.944028528168781</v>
      </c>
      <c r="AU33" s="177">
        <f t="shared" si="52"/>
        <v>0.31959001514092672</v>
      </c>
      <c r="AW33" s="5">
        <f t="shared" si="53"/>
        <v>12.079683950617282</v>
      </c>
      <c r="AX33" s="5">
        <f t="shared" si="26"/>
        <v>4.0685700740740742</v>
      </c>
      <c r="AY33" s="5">
        <f t="shared" si="27"/>
        <v>0.85581907298473081</v>
      </c>
      <c r="AZ33" s="5">
        <f t="shared" si="28"/>
        <v>0.3167439789213683</v>
      </c>
      <c r="BA33" s="5">
        <f t="shared" si="29"/>
        <v>0.8530988348174583</v>
      </c>
      <c r="BB33" s="469">
        <f t="shared" si="30"/>
        <v>64.969781032361993</v>
      </c>
      <c r="BC33" s="5"/>
      <c r="BD33" s="177">
        <f t="shared" si="54"/>
        <v>0.63863740385951462</v>
      </c>
      <c r="BE33" s="177">
        <f t="shared" si="31"/>
        <v>1.2517303875043155</v>
      </c>
      <c r="BF33" s="177">
        <f t="shared" si="32"/>
        <v>0.29391897073677281</v>
      </c>
      <c r="BG33" s="177"/>
      <c r="BH33" s="542">
        <f t="shared" si="33"/>
        <v>4.4864350696926285E-2</v>
      </c>
      <c r="BI33" s="542">
        <f t="shared" si="34"/>
        <v>0.13302934380241077</v>
      </c>
      <c r="BJ33" s="542">
        <f t="shared" si="35"/>
        <v>1.7499999999999998E-2</v>
      </c>
      <c r="BK33" s="542">
        <f t="shared" si="36"/>
        <v>0.11885914687500002</v>
      </c>
      <c r="BL33">
        <f t="shared" si="37"/>
        <v>4.3499999999999997E-3</v>
      </c>
      <c r="BM33" s="469">
        <f t="shared" si="55"/>
        <v>318.60284137433706</v>
      </c>
      <c r="BN33" s="177">
        <f t="shared" si="38"/>
        <v>0.25200000000000006</v>
      </c>
      <c r="BO33" s="177">
        <f t="shared" si="39"/>
        <v>6.3000000000000014E-2</v>
      </c>
      <c r="BP33" s="542"/>
      <c r="BR33" s="469">
        <f t="shared" si="56"/>
        <v>315.00000000000006</v>
      </c>
      <c r="BS33" s="542">
        <f t="shared" si="40"/>
        <v>0</v>
      </c>
      <c r="BT33" s="542">
        <f t="shared" si="57"/>
        <v>0</v>
      </c>
      <c r="BU33" s="542">
        <f t="shared" si="41"/>
        <v>0</v>
      </c>
      <c r="BV33" s="542">
        <f t="shared" si="42"/>
        <v>0</v>
      </c>
      <c r="BW33" s="647">
        <f t="shared" si="43"/>
        <v>0</v>
      </c>
      <c r="BX33" s="469">
        <f t="shared" si="58"/>
        <v>0</v>
      </c>
      <c r="BY33" s="177">
        <f t="shared" si="59"/>
        <v>0.6336028413743372</v>
      </c>
      <c r="BZ33" s="5">
        <f t="shared" si="60"/>
        <v>4.6900000000000004</v>
      </c>
      <c r="CA33" s="177">
        <f t="shared" si="61"/>
        <v>0.88098232339008098</v>
      </c>
      <c r="CB33" s="5">
        <f t="shared" si="62"/>
        <v>88.098232339008092</v>
      </c>
      <c r="CC33">
        <f t="shared" si="63"/>
        <v>28.000000000000004</v>
      </c>
      <c r="CE33" s="576">
        <f t="shared" si="44"/>
        <v>-50</v>
      </c>
      <c r="CF33">
        <f t="shared" si="45"/>
        <v>-50</v>
      </c>
    </row>
    <row r="34" spans="5:84" x14ac:dyDescent="0.25">
      <c r="E34" s="174">
        <v>29</v>
      </c>
      <c r="F34" s="221">
        <f t="shared" si="64"/>
        <v>0.28999999999999998</v>
      </c>
      <c r="G34" s="221">
        <f t="shared" si="46"/>
        <v>7.2499999999999995E-2</v>
      </c>
      <c r="H34" s="221">
        <f t="shared" si="0"/>
        <v>4.3499999999999996</v>
      </c>
      <c r="I34" s="221">
        <f t="shared" si="65"/>
        <v>0.50749999999999995</v>
      </c>
      <c r="J34" s="555">
        <f t="shared" si="1"/>
        <v>15</v>
      </c>
      <c r="K34" s="451">
        <f t="shared" si="2"/>
        <v>23.85</v>
      </c>
      <c r="L34" s="451">
        <f t="shared" si="3"/>
        <v>38.85</v>
      </c>
      <c r="M34" s="451"/>
      <c r="N34" s="221">
        <f t="shared" si="4"/>
        <v>0.61389961389961389</v>
      </c>
      <c r="O34" s="176">
        <f t="shared" si="47"/>
        <v>16.05988878003803</v>
      </c>
      <c r="P34" s="176">
        <f t="shared" si="5"/>
        <v>1.873653691004437</v>
      </c>
      <c r="Q34" s="221">
        <f t="shared" si="6"/>
        <v>1.0706592520025353</v>
      </c>
      <c r="R34" s="221">
        <f t="shared" si="7"/>
        <v>2.2942698257197187</v>
      </c>
      <c r="S34" s="451">
        <f t="shared" si="8"/>
        <v>15</v>
      </c>
      <c r="T34" s="221">
        <f t="shared" si="9"/>
        <v>1.1105307293390709</v>
      </c>
      <c r="U34" s="221">
        <f t="shared" si="10"/>
        <v>0.51824767369156644</v>
      </c>
      <c r="V34" s="221">
        <f t="shared" si="11"/>
        <v>0.32594193313934994</v>
      </c>
      <c r="W34" s="201">
        <f t="shared" si="12"/>
        <v>350</v>
      </c>
      <c r="X34" s="451">
        <f t="shared" si="48"/>
        <v>350</v>
      </c>
      <c r="Z34" s="221">
        <f t="shared" si="13"/>
        <v>3.7585690646915135</v>
      </c>
      <c r="AA34" s="177">
        <f t="shared" si="14"/>
        <v>1.1031439602868174</v>
      </c>
      <c r="AB34" s="177">
        <f t="shared" si="15"/>
        <v>0.97467647041501804</v>
      </c>
      <c r="AC34" s="177"/>
      <c r="AD34" s="177">
        <f t="shared" si="16"/>
        <v>0.24067085953878403</v>
      </c>
      <c r="AE34" s="559">
        <f t="shared" si="17"/>
        <v>2187.8771139627775</v>
      </c>
      <c r="AF34" s="542">
        <f t="shared" si="18"/>
        <v>4.6392002252886505E-2</v>
      </c>
      <c r="AH34" s="177">
        <f t="shared" si="19"/>
        <v>1.9913076413374653</v>
      </c>
      <c r="AI34" s="177">
        <f t="shared" si="20"/>
        <v>1.9913076413374653</v>
      </c>
      <c r="AJ34" s="177">
        <f t="shared" si="21"/>
        <v>2.067635289879604</v>
      </c>
      <c r="AL34" s="559">
        <f t="shared" si="22"/>
        <v>290</v>
      </c>
      <c r="AM34" s="469">
        <f t="shared" si="23"/>
        <v>350</v>
      </c>
      <c r="AO34">
        <f t="shared" si="49"/>
        <v>290</v>
      </c>
      <c r="AP34" s="469">
        <f t="shared" si="24"/>
        <v>350</v>
      </c>
      <c r="AQ34" s="469"/>
      <c r="AR34" s="5">
        <f t="shared" si="50"/>
        <v>2.8571428571428572</v>
      </c>
      <c r="AS34" s="5">
        <f t="shared" si="25"/>
        <v>0.92927689929081714</v>
      </c>
      <c r="AT34" s="5">
        <f t="shared" si="51"/>
        <v>1.9278659578520401</v>
      </c>
      <c r="AU34" s="177">
        <f t="shared" si="52"/>
        <v>0.32524691475178596</v>
      </c>
      <c r="AW34" s="5">
        <f t="shared" si="53"/>
        <v>12.079683950617282</v>
      </c>
      <c r="AX34" s="5">
        <f t="shared" si="26"/>
        <v>4.3333002962962954</v>
      </c>
      <c r="AY34" s="5">
        <f t="shared" si="27"/>
        <v>0.85581907298473081</v>
      </c>
      <c r="AZ34" s="5">
        <f t="shared" si="28"/>
        <v>0.3320047018786616</v>
      </c>
      <c r="BA34" s="5">
        <f t="shared" si="29"/>
        <v>0.87622071487871678</v>
      </c>
      <c r="BB34" s="469">
        <f t="shared" si="30"/>
        <v>66.739185194851132</v>
      </c>
      <c r="BC34" s="5"/>
      <c r="BD34" s="177">
        <f t="shared" si="54"/>
        <v>0.65566850932792198</v>
      </c>
      <c r="BE34" s="177">
        <f t="shared" si="31"/>
        <v>1.2685800554718183</v>
      </c>
      <c r="BF34" s="177">
        <f t="shared" si="32"/>
        <v>0.29787544340509153</v>
      </c>
      <c r="BG34" s="177"/>
      <c r="BH34" s="542">
        <f t="shared" si="33"/>
        <v>4.7289131353672929E-2</v>
      </c>
      <c r="BI34" s="542">
        <f t="shared" si="34"/>
        <v>0.13538402826543092</v>
      </c>
      <c r="BJ34" s="542">
        <f t="shared" si="35"/>
        <v>1.7499999999999998E-2</v>
      </c>
      <c r="BK34" s="542">
        <f t="shared" si="36"/>
        <v>0.11885914687500002</v>
      </c>
      <c r="BL34">
        <f t="shared" si="37"/>
        <v>4.3499999999999997E-3</v>
      </c>
      <c r="BM34" s="469">
        <f t="shared" si="55"/>
        <v>323.38230649410389</v>
      </c>
      <c r="BN34" s="177">
        <f t="shared" si="38"/>
        <v>0.26100000000000001</v>
      </c>
      <c r="BO34" s="177">
        <f t="shared" si="39"/>
        <v>6.5250000000000002E-2</v>
      </c>
      <c r="BP34" s="542"/>
      <c r="BR34" s="469">
        <f t="shared" si="56"/>
        <v>326.25000000000006</v>
      </c>
      <c r="BS34" s="542">
        <f t="shared" si="40"/>
        <v>0</v>
      </c>
      <c r="BT34" s="542">
        <f t="shared" si="57"/>
        <v>0</v>
      </c>
      <c r="BU34" s="542">
        <f t="shared" si="41"/>
        <v>0</v>
      </c>
      <c r="BV34" s="542">
        <f t="shared" si="42"/>
        <v>0</v>
      </c>
      <c r="BW34" s="647">
        <f t="shared" si="43"/>
        <v>0</v>
      </c>
      <c r="BX34" s="469">
        <f t="shared" si="58"/>
        <v>0</v>
      </c>
      <c r="BY34" s="177">
        <f t="shared" si="59"/>
        <v>0.64963230649410386</v>
      </c>
      <c r="BZ34" s="5">
        <f t="shared" si="60"/>
        <v>4.8574999999999999</v>
      </c>
      <c r="CA34" s="177">
        <f t="shared" si="61"/>
        <v>0.88203800629085194</v>
      </c>
      <c r="CB34" s="5">
        <f t="shared" si="62"/>
        <v>88.203800629085194</v>
      </c>
      <c r="CC34">
        <f t="shared" si="63"/>
        <v>28.999999999999996</v>
      </c>
      <c r="CE34" s="576">
        <f t="shared" si="44"/>
        <v>-50</v>
      </c>
      <c r="CF34">
        <f t="shared" si="45"/>
        <v>-50</v>
      </c>
    </row>
    <row r="35" spans="5:84" x14ac:dyDescent="0.25">
      <c r="E35" s="174">
        <v>30</v>
      </c>
      <c r="F35" s="221">
        <f t="shared" si="64"/>
        <v>0.3</v>
      </c>
      <c r="G35" s="221">
        <f t="shared" si="46"/>
        <v>7.4999999999999997E-2</v>
      </c>
      <c r="H35" s="221">
        <f t="shared" si="0"/>
        <v>4.5</v>
      </c>
      <c r="I35" s="221">
        <f t="shared" si="65"/>
        <v>0.52500000000000002</v>
      </c>
      <c r="J35" s="555">
        <f t="shared" si="1"/>
        <v>15</v>
      </c>
      <c r="K35" s="451">
        <f t="shared" si="2"/>
        <v>23.85</v>
      </c>
      <c r="L35" s="451">
        <f t="shared" si="3"/>
        <v>38.85</v>
      </c>
      <c r="M35" s="451"/>
      <c r="N35" s="221">
        <f t="shared" si="4"/>
        <v>0.61389961389961389</v>
      </c>
      <c r="O35" s="176">
        <f t="shared" si="47"/>
        <v>16.05988878003803</v>
      </c>
      <c r="P35" s="176">
        <f t="shared" si="5"/>
        <v>1.873653691004437</v>
      </c>
      <c r="Q35" s="221">
        <f t="shared" si="6"/>
        <v>1.0706592520025353</v>
      </c>
      <c r="R35" s="221">
        <f t="shared" si="7"/>
        <v>2.2942698257197187</v>
      </c>
      <c r="S35" s="451">
        <f t="shared" si="8"/>
        <v>15</v>
      </c>
      <c r="T35" s="221">
        <f t="shared" si="9"/>
        <v>1.1488248924197286</v>
      </c>
      <c r="U35" s="221">
        <f t="shared" si="10"/>
        <v>0.53611828312920673</v>
      </c>
      <c r="V35" s="221">
        <f t="shared" si="11"/>
        <v>0.33718131014415514</v>
      </c>
      <c r="W35" s="201">
        <f t="shared" si="12"/>
        <v>350</v>
      </c>
      <c r="X35" s="451">
        <f t="shared" si="48"/>
        <v>350</v>
      </c>
      <c r="Z35" s="221">
        <f t="shared" si="13"/>
        <v>3.7585690646915135</v>
      </c>
      <c r="AA35" s="177">
        <f t="shared" si="14"/>
        <v>1.1031439602868174</v>
      </c>
      <c r="AB35" s="177">
        <f t="shared" si="15"/>
        <v>0.97467647041501804</v>
      </c>
      <c r="AC35" s="177"/>
      <c r="AD35" s="177">
        <f t="shared" si="16"/>
        <v>0.24067085953878403</v>
      </c>
      <c r="AE35" s="559">
        <f t="shared" si="17"/>
        <v>2263.3211523752875</v>
      </c>
      <c r="AF35" s="542">
        <f t="shared" si="18"/>
        <v>4.6392002252886505E-2</v>
      </c>
      <c r="AH35" s="177">
        <f t="shared" si="19"/>
        <v>2.0253495541082609</v>
      </c>
      <c r="AI35" s="177">
        <f t="shared" si="20"/>
        <v>2.0253495541082609</v>
      </c>
      <c r="AJ35" s="177">
        <f t="shared" si="21"/>
        <v>2.0928515215616748</v>
      </c>
      <c r="AL35" s="559">
        <f t="shared" si="22"/>
        <v>300</v>
      </c>
      <c r="AM35" s="469">
        <f t="shared" si="23"/>
        <v>350</v>
      </c>
      <c r="AO35">
        <f t="shared" si="49"/>
        <v>300</v>
      </c>
      <c r="AP35" s="469">
        <f t="shared" si="24"/>
        <v>350</v>
      </c>
      <c r="AQ35" s="469"/>
      <c r="AR35" s="5">
        <f t="shared" si="50"/>
        <v>2.8571428571428572</v>
      </c>
      <c r="AS35" s="5">
        <f t="shared" si="25"/>
        <v>0.94516312525052182</v>
      </c>
      <c r="AT35" s="5">
        <f t="shared" si="51"/>
        <v>1.9119797318923353</v>
      </c>
      <c r="AU35" s="177">
        <f t="shared" si="52"/>
        <v>0.33080709383768264</v>
      </c>
      <c r="AW35" s="5">
        <f t="shared" si="53"/>
        <v>12.079683950617282</v>
      </c>
      <c r="AX35" s="5">
        <f t="shared" si="26"/>
        <v>4.6062666666666665</v>
      </c>
      <c r="AY35" s="5">
        <f t="shared" si="27"/>
        <v>0.85581907298473081</v>
      </c>
      <c r="AZ35" s="5">
        <f t="shared" si="28"/>
        <v>0.34753773090463191</v>
      </c>
      <c r="BA35" s="5">
        <f t="shared" si="29"/>
        <v>0.89896590903008056</v>
      </c>
      <c r="BB35" s="469">
        <f t="shared" si="30"/>
        <v>68.480337914098143</v>
      </c>
      <c r="BC35" s="5"/>
      <c r="BD35" s="177">
        <f t="shared" si="54"/>
        <v>0.67255339348201815</v>
      </c>
      <c r="BE35" s="177">
        <f t="shared" si="31"/>
        <v>1.2849396552882113</v>
      </c>
      <c r="BF35" s="177">
        <f t="shared" si="32"/>
        <v>0.30171684310881419</v>
      </c>
      <c r="BG35" s="177"/>
      <c r="BH35" s="542">
        <f t="shared" si="33"/>
        <v>4.9756087379259614E-2</v>
      </c>
      <c r="BI35" s="542">
        <f t="shared" si="34"/>
        <v>0.1376984528099354</v>
      </c>
      <c r="BJ35" s="542">
        <f t="shared" si="35"/>
        <v>1.7499999999999998E-2</v>
      </c>
      <c r="BK35" s="542">
        <f t="shared" si="36"/>
        <v>0.11885914687500002</v>
      </c>
      <c r="BL35">
        <f t="shared" si="37"/>
        <v>4.3499999999999997E-3</v>
      </c>
      <c r="BM35" s="469">
        <f t="shared" si="55"/>
        <v>328.16368706419502</v>
      </c>
      <c r="BN35" s="177">
        <f t="shared" si="38"/>
        <v>0.27</v>
      </c>
      <c r="BO35" s="177">
        <f t="shared" si="39"/>
        <v>6.7500000000000004E-2</v>
      </c>
      <c r="BP35" s="542"/>
      <c r="BR35" s="469">
        <f t="shared" si="56"/>
        <v>337.5</v>
      </c>
      <c r="BS35" s="542">
        <f t="shared" si="40"/>
        <v>0</v>
      </c>
      <c r="BT35" s="542">
        <f t="shared" si="57"/>
        <v>0</v>
      </c>
      <c r="BU35" s="542">
        <f t="shared" si="41"/>
        <v>0</v>
      </c>
      <c r="BV35" s="542">
        <f t="shared" si="42"/>
        <v>0</v>
      </c>
      <c r="BW35" s="647">
        <f t="shared" si="43"/>
        <v>0</v>
      </c>
      <c r="BX35" s="469">
        <f t="shared" si="58"/>
        <v>0</v>
      </c>
      <c r="BY35" s="177">
        <f t="shared" si="59"/>
        <v>0.6656636870641951</v>
      </c>
      <c r="BZ35" s="5">
        <f t="shared" si="60"/>
        <v>5.0250000000000004</v>
      </c>
      <c r="CA35" s="177">
        <f t="shared" si="61"/>
        <v>0.88302529833605226</v>
      </c>
      <c r="CB35" s="5">
        <f t="shared" si="62"/>
        <v>88.30252983360522</v>
      </c>
      <c r="CC35">
        <f t="shared" si="63"/>
        <v>30</v>
      </c>
      <c r="CE35" s="576">
        <f t="shared" si="44"/>
        <v>-50</v>
      </c>
      <c r="CF35">
        <f t="shared" si="45"/>
        <v>-50</v>
      </c>
    </row>
    <row r="36" spans="5:84" x14ac:dyDescent="0.25">
      <c r="E36" s="174">
        <v>31</v>
      </c>
      <c r="F36" s="221">
        <f t="shared" si="64"/>
        <v>0.31</v>
      </c>
      <c r="G36" s="221">
        <f t="shared" si="46"/>
        <v>7.7499999999999999E-2</v>
      </c>
      <c r="H36" s="221">
        <f t="shared" si="0"/>
        <v>4.6500000000000004</v>
      </c>
      <c r="I36" s="221">
        <f t="shared" si="65"/>
        <v>0.54249999999999998</v>
      </c>
      <c r="J36" s="555">
        <f t="shared" si="1"/>
        <v>15</v>
      </c>
      <c r="K36" s="451">
        <f t="shared" si="2"/>
        <v>23.85</v>
      </c>
      <c r="L36" s="451">
        <f t="shared" si="3"/>
        <v>38.85</v>
      </c>
      <c r="M36" s="451"/>
      <c r="N36" s="221">
        <f t="shared" si="4"/>
        <v>0.61389961389961389</v>
      </c>
      <c r="O36" s="176">
        <f t="shared" si="47"/>
        <v>16.05988878003803</v>
      </c>
      <c r="P36" s="176">
        <f t="shared" si="5"/>
        <v>1.873653691004437</v>
      </c>
      <c r="Q36" s="221">
        <f t="shared" si="6"/>
        <v>1.0706592520025353</v>
      </c>
      <c r="R36" s="221">
        <f t="shared" si="7"/>
        <v>2.2942698257197187</v>
      </c>
      <c r="S36" s="451">
        <f t="shared" si="8"/>
        <v>15</v>
      </c>
      <c r="T36" s="221">
        <f t="shared" si="9"/>
        <v>1.1871190555003863</v>
      </c>
      <c r="U36" s="221">
        <f t="shared" si="10"/>
        <v>0.55398889256684702</v>
      </c>
      <c r="V36" s="221">
        <f t="shared" si="11"/>
        <v>0.3484206871489603</v>
      </c>
      <c r="W36" s="201">
        <f t="shared" si="12"/>
        <v>350</v>
      </c>
      <c r="X36" s="451">
        <f t="shared" si="48"/>
        <v>350</v>
      </c>
      <c r="Z36" s="221">
        <f t="shared" si="13"/>
        <v>3.7585690646915135</v>
      </c>
      <c r="AA36" s="177">
        <f t="shared" si="14"/>
        <v>1.1031439602868174</v>
      </c>
      <c r="AB36" s="177">
        <f t="shared" si="15"/>
        <v>0.97467647041501804</v>
      </c>
      <c r="AC36" s="177"/>
      <c r="AD36" s="177">
        <f t="shared" si="16"/>
        <v>0.24067085953878403</v>
      </c>
      <c r="AE36" s="559">
        <f t="shared" si="17"/>
        <v>2338.7651907877967</v>
      </c>
      <c r="AF36" s="542">
        <f t="shared" si="18"/>
        <v>4.6392002252886505E-2</v>
      </c>
      <c r="AH36" s="177">
        <f t="shared" si="19"/>
        <v>2.0588286743204454</v>
      </c>
      <c r="AI36" s="177">
        <f t="shared" si="20"/>
        <v>2.0588286743204454</v>
      </c>
      <c r="AJ36" s="177">
        <f t="shared" si="21"/>
        <v>2.1176508698669965</v>
      </c>
      <c r="AL36" s="559">
        <f t="shared" si="22"/>
        <v>310</v>
      </c>
      <c r="AM36" s="469">
        <f t="shared" si="23"/>
        <v>350</v>
      </c>
      <c r="AO36">
        <f t="shared" si="49"/>
        <v>310</v>
      </c>
      <c r="AP36" s="469">
        <f t="shared" si="24"/>
        <v>350</v>
      </c>
      <c r="AQ36" s="469"/>
      <c r="AR36" s="5">
        <f t="shared" si="50"/>
        <v>2.8571428571428572</v>
      </c>
      <c r="AS36" s="5">
        <f t="shared" si="25"/>
        <v>0.96078671468287447</v>
      </c>
      <c r="AT36" s="5">
        <f t="shared" si="51"/>
        <v>1.8963561424599829</v>
      </c>
      <c r="AU36" s="177">
        <f t="shared" si="52"/>
        <v>0.33627535013900606</v>
      </c>
      <c r="AW36" s="5">
        <f t="shared" si="53"/>
        <v>12.079683950617282</v>
      </c>
      <c r="AX36" s="5">
        <f t="shared" si="26"/>
        <v>4.8874691851851848</v>
      </c>
      <c r="AY36" s="5">
        <f t="shared" si="27"/>
        <v>0.85581907298473081</v>
      </c>
      <c r="AZ36" s="5">
        <f t="shared" si="28"/>
        <v>0.36334306599927918</v>
      </c>
      <c r="BA36" s="5">
        <f t="shared" si="29"/>
        <v>0.92134075038348195</v>
      </c>
      <c r="BB36" s="469">
        <f t="shared" si="30"/>
        <v>70.19371417349798</v>
      </c>
      <c r="BC36" s="5"/>
      <c r="BD36" s="177">
        <f t="shared" si="54"/>
        <v>0.68929812583876993</v>
      </c>
      <c r="BE36" s="177">
        <f t="shared" si="31"/>
        <v>1.3008321476555715</v>
      </c>
      <c r="BF36" s="177">
        <f t="shared" si="32"/>
        <v>0.30544856125330189</v>
      </c>
      <c r="BG36" s="177"/>
      <c r="BH36" s="542">
        <f t="shared" si="33"/>
        <v>5.2264509691332478E-2</v>
      </c>
      <c r="BI36" s="542">
        <f t="shared" si="34"/>
        <v>0.1399746144953613</v>
      </c>
      <c r="BJ36" s="542">
        <f t="shared" si="35"/>
        <v>1.7499999999999998E-2</v>
      </c>
      <c r="BK36" s="542">
        <f t="shared" si="36"/>
        <v>0.11885914687500002</v>
      </c>
      <c r="BL36">
        <f t="shared" si="37"/>
        <v>4.3499999999999997E-3</v>
      </c>
      <c r="BM36" s="469">
        <f t="shared" si="55"/>
        <v>332.94827106169384</v>
      </c>
      <c r="BN36" s="177">
        <f t="shared" si="38"/>
        <v>0.27900000000000003</v>
      </c>
      <c r="BO36" s="177">
        <f t="shared" si="39"/>
        <v>6.9750000000000006E-2</v>
      </c>
      <c r="BP36" s="542"/>
      <c r="BR36" s="469">
        <f t="shared" si="56"/>
        <v>348.75</v>
      </c>
      <c r="BS36" s="542">
        <f t="shared" si="40"/>
        <v>0</v>
      </c>
      <c r="BT36" s="542">
        <f t="shared" si="57"/>
        <v>0</v>
      </c>
      <c r="BU36" s="542">
        <f t="shared" si="41"/>
        <v>0</v>
      </c>
      <c r="BV36" s="542">
        <f t="shared" si="42"/>
        <v>0</v>
      </c>
      <c r="BW36" s="647">
        <f t="shared" si="43"/>
        <v>0</v>
      </c>
      <c r="BX36" s="469">
        <f t="shared" si="58"/>
        <v>0</v>
      </c>
      <c r="BY36" s="177">
        <f t="shared" si="59"/>
        <v>0.68169827106169389</v>
      </c>
      <c r="BZ36" s="5">
        <f t="shared" si="60"/>
        <v>5.1925000000000008</v>
      </c>
      <c r="CA36" s="177">
        <f t="shared" si="61"/>
        <v>0.88395041508558325</v>
      </c>
      <c r="CB36" s="5">
        <f t="shared" si="62"/>
        <v>88.395041508558322</v>
      </c>
      <c r="CC36">
        <f t="shared" si="63"/>
        <v>31</v>
      </c>
      <c r="CE36" s="576">
        <f t="shared" si="44"/>
        <v>-50</v>
      </c>
      <c r="CF36">
        <f t="shared" si="45"/>
        <v>-50</v>
      </c>
    </row>
    <row r="37" spans="5:84" x14ac:dyDescent="0.25">
      <c r="E37" s="174">
        <v>32</v>
      </c>
      <c r="F37" s="221">
        <f t="shared" si="64"/>
        <v>0.32</v>
      </c>
      <c r="G37" s="221">
        <f t="shared" si="46"/>
        <v>0.08</v>
      </c>
      <c r="H37" s="221">
        <f t="shared" ref="H37:H68" si="66">F37*Vout</f>
        <v>4.8</v>
      </c>
      <c r="I37" s="221">
        <f t="shared" si="65"/>
        <v>0.56000000000000005</v>
      </c>
      <c r="J37" s="555">
        <f t="shared" si="1"/>
        <v>15</v>
      </c>
      <c r="K37" s="451">
        <f t="shared" si="2"/>
        <v>23.85</v>
      </c>
      <c r="L37" s="451">
        <f t="shared" si="3"/>
        <v>38.85</v>
      </c>
      <c r="M37" s="451"/>
      <c r="N37" s="221">
        <f t="shared" si="4"/>
        <v>0.61389961389961389</v>
      </c>
      <c r="O37" s="176">
        <f t="shared" si="47"/>
        <v>16.05988878003803</v>
      </c>
      <c r="P37" s="176">
        <f t="shared" ref="P37:P68" si="67">N37*J37*Isw_max*0.5*Efficiency*(Pout2/Pout_total)</f>
        <v>1.873653691004437</v>
      </c>
      <c r="Q37" s="221">
        <f t="shared" si="6"/>
        <v>1.0706592520025353</v>
      </c>
      <c r="R37" s="221">
        <f t="shared" ref="R37:R68" si="68">O37/Vout2</f>
        <v>2.2942698257197187</v>
      </c>
      <c r="S37" s="451">
        <f t="shared" ref="S37:S68" si="69">MIN(Vout,O37/F37)</f>
        <v>15</v>
      </c>
      <c r="T37" s="221">
        <f t="shared" ref="T37:T68" si="70">MIN(2*(Vout*F37+Vout2*G37)/(Efficiency*J37*N37), Isw_max)</f>
        <v>1.2254132185810438</v>
      </c>
      <c r="U37" s="221">
        <f t="shared" si="10"/>
        <v>0.57185950200448721</v>
      </c>
      <c r="V37" s="221">
        <f t="shared" si="11"/>
        <v>0.3596600641537655</v>
      </c>
      <c r="W37" s="201">
        <f t="shared" si="12"/>
        <v>350</v>
      </c>
      <c r="X37" s="451">
        <f t="shared" si="48"/>
        <v>350</v>
      </c>
      <c r="Z37" s="221">
        <f t="shared" si="13"/>
        <v>3.7585690646915135</v>
      </c>
      <c r="AA37" s="177">
        <f t="shared" si="14"/>
        <v>1.1031439602868174</v>
      </c>
      <c r="AB37" s="177">
        <f t="shared" ref="AB37:AB68" si="71">0.5*AA37*Z37*Nps*W37/1000*(Pout/Pout_total)</f>
        <v>0.97467647041501804</v>
      </c>
      <c r="AC37" s="177"/>
      <c r="AD37" s="177">
        <f t="shared" si="16"/>
        <v>0.24067085953878403</v>
      </c>
      <c r="AE37" s="559">
        <f t="shared" ref="AE37:AE68" si="72">MAX(10, F37/(0.5*AD37/1000000*Isw_min*Nps)/1000*Pout_total/Pout)</f>
        <v>2414.2092292003067</v>
      </c>
      <c r="AF37" s="542">
        <f t="shared" ref="AF37:AF68" si="73">0.5*AD37/1000000*Isw_min*Nps*W37*1000*(Pout/Pout_total)</f>
        <v>4.6392002252886505E-2</v>
      </c>
      <c r="AH37" s="177">
        <f t="shared" ref="AH37:AH68" si="74">SQRT((H37+I37)/(0.5*L*Fsw_DCM))</f>
        <v>2.0917720248826428</v>
      </c>
      <c r="AI37" s="177">
        <f t="shared" ref="AI37:AI68" si="75">MAX(IF(F37&gt;AB37,T37,AH37),Isw_min)</f>
        <v>2.0917720248826428</v>
      </c>
      <c r="AJ37" s="177">
        <f t="shared" ref="AJ37:AJ68" si="76">IF(F37&gt;AF37, (AI37-Isw_min)/1.08*0.8+1.2, AE37*0.2/350+1)</f>
        <v>2.1420533517649205</v>
      </c>
      <c r="AL37" s="559">
        <f t="shared" ref="AL37:AL68" si="77">F37*1000</f>
        <v>320</v>
      </c>
      <c r="AM37" s="469">
        <f t="shared" ref="AM37:AM68" si="78">IF(F37&gt;AF37, X37, AE37)</f>
        <v>350</v>
      </c>
      <c r="AO37">
        <f t="shared" si="49"/>
        <v>320</v>
      </c>
      <c r="AP37" s="469">
        <f t="shared" si="24"/>
        <v>350</v>
      </c>
      <c r="AQ37" s="469"/>
      <c r="AR37" s="5">
        <f t="shared" si="50"/>
        <v>2.8571428571428572</v>
      </c>
      <c r="AS37" s="5">
        <f t="shared" si="25"/>
        <v>0.97616027827856666</v>
      </c>
      <c r="AT37" s="5">
        <f t="shared" si="51"/>
        <v>1.8809825788642907</v>
      </c>
      <c r="AU37" s="177">
        <f t="shared" si="52"/>
        <v>0.3416560973974983</v>
      </c>
      <c r="AW37" s="5">
        <f t="shared" si="53"/>
        <v>12.079683950617282</v>
      </c>
      <c r="AX37" s="5">
        <f t="shared" ref="AX37:AX68" si="79">L*F37^2/(2*Cout*Vout*Nps^2)*1000000000*((1+N37)/(1-N37))^2+F37*RCoutEsr</f>
        <v>5.1769078518518512</v>
      </c>
      <c r="AY37" s="5">
        <f t="shared" ref="AY37:AY68" si="80">L*Iout2^2/(2*Vripple2_spec*Vout2*Npri_sec2^2)*1000000000*((1+N37)/(1-N37))^2</f>
        <v>0.85581907298473081</v>
      </c>
      <c r="AZ37" s="5">
        <f t="shared" ref="AZ37:AZ68" si="81">L*G37^2/(2*Cout2*Vout2*Npri_sec2^2)*1000000000*((1+N37)/(1-N37))^2+G37*CoutEsr2</f>
        <v>0.37942070716260345</v>
      </c>
      <c r="BA37" s="5">
        <f t="shared" ref="BA37:BA68" si="82">(H37+I37)/Efficiency/J37*AT37/Vinripple1</f>
        <v>0.94335126294386873</v>
      </c>
      <c r="BB37" s="469">
        <f t="shared" ref="BB37:BB68" si="83">((BZ37/J37/Efficiency)*AT37/Cin+(BZ37/J37/Efficiency)*RCinEsr)*1000</f>
        <v>71.879765773421738</v>
      </c>
      <c r="BC37" s="5"/>
      <c r="BD37" s="177">
        <f t="shared" si="54"/>
        <v>0.70590833693180055</v>
      </c>
      <c r="BE37" s="177">
        <f t="shared" ref="BE37:BE68" si="84">AI37*Npri_sec1*SQRT((1-AU37)/3)*(Pout/Pout_total)</f>
        <v>1.3162786547496785</v>
      </c>
      <c r="BF37" s="177">
        <f t="shared" ref="BF37:BF68" si="85">AI37*Npri_sec2*SQRT((1-AU37)/3)*(Pout2/Pout_total)</f>
        <v>0.3090755575393232</v>
      </c>
      <c r="BG37" s="177"/>
      <c r="BH37" s="542">
        <f t="shared" si="33"/>
        <v>5.4813723816480246E-2</v>
      </c>
      <c r="BI37" s="542">
        <f t="shared" si="34"/>
        <v>0.14221435054170867</v>
      </c>
      <c r="BJ37" s="542">
        <f t="shared" si="35"/>
        <v>1.7499999999999998E-2</v>
      </c>
      <c r="BK37" s="542">
        <f t="shared" si="36"/>
        <v>0.11885914687500002</v>
      </c>
      <c r="BL37">
        <f t="shared" si="37"/>
        <v>4.3499999999999997E-3</v>
      </c>
      <c r="BM37" s="469">
        <f t="shared" si="55"/>
        <v>337.73722123318896</v>
      </c>
      <c r="BN37" s="177">
        <f t="shared" ref="BN37:BN68" si="86">Vfwd2*F37</f>
        <v>0.28800000000000003</v>
      </c>
      <c r="BO37" s="177">
        <f t="shared" ref="BO37:BO68" si="87">Vfwd2*G37</f>
        <v>7.2000000000000008E-2</v>
      </c>
      <c r="BP37" s="542"/>
      <c r="BR37" s="469">
        <f t="shared" si="56"/>
        <v>360.00000000000006</v>
      </c>
      <c r="BS37" s="542">
        <f t="shared" si="40"/>
        <v>0</v>
      </c>
      <c r="BT37" s="542">
        <f t="shared" si="57"/>
        <v>0</v>
      </c>
      <c r="BU37" s="542">
        <f t="shared" ref="BU37:BU68" si="88">Rdcr_sec2*BF37^2</f>
        <v>0</v>
      </c>
      <c r="BV37" s="542">
        <f t="shared" si="42"/>
        <v>0</v>
      </c>
      <c r="BW37" s="647">
        <f t="shared" ref="BW37:BW68" si="89">0.5*Lleak*0.000000001*AI37^2*AM37*1000</f>
        <v>0</v>
      </c>
      <c r="BX37" s="469">
        <f t="shared" si="58"/>
        <v>0</v>
      </c>
      <c r="BY37" s="177">
        <f t="shared" si="59"/>
        <v>0.69773722123318893</v>
      </c>
      <c r="BZ37" s="5">
        <f t="shared" si="60"/>
        <v>5.3599999999999994</v>
      </c>
      <c r="CA37" s="177">
        <f t="shared" si="61"/>
        <v>0.88481883651414828</v>
      </c>
      <c r="CB37" s="5">
        <f t="shared" si="62"/>
        <v>88.481883651414833</v>
      </c>
      <c r="CC37">
        <f t="shared" si="63"/>
        <v>32</v>
      </c>
      <c r="CE37" s="576">
        <f t="shared" ref="CE37:CE68" si="90">IF(ABS(F37-Ioutmax_Vinnom)&lt;Iout/200, AM37, -50)</f>
        <v>-50</v>
      </c>
      <c r="CF37">
        <f t="shared" ref="CF37:CF68" si="91">IF(ABS(F37-Ioutmax_Vinnom)&lt;Iout/200, (O37+P37)*CA37, -50)</f>
        <v>-50</v>
      </c>
    </row>
    <row r="38" spans="5:84" x14ac:dyDescent="0.25">
      <c r="E38" s="174">
        <v>33</v>
      </c>
      <c r="F38" s="221">
        <f t="shared" si="64"/>
        <v>0.33</v>
      </c>
      <c r="G38" s="221">
        <f t="shared" ref="G38:G69" si="92">IF(PLOT_TYPE=1, E38/100*Iout2, min_I*EXP(Q38*rr/100))</f>
        <v>8.2500000000000004E-2</v>
      </c>
      <c r="H38" s="221">
        <f t="shared" si="66"/>
        <v>4.95</v>
      </c>
      <c r="I38" s="221">
        <f t="shared" si="65"/>
        <v>0.57750000000000001</v>
      </c>
      <c r="J38" s="555">
        <f t="shared" si="1"/>
        <v>15</v>
      </c>
      <c r="K38" s="451">
        <f t="shared" si="2"/>
        <v>23.85</v>
      </c>
      <c r="L38" s="451">
        <f t="shared" si="3"/>
        <v>38.85</v>
      </c>
      <c r="M38" s="451"/>
      <c r="N38" s="221">
        <f t="shared" si="4"/>
        <v>0.61389961389961389</v>
      </c>
      <c r="O38" s="176">
        <f t="shared" ref="O38:O69" si="93">N38*J38*Isw_max*0.5*Efficiency*Pout/(Pout+Pout2)</f>
        <v>16.05988878003803</v>
      </c>
      <c r="P38" s="176">
        <f t="shared" si="67"/>
        <v>1.873653691004437</v>
      </c>
      <c r="Q38" s="221">
        <f t="shared" si="6"/>
        <v>1.0706592520025353</v>
      </c>
      <c r="R38" s="221">
        <f t="shared" si="68"/>
        <v>2.2942698257197187</v>
      </c>
      <c r="S38" s="451">
        <f t="shared" si="69"/>
        <v>15</v>
      </c>
      <c r="T38" s="221">
        <f t="shared" si="70"/>
        <v>1.2637073816617015</v>
      </c>
      <c r="U38" s="221">
        <f t="shared" si="10"/>
        <v>0.58973011144212728</v>
      </c>
      <c r="V38" s="221">
        <f t="shared" si="11"/>
        <v>0.3708994411585706</v>
      </c>
      <c r="W38" s="201">
        <f t="shared" si="12"/>
        <v>350</v>
      </c>
      <c r="X38" s="451">
        <f t="shared" si="48"/>
        <v>350</v>
      </c>
      <c r="Z38" s="221">
        <f t="shared" si="13"/>
        <v>3.7585690646915135</v>
      </c>
      <c r="AA38" s="177">
        <f t="shared" si="14"/>
        <v>1.1031439602868174</v>
      </c>
      <c r="AB38" s="177">
        <f t="shared" si="71"/>
        <v>0.97467647041501804</v>
      </c>
      <c r="AC38" s="177"/>
      <c r="AD38" s="177">
        <f t="shared" si="16"/>
        <v>0.24067085953878403</v>
      </c>
      <c r="AE38" s="559">
        <f t="shared" si="72"/>
        <v>2489.6532676128159</v>
      </c>
      <c r="AF38" s="542">
        <f t="shared" si="73"/>
        <v>4.6392002252886505E-2</v>
      </c>
      <c r="AH38" s="177">
        <f t="shared" si="74"/>
        <v>2.1242045329862149</v>
      </c>
      <c r="AI38" s="177">
        <f t="shared" si="75"/>
        <v>2.1242045329862149</v>
      </c>
      <c r="AJ38" s="177">
        <f t="shared" si="76"/>
        <v>2.1660774318416407</v>
      </c>
      <c r="AL38" s="559">
        <f t="shared" si="77"/>
        <v>330</v>
      </c>
      <c r="AM38" s="469">
        <f t="shared" si="78"/>
        <v>350</v>
      </c>
      <c r="AO38">
        <f t="shared" si="49"/>
        <v>330</v>
      </c>
      <c r="AP38" s="469">
        <f t="shared" si="24"/>
        <v>350</v>
      </c>
      <c r="AQ38" s="469"/>
      <c r="AR38" s="5">
        <f t="shared" si="50"/>
        <v>2.8571428571428572</v>
      </c>
      <c r="AS38" s="5">
        <f t="shared" si="25"/>
        <v>0.99129544872690034</v>
      </c>
      <c r="AT38" s="5">
        <f t="shared" si="51"/>
        <v>1.8658474084159569</v>
      </c>
      <c r="AU38" s="177">
        <f t="shared" si="52"/>
        <v>0.34695340705441513</v>
      </c>
      <c r="AW38" s="5">
        <f t="shared" ref="AW38:AW69" si="94">L*Iout^2/(2*Vripple1_spec*Vout*Npri_sec1^2)*1000000000*((1+N38)/(1-N38))^2</f>
        <v>12.079683950617282</v>
      </c>
      <c r="AX38" s="5">
        <f t="shared" si="79"/>
        <v>5.4745826666666666</v>
      </c>
      <c r="AY38" s="5">
        <f t="shared" si="80"/>
        <v>0.85581907298473081</v>
      </c>
      <c r="AZ38" s="5">
        <f t="shared" si="81"/>
        <v>0.39577065439460468</v>
      </c>
      <c r="BA38" s="5">
        <f t="shared" si="82"/>
        <v>0.96500318596670887</v>
      </c>
      <c r="BB38" s="469">
        <f t="shared" si="83"/>
        <v>73.53892315802949</v>
      </c>
      <c r="BC38" s="5"/>
      <c r="BD38" s="177">
        <f t="shared" si="54"/>
        <v>0.72238926275031723</v>
      </c>
      <c r="BE38" s="177">
        <f t="shared" si="84"/>
        <v>1.3312986593401945</v>
      </c>
      <c r="BF38" s="177">
        <f t="shared" si="85"/>
        <v>0.31260240671848871</v>
      </c>
      <c r="BG38" s="177"/>
      <c r="BH38" s="542">
        <f t="shared" si="33"/>
        <v>5.7403087163064151E-2</v>
      </c>
      <c r="BI38" s="542">
        <f t="shared" si="34"/>
        <v>0.1444193556864003</v>
      </c>
      <c r="BJ38" s="542">
        <f t="shared" si="35"/>
        <v>1.7499999999999998E-2</v>
      </c>
      <c r="BK38" s="542">
        <f t="shared" si="36"/>
        <v>0.11885914687500002</v>
      </c>
      <c r="BL38">
        <f t="shared" si="37"/>
        <v>4.3499999999999997E-3</v>
      </c>
      <c r="BM38" s="469">
        <f t="shared" si="55"/>
        <v>342.53158972446448</v>
      </c>
      <c r="BN38" s="177">
        <f t="shared" si="86"/>
        <v>0.29700000000000004</v>
      </c>
      <c r="BO38" s="177">
        <f t="shared" si="87"/>
        <v>7.425000000000001E-2</v>
      </c>
      <c r="BP38" s="542"/>
      <c r="BR38" s="469">
        <f t="shared" si="56"/>
        <v>371.25000000000006</v>
      </c>
      <c r="BS38" s="542">
        <f t="shared" si="40"/>
        <v>0</v>
      </c>
      <c r="BT38" s="542">
        <f t="shared" si="57"/>
        <v>0</v>
      </c>
      <c r="BU38" s="542">
        <f t="shared" si="88"/>
        <v>0</v>
      </c>
      <c r="BV38" s="542">
        <f t="shared" si="42"/>
        <v>0</v>
      </c>
      <c r="BW38" s="647">
        <f t="shared" si="89"/>
        <v>0</v>
      </c>
      <c r="BX38" s="469">
        <f t="shared" si="58"/>
        <v>0</v>
      </c>
      <c r="BY38" s="177">
        <f t="shared" si="59"/>
        <v>0.71378158972446448</v>
      </c>
      <c r="BZ38" s="5">
        <f t="shared" si="60"/>
        <v>5.5274999999999999</v>
      </c>
      <c r="CA38" s="177">
        <f t="shared" si="61"/>
        <v>0.88563541326197781</v>
      </c>
      <c r="CB38" s="5">
        <f t="shared" si="62"/>
        <v>88.563541326197779</v>
      </c>
      <c r="CC38">
        <f t="shared" ref="CC38:CC69" si="95">F38/Iout*100</f>
        <v>33</v>
      </c>
      <c r="CE38" s="576">
        <f t="shared" si="90"/>
        <v>-50</v>
      </c>
      <c r="CF38">
        <f t="shared" si="91"/>
        <v>-50</v>
      </c>
    </row>
    <row r="39" spans="5:84" x14ac:dyDescent="0.25">
      <c r="E39" s="174">
        <v>34</v>
      </c>
      <c r="F39" s="221">
        <f t="shared" si="64"/>
        <v>0.34</v>
      </c>
      <c r="G39" s="221">
        <f t="shared" si="92"/>
        <v>8.5000000000000006E-2</v>
      </c>
      <c r="H39" s="221">
        <f t="shared" si="66"/>
        <v>5.1000000000000005</v>
      </c>
      <c r="I39" s="221">
        <f t="shared" si="65"/>
        <v>0.59500000000000008</v>
      </c>
      <c r="J39" s="555">
        <f t="shared" si="1"/>
        <v>15</v>
      </c>
      <c r="K39" s="451">
        <f t="shared" si="2"/>
        <v>23.85</v>
      </c>
      <c r="L39" s="451">
        <f t="shared" si="3"/>
        <v>38.85</v>
      </c>
      <c r="M39" s="451"/>
      <c r="N39" s="221">
        <f t="shared" si="4"/>
        <v>0.61389961389961389</v>
      </c>
      <c r="O39" s="176">
        <f t="shared" si="93"/>
        <v>16.05988878003803</v>
      </c>
      <c r="P39" s="176">
        <f t="shared" si="67"/>
        <v>1.873653691004437</v>
      </c>
      <c r="Q39" s="221">
        <f t="shared" si="6"/>
        <v>1.0706592520025353</v>
      </c>
      <c r="R39" s="221">
        <f t="shared" si="68"/>
        <v>2.2942698257197187</v>
      </c>
      <c r="S39" s="451">
        <f t="shared" si="69"/>
        <v>15</v>
      </c>
      <c r="T39" s="221">
        <f t="shared" si="70"/>
        <v>1.3020015447423592</v>
      </c>
      <c r="U39" s="221">
        <f t="shared" si="10"/>
        <v>0.60760072087976758</v>
      </c>
      <c r="V39" s="221">
        <f t="shared" si="11"/>
        <v>0.3821388181633758</v>
      </c>
      <c r="W39" s="201">
        <f t="shared" si="12"/>
        <v>350</v>
      </c>
      <c r="X39" s="451">
        <f t="shared" si="48"/>
        <v>350</v>
      </c>
      <c r="Z39" s="221">
        <f t="shared" si="13"/>
        <v>3.7585690646915135</v>
      </c>
      <c r="AA39" s="177">
        <f t="shared" si="14"/>
        <v>1.1031439602868174</v>
      </c>
      <c r="AB39" s="177">
        <f t="shared" si="71"/>
        <v>0.97467647041501804</v>
      </c>
      <c r="AC39" s="177"/>
      <c r="AD39" s="177">
        <f t="shared" si="16"/>
        <v>0.24067085953878403</v>
      </c>
      <c r="AE39" s="559">
        <f t="shared" si="72"/>
        <v>2565.0973060253255</v>
      </c>
      <c r="AF39" s="542">
        <f t="shared" si="73"/>
        <v>4.6392002252886505E-2</v>
      </c>
      <c r="AH39" s="177">
        <f t="shared" si="74"/>
        <v>2.1561492508258175</v>
      </c>
      <c r="AI39" s="177">
        <f t="shared" si="75"/>
        <v>2.1561492508258175</v>
      </c>
      <c r="AJ39" s="177">
        <f t="shared" si="76"/>
        <v>2.1897401857969019</v>
      </c>
      <c r="AL39" s="559">
        <f t="shared" si="77"/>
        <v>340</v>
      </c>
      <c r="AM39" s="469">
        <f t="shared" si="78"/>
        <v>350</v>
      </c>
      <c r="AO39">
        <f t="shared" si="49"/>
        <v>340</v>
      </c>
      <c r="AP39" s="469">
        <f t="shared" si="24"/>
        <v>350</v>
      </c>
      <c r="AQ39" s="469"/>
      <c r="AR39" s="5">
        <f t="shared" si="50"/>
        <v>2.8571428571428572</v>
      </c>
      <c r="AS39" s="5">
        <f t="shared" si="25"/>
        <v>1.0062029837187147</v>
      </c>
      <c r="AT39" s="5">
        <f t="shared" si="51"/>
        <v>1.8509398734241425</v>
      </c>
      <c r="AU39" s="177">
        <f t="shared" si="52"/>
        <v>0.35217104430155016</v>
      </c>
      <c r="AW39" s="5">
        <f t="shared" si="94"/>
        <v>12.079683950617282</v>
      </c>
      <c r="AX39" s="5">
        <f t="shared" si="79"/>
        <v>5.7804936296296301</v>
      </c>
      <c r="AY39" s="5">
        <f t="shared" si="80"/>
        <v>0.85581907298473081</v>
      </c>
      <c r="AZ39" s="5">
        <f t="shared" si="81"/>
        <v>0.41239290769528281</v>
      </c>
      <c r="BA39" s="5">
        <f t="shared" si="82"/>
        <v>0.98630199570998744</v>
      </c>
      <c r="BB39" s="469">
        <f t="shared" si="83"/>
        <v>75.171597046670115</v>
      </c>
      <c r="BC39" s="5"/>
      <c r="BD39" s="177">
        <f t="shared" si="54"/>
        <v>0.73874578347217135</v>
      </c>
      <c r="BE39" s="177">
        <f t="shared" si="84"/>
        <v>1.3459101769736332</v>
      </c>
      <c r="BF39" s="177">
        <f t="shared" si="85"/>
        <v>0.31603333902355563</v>
      </c>
      <c r="BG39" s="177"/>
      <c r="BH39" s="542">
        <f t="shared" si="33"/>
        <v>6.0031986585770344E-2</v>
      </c>
      <c r="BI39" s="542">
        <f t="shared" si="34"/>
        <v>0.14659119719052027</v>
      </c>
      <c r="BJ39" s="542">
        <f t="shared" si="35"/>
        <v>1.7499999999999998E-2</v>
      </c>
      <c r="BK39" s="542">
        <f t="shared" si="36"/>
        <v>0.11885914687500002</v>
      </c>
      <c r="BL39">
        <f t="shared" si="37"/>
        <v>4.3499999999999997E-3</v>
      </c>
      <c r="BM39" s="469">
        <f t="shared" si="55"/>
        <v>347.33233065129065</v>
      </c>
      <c r="BN39" s="177">
        <f t="shared" si="86"/>
        <v>0.30600000000000005</v>
      </c>
      <c r="BO39" s="177">
        <f t="shared" si="87"/>
        <v>7.6500000000000012E-2</v>
      </c>
      <c r="BP39" s="542"/>
      <c r="BR39" s="469">
        <f t="shared" si="56"/>
        <v>382.50000000000006</v>
      </c>
      <c r="BS39" s="542">
        <f t="shared" si="40"/>
        <v>0</v>
      </c>
      <c r="BT39" s="542">
        <f t="shared" si="57"/>
        <v>0</v>
      </c>
      <c r="BU39" s="542">
        <f t="shared" si="88"/>
        <v>0</v>
      </c>
      <c r="BV39" s="542">
        <f t="shared" si="42"/>
        <v>0</v>
      </c>
      <c r="BW39" s="647">
        <f t="shared" si="89"/>
        <v>0</v>
      </c>
      <c r="BX39" s="469">
        <f t="shared" si="58"/>
        <v>0</v>
      </c>
      <c r="BY39" s="177">
        <f t="shared" si="59"/>
        <v>0.72983233065129072</v>
      </c>
      <c r="BZ39" s="5">
        <f t="shared" si="60"/>
        <v>5.6950000000000003</v>
      </c>
      <c r="CA39" s="177">
        <f t="shared" si="61"/>
        <v>0.8864044549194785</v>
      </c>
      <c r="CB39" s="5">
        <f t="shared" si="62"/>
        <v>88.640445491947844</v>
      </c>
      <c r="CC39">
        <f t="shared" si="95"/>
        <v>34</v>
      </c>
      <c r="CE39" s="576">
        <f t="shared" si="90"/>
        <v>-50</v>
      </c>
      <c r="CF39">
        <f t="shared" si="91"/>
        <v>-50</v>
      </c>
    </row>
    <row r="40" spans="5:84" x14ac:dyDescent="0.25">
      <c r="E40" s="174">
        <v>35</v>
      </c>
      <c r="F40" s="221">
        <f t="shared" ref="F40:F71" si="96">IF(PLOT_TYPE=1, E40/100*Iout_max, min_I*EXP(O40*rr/100))</f>
        <v>0.35</v>
      </c>
      <c r="G40" s="221">
        <f t="shared" si="92"/>
        <v>8.7499999999999994E-2</v>
      </c>
      <c r="H40" s="221">
        <f t="shared" si="66"/>
        <v>5.25</v>
      </c>
      <c r="I40" s="221">
        <f t="shared" ref="I40:I71" si="97">Vout2*G40</f>
        <v>0.61249999999999993</v>
      </c>
      <c r="J40" s="555">
        <f t="shared" si="1"/>
        <v>15</v>
      </c>
      <c r="K40" s="451">
        <f t="shared" si="2"/>
        <v>23.85</v>
      </c>
      <c r="L40" s="451">
        <f t="shared" si="3"/>
        <v>38.85</v>
      </c>
      <c r="M40" s="451"/>
      <c r="N40" s="221">
        <f t="shared" si="4"/>
        <v>0.61389961389961389</v>
      </c>
      <c r="O40" s="176">
        <f t="shared" si="93"/>
        <v>16.05988878003803</v>
      </c>
      <c r="P40" s="176">
        <f t="shared" si="67"/>
        <v>1.873653691004437</v>
      </c>
      <c r="Q40" s="221">
        <f t="shared" si="6"/>
        <v>1.0706592520025353</v>
      </c>
      <c r="R40" s="221">
        <f t="shared" si="68"/>
        <v>2.2942698257197187</v>
      </c>
      <c r="S40" s="451">
        <f t="shared" si="69"/>
        <v>15</v>
      </c>
      <c r="T40" s="221">
        <f t="shared" si="70"/>
        <v>1.3402957078230167</v>
      </c>
      <c r="U40" s="221">
        <f t="shared" si="10"/>
        <v>0.62547133031740776</v>
      </c>
      <c r="V40" s="221">
        <f t="shared" si="11"/>
        <v>0.39337819516818096</v>
      </c>
      <c r="W40" s="201">
        <f t="shared" si="12"/>
        <v>350</v>
      </c>
      <c r="X40" s="451">
        <f t="shared" si="48"/>
        <v>350</v>
      </c>
      <c r="Z40" s="221">
        <f t="shared" si="13"/>
        <v>3.7585690646915135</v>
      </c>
      <c r="AA40" s="177">
        <f t="shared" si="14"/>
        <v>1.1031439602868174</v>
      </c>
      <c r="AB40" s="177">
        <f t="shared" si="71"/>
        <v>0.97467647041501804</v>
      </c>
      <c r="AC40" s="177"/>
      <c r="AD40" s="177">
        <f t="shared" si="16"/>
        <v>0.24067085953878403</v>
      </c>
      <c r="AE40" s="559">
        <f t="shared" si="72"/>
        <v>2640.5413444378351</v>
      </c>
      <c r="AF40" s="542">
        <f t="shared" si="73"/>
        <v>4.6392002252886505E-2</v>
      </c>
      <c r="AH40" s="177">
        <f t="shared" si="74"/>
        <v>2.1876275473019362</v>
      </c>
      <c r="AI40" s="177">
        <f t="shared" si="75"/>
        <v>2.1876275473019362</v>
      </c>
      <c r="AJ40" s="177">
        <f t="shared" si="76"/>
        <v>2.2130574424458787</v>
      </c>
      <c r="AL40" s="559">
        <f t="shared" si="77"/>
        <v>350</v>
      </c>
      <c r="AM40" s="469">
        <f t="shared" si="78"/>
        <v>350</v>
      </c>
      <c r="AO40">
        <f t="shared" si="49"/>
        <v>350</v>
      </c>
      <c r="AP40" s="469">
        <f t="shared" si="24"/>
        <v>350</v>
      </c>
      <c r="AQ40" s="469"/>
      <c r="AR40" s="5">
        <f t="shared" si="50"/>
        <v>2.8571428571428572</v>
      </c>
      <c r="AS40" s="5">
        <f t="shared" si="25"/>
        <v>1.02089285540757</v>
      </c>
      <c r="AT40" s="5">
        <f t="shared" si="51"/>
        <v>1.8362500017352872</v>
      </c>
      <c r="AU40" s="177">
        <f t="shared" si="52"/>
        <v>0.35731249939264947</v>
      </c>
      <c r="AW40" s="5">
        <f t="shared" si="94"/>
        <v>12.079683950617282</v>
      </c>
      <c r="AX40" s="5">
        <f t="shared" si="79"/>
        <v>6.0946407407407381</v>
      </c>
      <c r="AY40" s="5">
        <f t="shared" si="80"/>
        <v>0.85581907298473081</v>
      </c>
      <c r="AZ40" s="5">
        <f t="shared" si="81"/>
        <v>0.42928746706463783</v>
      </c>
      <c r="BA40" s="5">
        <f t="shared" si="82"/>
        <v>1.0072529249284792</v>
      </c>
      <c r="BB40" s="469">
        <f t="shared" si="83"/>
        <v>76.778179895951737</v>
      </c>
      <c r="BC40" s="5"/>
      <c r="BD40" s="177">
        <f t="shared" si="54"/>
        <v>0.75498245736963532</v>
      </c>
      <c r="BE40" s="177">
        <f t="shared" si="84"/>
        <v>1.360129905544758</v>
      </c>
      <c r="BF40" s="177">
        <f t="shared" si="85"/>
        <v>0.31937227528930706</v>
      </c>
      <c r="BG40" s="177"/>
      <c r="BH40" s="542">
        <f t="shared" si="33"/>
        <v>6.2699836202948264E-2</v>
      </c>
      <c r="BI40" s="542">
        <f t="shared" si="34"/>
        <v>0.1487313278721904</v>
      </c>
      <c r="BJ40" s="542">
        <f t="shared" si="35"/>
        <v>1.7499999999999998E-2</v>
      </c>
      <c r="BK40" s="542">
        <f t="shared" si="36"/>
        <v>0.11885914687500002</v>
      </c>
      <c r="BL40">
        <f t="shared" si="37"/>
        <v>4.3499999999999997E-3</v>
      </c>
      <c r="BM40" s="469">
        <f t="shared" si="55"/>
        <v>352.14031095013871</v>
      </c>
      <c r="BN40" s="177">
        <f t="shared" si="86"/>
        <v>0.315</v>
      </c>
      <c r="BO40" s="177">
        <f t="shared" si="87"/>
        <v>7.8750000000000001E-2</v>
      </c>
      <c r="BP40" s="542"/>
      <c r="BR40" s="469">
        <f t="shared" si="56"/>
        <v>393.75</v>
      </c>
      <c r="BS40" s="542">
        <f t="shared" si="40"/>
        <v>0</v>
      </c>
      <c r="BT40" s="542">
        <f t="shared" si="57"/>
        <v>0</v>
      </c>
      <c r="BU40" s="542">
        <f t="shared" si="88"/>
        <v>0</v>
      </c>
      <c r="BV40" s="542">
        <f t="shared" si="42"/>
        <v>0</v>
      </c>
      <c r="BW40" s="647">
        <f t="shared" si="89"/>
        <v>0</v>
      </c>
      <c r="BX40" s="469">
        <f t="shared" si="58"/>
        <v>0</v>
      </c>
      <c r="BY40" s="177">
        <f t="shared" si="59"/>
        <v>0.74589031095013869</v>
      </c>
      <c r="BZ40" s="5">
        <f t="shared" si="60"/>
        <v>5.8624999999999998</v>
      </c>
      <c r="CA40" s="177">
        <f t="shared" si="61"/>
        <v>0.88712980380196449</v>
      </c>
      <c r="CB40" s="5">
        <f t="shared" si="62"/>
        <v>88.712980380196456</v>
      </c>
      <c r="CC40">
        <f t="shared" si="95"/>
        <v>35</v>
      </c>
      <c r="CE40" s="576">
        <f t="shared" si="90"/>
        <v>-50</v>
      </c>
      <c r="CF40">
        <f t="shared" si="91"/>
        <v>-50</v>
      </c>
    </row>
    <row r="41" spans="5:84" x14ac:dyDescent="0.25">
      <c r="E41" s="174">
        <v>36</v>
      </c>
      <c r="F41" s="221">
        <f t="shared" si="96"/>
        <v>0.36</v>
      </c>
      <c r="G41" s="221">
        <f t="shared" si="92"/>
        <v>0.09</v>
      </c>
      <c r="H41" s="221">
        <f t="shared" si="66"/>
        <v>5.3999999999999995</v>
      </c>
      <c r="I41" s="221">
        <f t="shared" si="97"/>
        <v>0.63</v>
      </c>
      <c r="J41" s="555">
        <f t="shared" si="1"/>
        <v>15</v>
      </c>
      <c r="K41" s="451">
        <f t="shared" si="2"/>
        <v>23.85</v>
      </c>
      <c r="L41" s="451">
        <f t="shared" si="3"/>
        <v>38.85</v>
      </c>
      <c r="M41" s="451"/>
      <c r="N41" s="221">
        <f t="shared" si="4"/>
        <v>0.61389961389961389</v>
      </c>
      <c r="O41" s="176">
        <f t="shared" si="93"/>
        <v>16.05988878003803</v>
      </c>
      <c r="P41" s="176">
        <f t="shared" si="67"/>
        <v>1.873653691004437</v>
      </c>
      <c r="Q41" s="221">
        <f t="shared" si="6"/>
        <v>1.0706592520025353</v>
      </c>
      <c r="R41" s="221">
        <f t="shared" si="68"/>
        <v>2.2942698257197187</v>
      </c>
      <c r="S41" s="451">
        <f t="shared" si="69"/>
        <v>15</v>
      </c>
      <c r="T41" s="221">
        <f t="shared" si="70"/>
        <v>1.3785898709036741</v>
      </c>
      <c r="U41" s="221">
        <f t="shared" si="10"/>
        <v>0.64334193975504794</v>
      </c>
      <c r="V41" s="221">
        <f t="shared" si="11"/>
        <v>0.40461757217298611</v>
      </c>
      <c r="W41" s="201">
        <f t="shared" si="12"/>
        <v>350</v>
      </c>
      <c r="X41" s="451">
        <f t="shared" si="48"/>
        <v>350</v>
      </c>
      <c r="Z41" s="221">
        <f t="shared" si="13"/>
        <v>3.7585690646915135</v>
      </c>
      <c r="AA41" s="177">
        <f t="shared" si="14"/>
        <v>1.1031439602868174</v>
      </c>
      <c r="AB41" s="177">
        <f t="shared" si="71"/>
        <v>0.97467647041501804</v>
      </c>
      <c r="AC41" s="177"/>
      <c r="AD41" s="177">
        <f t="shared" si="16"/>
        <v>0.24067085953878403</v>
      </c>
      <c r="AE41" s="559">
        <f t="shared" si="72"/>
        <v>2715.9853828503451</v>
      </c>
      <c r="AF41" s="542">
        <f t="shared" si="73"/>
        <v>4.6392002252886505E-2</v>
      </c>
      <c r="AH41" s="177">
        <f t="shared" si="74"/>
        <v>2.2186592752362486</v>
      </c>
      <c r="AI41" s="177">
        <f t="shared" si="75"/>
        <v>2.2186592752362486</v>
      </c>
      <c r="AJ41" s="177">
        <f t="shared" si="76"/>
        <v>2.2360439075824066</v>
      </c>
      <c r="AL41" s="559">
        <f t="shared" si="77"/>
        <v>360</v>
      </c>
      <c r="AM41" s="469">
        <f t="shared" si="78"/>
        <v>350</v>
      </c>
      <c r="AO41">
        <f t="shared" si="49"/>
        <v>360</v>
      </c>
      <c r="AP41" s="469">
        <f t="shared" si="24"/>
        <v>350</v>
      </c>
      <c r="AQ41" s="469"/>
      <c r="AR41" s="5">
        <f t="shared" si="50"/>
        <v>2.8571428571428572</v>
      </c>
      <c r="AS41" s="5">
        <f t="shared" si="25"/>
        <v>1.0353743284435828</v>
      </c>
      <c r="AT41" s="5">
        <f t="shared" si="51"/>
        <v>1.8217685286992744</v>
      </c>
      <c r="AU41" s="177">
        <f t="shared" si="52"/>
        <v>0.36238101495525399</v>
      </c>
      <c r="AW41" s="5">
        <f t="shared" si="94"/>
        <v>12.079683950617282</v>
      </c>
      <c r="AX41" s="5">
        <f t="shared" si="79"/>
        <v>6.4170239999999996</v>
      </c>
      <c r="AY41" s="5">
        <f t="shared" si="80"/>
        <v>0.85581907298473081</v>
      </c>
      <c r="AZ41" s="5">
        <f t="shared" si="81"/>
        <v>0.44645433250266997</v>
      </c>
      <c r="BA41" s="5">
        <f t="shared" si="82"/>
        <v>1.027860980402959</v>
      </c>
      <c r="BB41" s="469">
        <f t="shared" si="83"/>
        <v>78.359047214432451</v>
      </c>
      <c r="BC41" s="5"/>
      <c r="BD41" s="177">
        <f t="shared" si="54"/>
        <v>0.77110355060997782</v>
      </c>
      <c r="BE41" s="177">
        <f t="shared" si="84"/>
        <v>1.373973355784162</v>
      </c>
      <c r="BF41" s="177">
        <f t="shared" si="85"/>
        <v>0.32262285759235704</v>
      </c>
      <c r="BG41" s="177"/>
      <c r="BH41" s="542">
        <f t="shared" si="33"/>
        <v>6.5406075433964608E-2</v>
      </c>
      <c r="BI41" s="542">
        <f t="shared" si="34"/>
        <v>0.15084109747512447</v>
      </c>
      <c r="BJ41" s="542">
        <f t="shared" si="35"/>
        <v>1.7499999999999998E-2</v>
      </c>
      <c r="BK41" s="542">
        <f t="shared" si="36"/>
        <v>0.11885914687500002</v>
      </c>
      <c r="BL41">
        <f t="shared" si="37"/>
        <v>4.3499999999999997E-3</v>
      </c>
      <c r="BM41" s="469">
        <f t="shared" si="55"/>
        <v>356.95631978408909</v>
      </c>
      <c r="BN41" s="177">
        <f t="shared" si="86"/>
        <v>0.32400000000000001</v>
      </c>
      <c r="BO41" s="177">
        <f t="shared" si="87"/>
        <v>8.1000000000000003E-2</v>
      </c>
      <c r="BP41" s="542"/>
      <c r="BR41" s="469">
        <f t="shared" si="56"/>
        <v>405</v>
      </c>
      <c r="BS41" s="542">
        <f t="shared" si="40"/>
        <v>0</v>
      </c>
      <c r="BT41" s="542">
        <f t="shared" si="57"/>
        <v>0</v>
      </c>
      <c r="BU41" s="542">
        <f t="shared" si="88"/>
        <v>0</v>
      </c>
      <c r="BV41" s="542">
        <f t="shared" si="42"/>
        <v>0</v>
      </c>
      <c r="BW41" s="647">
        <f t="shared" si="89"/>
        <v>0</v>
      </c>
      <c r="BX41" s="469">
        <f t="shared" si="58"/>
        <v>0</v>
      </c>
      <c r="BY41" s="177">
        <f t="shared" si="59"/>
        <v>0.76195631978408906</v>
      </c>
      <c r="BZ41" s="5">
        <f t="shared" si="60"/>
        <v>6.0299999999999994</v>
      </c>
      <c r="CA41" s="177">
        <f t="shared" si="61"/>
        <v>0.88781489692968008</v>
      </c>
      <c r="CB41" s="5">
        <f t="shared" si="62"/>
        <v>88.781489692968009</v>
      </c>
      <c r="CC41">
        <f t="shared" si="95"/>
        <v>36</v>
      </c>
      <c r="CE41" s="576">
        <f t="shared" si="90"/>
        <v>-50</v>
      </c>
      <c r="CF41">
        <f t="shared" si="91"/>
        <v>-50</v>
      </c>
    </row>
    <row r="42" spans="5:84" x14ac:dyDescent="0.25">
      <c r="E42" s="174">
        <v>37</v>
      </c>
      <c r="F42" s="221">
        <f t="shared" si="96"/>
        <v>0.37</v>
      </c>
      <c r="G42" s="221">
        <f t="shared" si="92"/>
        <v>9.2499999999999999E-2</v>
      </c>
      <c r="H42" s="221">
        <f t="shared" si="66"/>
        <v>5.55</v>
      </c>
      <c r="I42" s="221">
        <f t="shared" si="97"/>
        <v>0.64749999999999996</v>
      </c>
      <c r="J42" s="555">
        <f t="shared" si="1"/>
        <v>15</v>
      </c>
      <c r="K42" s="451">
        <f t="shared" si="2"/>
        <v>23.85</v>
      </c>
      <c r="L42" s="451">
        <f t="shared" si="3"/>
        <v>38.85</v>
      </c>
      <c r="M42" s="451"/>
      <c r="N42" s="221">
        <f t="shared" si="4"/>
        <v>0.61389961389961389</v>
      </c>
      <c r="O42" s="176">
        <f t="shared" si="93"/>
        <v>16.05988878003803</v>
      </c>
      <c r="P42" s="176">
        <f t="shared" si="67"/>
        <v>1.873653691004437</v>
      </c>
      <c r="Q42" s="221">
        <f t="shared" si="6"/>
        <v>1.0706592520025353</v>
      </c>
      <c r="R42" s="221">
        <f t="shared" si="68"/>
        <v>2.2942698257197187</v>
      </c>
      <c r="S42" s="451">
        <f t="shared" si="69"/>
        <v>15</v>
      </c>
      <c r="T42" s="221">
        <f t="shared" si="70"/>
        <v>1.4168840339843318</v>
      </c>
      <c r="U42" s="221">
        <f t="shared" si="10"/>
        <v>0.66121254919268813</v>
      </c>
      <c r="V42" s="221">
        <f t="shared" si="11"/>
        <v>0.41585694917779126</v>
      </c>
      <c r="W42" s="201">
        <f t="shared" si="12"/>
        <v>350</v>
      </c>
      <c r="X42" s="451">
        <f t="shared" si="48"/>
        <v>350</v>
      </c>
      <c r="Z42" s="221">
        <f t="shared" si="13"/>
        <v>3.7585690646915135</v>
      </c>
      <c r="AA42" s="177">
        <f t="shared" si="14"/>
        <v>1.1031439602868174</v>
      </c>
      <c r="AB42" s="177">
        <f t="shared" si="71"/>
        <v>0.97467647041501804</v>
      </c>
      <c r="AC42" s="177"/>
      <c r="AD42" s="177">
        <f t="shared" si="16"/>
        <v>0.24067085953878403</v>
      </c>
      <c r="AE42" s="559">
        <f t="shared" si="72"/>
        <v>2791.4294212628542</v>
      </c>
      <c r="AF42" s="542">
        <f t="shared" si="73"/>
        <v>4.6392002252886505E-2</v>
      </c>
      <c r="AH42" s="177">
        <f t="shared" si="74"/>
        <v>2.2492629178176098</v>
      </c>
      <c r="AI42" s="177">
        <f t="shared" si="75"/>
        <v>2.2492629178176098</v>
      </c>
      <c r="AJ42" s="177">
        <f t="shared" si="76"/>
        <v>2.2587132724574888</v>
      </c>
      <c r="AL42" s="559">
        <f t="shared" si="77"/>
        <v>370</v>
      </c>
      <c r="AM42" s="469">
        <f t="shared" si="78"/>
        <v>350</v>
      </c>
      <c r="AO42">
        <f t="shared" si="49"/>
        <v>370</v>
      </c>
      <c r="AP42" s="469">
        <f t="shared" si="24"/>
        <v>350</v>
      </c>
      <c r="AQ42" s="469"/>
      <c r="AR42" s="5">
        <f t="shared" si="50"/>
        <v>2.8571428571428572</v>
      </c>
      <c r="AS42" s="5">
        <f t="shared" si="25"/>
        <v>1.0496560283148846</v>
      </c>
      <c r="AT42" s="5">
        <f t="shared" si="51"/>
        <v>1.8074868288279726</v>
      </c>
      <c r="AU42" s="177">
        <f t="shared" si="52"/>
        <v>0.36737960991020957</v>
      </c>
      <c r="AW42" s="5">
        <f t="shared" si="94"/>
        <v>12.079683950617282</v>
      </c>
      <c r="AX42" s="5">
        <f t="shared" si="79"/>
        <v>6.7476434074074056</v>
      </c>
      <c r="AY42" s="5">
        <f t="shared" si="80"/>
        <v>0.85581907298473081</v>
      </c>
      <c r="AZ42" s="5">
        <f t="shared" si="81"/>
        <v>0.46389350400937901</v>
      </c>
      <c r="BA42" s="5">
        <f t="shared" si="82"/>
        <v>1.0481309587519401</v>
      </c>
      <c r="BB42" s="469">
        <f t="shared" si="83"/>
        <v>79.914558748500767</v>
      </c>
      <c r="BC42" s="5"/>
      <c r="BD42" s="177">
        <f t="shared" si="54"/>
        <v>0.78711306354790078</v>
      </c>
      <c r="BE42" s="177">
        <f t="shared" si="84"/>
        <v>1.387454965557074</v>
      </c>
      <c r="BF42" s="177">
        <f t="shared" si="85"/>
        <v>0.32578847608966738</v>
      </c>
      <c r="BG42" s="177"/>
      <c r="BH42" s="542">
        <f t="shared" si="33"/>
        <v>6.8150167228853781E-2</v>
      </c>
      <c r="BI42" s="542">
        <f t="shared" si="34"/>
        <v>0.15292176262512475</v>
      </c>
      <c r="BJ42" s="542">
        <f t="shared" si="35"/>
        <v>1.7499999999999998E-2</v>
      </c>
      <c r="BK42" s="542">
        <f t="shared" si="36"/>
        <v>0.11885914687500002</v>
      </c>
      <c r="BL42">
        <f t="shared" si="37"/>
        <v>4.3499999999999997E-3</v>
      </c>
      <c r="BM42" s="469">
        <f t="shared" si="55"/>
        <v>361.78107672897858</v>
      </c>
      <c r="BN42" s="177">
        <f t="shared" si="86"/>
        <v>0.33300000000000002</v>
      </c>
      <c r="BO42" s="177">
        <f t="shared" si="87"/>
        <v>8.3250000000000005E-2</v>
      </c>
      <c r="BP42" s="542"/>
      <c r="BR42" s="469">
        <f t="shared" si="56"/>
        <v>416.25</v>
      </c>
      <c r="BS42" s="542">
        <f t="shared" si="40"/>
        <v>0</v>
      </c>
      <c r="BT42" s="542">
        <f t="shared" si="57"/>
        <v>0</v>
      </c>
      <c r="BU42" s="542">
        <f t="shared" si="88"/>
        <v>0</v>
      </c>
      <c r="BV42" s="542">
        <f t="shared" si="42"/>
        <v>0</v>
      </c>
      <c r="BW42" s="647">
        <f t="shared" si="89"/>
        <v>0</v>
      </c>
      <c r="BX42" s="469">
        <f t="shared" si="58"/>
        <v>0</v>
      </c>
      <c r="BY42" s="177">
        <f t="shared" si="59"/>
        <v>0.77803107672897864</v>
      </c>
      <c r="BZ42" s="5">
        <f t="shared" si="60"/>
        <v>6.1974999999999998</v>
      </c>
      <c r="CA42" s="177">
        <f t="shared" si="61"/>
        <v>0.88846281836166374</v>
      </c>
      <c r="CB42" s="5">
        <f t="shared" si="62"/>
        <v>88.846281836166369</v>
      </c>
      <c r="CC42">
        <f t="shared" si="95"/>
        <v>37</v>
      </c>
      <c r="CE42" s="576">
        <f t="shared" si="90"/>
        <v>-50</v>
      </c>
      <c r="CF42">
        <f t="shared" si="91"/>
        <v>-50</v>
      </c>
    </row>
    <row r="43" spans="5:84" x14ac:dyDescent="0.25">
      <c r="E43" s="174">
        <v>38</v>
      </c>
      <c r="F43" s="221">
        <f t="shared" si="96"/>
        <v>0.38</v>
      </c>
      <c r="G43" s="221">
        <f t="shared" si="92"/>
        <v>9.5000000000000001E-2</v>
      </c>
      <c r="H43" s="221">
        <f t="shared" si="66"/>
        <v>5.7</v>
      </c>
      <c r="I43" s="221">
        <f t="shared" si="97"/>
        <v>0.66500000000000004</v>
      </c>
      <c r="J43" s="555">
        <f t="shared" si="1"/>
        <v>15</v>
      </c>
      <c r="K43" s="451">
        <f t="shared" si="2"/>
        <v>23.85</v>
      </c>
      <c r="L43" s="451">
        <f t="shared" si="3"/>
        <v>38.85</v>
      </c>
      <c r="M43" s="451"/>
      <c r="N43" s="221">
        <f t="shared" si="4"/>
        <v>0.61389961389961389</v>
      </c>
      <c r="O43" s="176">
        <f t="shared" si="93"/>
        <v>16.05988878003803</v>
      </c>
      <c r="P43" s="176">
        <f t="shared" si="67"/>
        <v>1.873653691004437</v>
      </c>
      <c r="Q43" s="221">
        <f t="shared" si="6"/>
        <v>1.0706592520025353</v>
      </c>
      <c r="R43" s="221">
        <f t="shared" si="68"/>
        <v>2.2942698257197187</v>
      </c>
      <c r="S43" s="451">
        <f t="shared" si="69"/>
        <v>15</v>
      </c>
      <c r="T43" s="221">
        <f t="shared" si="70"/>
        <v>1.4551781970649895</v>
      </c>
      <c r="U43" s="221">
        <f t="shared" si="10"/>
        <v>0.67908315863032842</v>
      </c>
      <c r="V43" s="221">
        <f t="shared" si="11"/>
        <v>0.42709632618259652</v>
      </c>
      <c r="W43" s="201">
        <f t="shared" si="12"/>
        <v>350</v>
      </c>
      <c r="X43" s="451">
        <f t="shared" si="48"/>
        <v>350</v>
      </c>
      <c r="Z43" s="221">
        <f t="shared" si="13"/>
        <v>3.7585690646915135</v>
      </c>
      <c r="AA43" s="177">
        <f t="shared" si="14"/>
        <v>1.1031439602868174</v>
      </c>
      <c r="AB43" s="177">
        <f t="shared" si="71"/>
        <v>0.97467647041501804</v>
      </c>
      <c r="AC43" s="177"/>
      <c r="AD43" s="177">
        <f t="shared" si="16"/>
        <v>0.24067085953878403</v>
      </c>
      <c r="AE43" s="559">
        <f t="shared" si="72"/>
        <v>2866.8734596753643</v>
      </c>
      <c r="AF43" s="542">
        <f t="shared" si="73"/>
        <v>4.6392002252886505E-2</v>
      </c>
      <c r="AH43" s="177">
        <f t="shared" si="74"/>
        <v>2.2794557173472221</v>
      </c>
      <c r="AI43" s="177">
        <f t="shared" si="75"/>
        <v>2.2794557173472221</v>
      </c>
      <c r="AJ43" s="177">
        <f t="shared" si="76"/>
        <v>2.2810783091460904</v>
      </c>
      <c r="AL43" s="559">
        <f t="shared" si="77"/>
        <v>380</v>
      </c>
      <c r="AM43" s="469">
        <f t="shared" si="78"/>
        <v>350</v>
      </c>
      <c r="AO43">
        <f t="shared" si="49"/>
        <v>380</v>
      </c>
      <c r="AP43" s="469">
        <f t="shared" si="24"/>
        <v>350</v>
      </c>
      <c r="AQ43" s="469"/>
      <c r="AR43" s="5">
        <f t="shared" si="50"/>
        <v>2.8571428571428572</v>
      </c>
      <c r="AS43" s="5">
        <f t="shared" si="25"/>
        <v>1.0637460014287037</v>
      </c>
      <c r="AT43" s="5">
        <f t="shared" si="51"/>
        <v>1.7933968557141535</v>
      </c>
      <c r="AU43" s="177">
        <f t="shared" si="52"/>
        <v>0.37231110050004629</v>
      </c>
      <c r="AW43" s="5">
        <f t="shared" si="94"/>
        <v>12.079683950617282</v>
      </c>
      <c r="AX43" s="5">
        <f t="shared" si="79"/>
        <v>7.0864989629629616</v>
      </c>
      <c r="AY43" s="5">
        <f t="shared" si="80"/>
        <v>0.85581907298473081</v>
      </c>
      <c r="AZ43" s="5">
        <f t="shared" si="81"/>
        <v>0.481604981584765</v>
      </c>
      <c r="BA43" s="5">
        <f t="shared" si="82"/>
        <v>1.0680674607364293</v>
      </c>
      <c r="BB43" s="469">
        <f t="shared" si="83"/>
        <v>81.445059555232191</v>
      </c>
      <c r="BC43" s="5"/>
      <c r="BD43" s="177">
        <f t="shared" si="54"/>
        <v>0.80301475400628908</v>
      </c>
      <c r="BE43" s="177">
        <f t="shared" si="84"/>
        <v>1.4005882003631562</v>
      </c>
      <c r="BF43" s="177">
        <f t="shared" si="85"/>
        <v>0.3288722926169183</v>
      </c>
      <c r="BG43" s="177"/>
      <c r="BH43" s="542">
        <f t="shared" si="33"/>
        <v>7.0931596466695904E-2</v>
      </c>
      <c r="BI43" s="542">
        <f t="shared" si="34"/>
        <v>0.15497449558314427</v>
      </c>
      <c r="BJ43" s="542">
        <f t="shared" si="35"/>
        <v>1.7499999999999998E-2</v>
      </c>
      <c r="BK43" s="542">
        <f t="shared" si="36"/>
        <v>0.11885914687500002</v>
      </c>
      <c r="BL43">
        <f t="shared" si="37"/>
        <v>4.3499999999999997E-3</v>
      </c>
      <c r="BM43" s="469">
        <f t="shared" si="55"/>
        <v>366.61523892484024</v>
      </c>
      <c r="BN43" s="177">
        <f t="shared" si="86"/>
        <v>0.34200000000000003</v>
      </c>
      <c r="BO43" s="177">
        <f t="shared" si="87"/>
        <v>8.5500000000000007E-2</v>
      </c>
      <c r="BP43" s="542"/>
      <c r="BR43" s="469">
        <f t="shared" si="56"/>
        <v>427.50000000000006</v>
      </c>
      <c r="BS43" s="542">
        <f t="shared" si="40"/>
        <v>0</v>
      </c>
      <c r="BT43" s="542">
        <f t="shared" si="57"/>
        <v>0</v>
      </c>
      <c r="BU43" s="542">
        <f t="shared" si="88"/>
        <v>0</v>
      </c>
      <c r="BV43" s="542">
        <f t="shared" si="42"/>
        <v>0</v>
      </c>
      <c r="BW43" s="647">
        <f t="shared" si="89"/>
        <v>0</v>
      </c>
      <c r="BX43" s="469">
        <f t="shared" si="58"/>
        <v>0</v>
      </c>
      <c r="BY43" s="177">
        <f t="shared" si="59"/>
        <v>0.79411523892484026</v>
      </c>
      <c r="BZ43" s="5">
        <f t="shared" si="60"/>
        <v>6.3650000000000002</v>
      </c>
      <c r="CA43" s="177">
        <f t="shared" si="61"/>
        <v>0.88907634359520371</v>
      </c>
      <c r="CB43" s="5">
        <f t="shared" si="62"/>
        <v>88.907634359520372</v>
      </c>
      <c r="CC43">
        <f t="shared" si="95"/>
        <v>38</v>
      </c>
      <c r="CE43" s="576">
        <f t="shared" si="90"/>
        <v>-50</v>
      </c>
      <c r="CF43">
        <f t="shared" si="91"/>
        <v>-50</v>
      </c>
    </row>
    <row r="44" spans="5:84" x14ac:dyDescent="0.25">
      <c r="E44" s="174">
        <v>39</v>
      </c>
      <c r="F44" s="221">
        <f t="shared" si="96"/>
        <v>0.39</v>
      </c>
      <c r="G44" s="221">
        <f t="shared" si="92"/>
        <v>9.7500000000000003E-2</v>
      </c>
      <c r="H44" s="221">
        <f t="shared" si="66"/>
        <v>5.8500000000000005</v>
      </c>
      <c r="I44" s="221">
        <f t="shared" si="97"/>
        <v>0.6825</v>
      </c>
      <c r="J44" s="555">
        <f t="shared" si="1"/>
        <v>15</v>
      </c>
      <c r="K44" s="451">
        <f t="shared" si="2"/>
        <v>23.85</v>
      </c>
      <c r="L44" s="451">
        <f t="shared" si="3"/>
        <v>38.85</v>
      </c>
      <c r="M44" s="451"/>
      <c r="N44" s="221">
        <f t="shared" si="4"/>
        <v>0.61389961389961389</v>
      </c>
      <c r="O44" s="176">
        <f t="shared" si="93"/>
        <v>16.05988878003803</v>
      </c>
      <c r="P44" s="176">
        <f t="shared" si="67"/>
        <v>1.873653691004437</v>
      </c>
      <c r="Q44" s="221">
        <f t="shared" si="6"/>
        <v>1.0706592520025353</v>
      </c>
      <c r="R44" s="221">
        <f t="shared" si="68"/>
        <v>2.2942698257197187</v>
      </c>
      <c r="S44" s="451">
        <f t="shared" si="69"/>
        <v>15</v>
      </c>
      <c r="T44" s="221">
        <f t="shared" si="70"/>
        <v>1.4934723601456474</v>
      </c>
      <c r="U44" s="221">
        <f t="shared" si="10"/>
        <v>0.69695376806796872</v>
      </c>
      <c r="V44" s="221">
        <f t="shared" si="11"/>
        <v>0.43833570318740173</v>
      </c>
      <c r="W44" s="201">
        <f t="shared" si="12"/>
        <v>350</v>
      </c>
      <c r="X44" s="451">
        <f t="shared" si="48"/>
        <v>350</v>
      </c>
      <c r="Z44" s="221">
        <f t="shared" si="13"/>
        <v>3.7585690646915135</v>
      </c>
      <c r="AA44" s="177">
        <f t="shared" si="14"/>
        <v>1.1031439602868174</v>
      </c>
      <c r="AB44" s="177">
        <f t="shared" si="71"/>
        <v>0.97467647041501804</v>
      </c>
      <c r="AC44" s="177"/>
      <c r="AD44" s="177">
        <f t="shared" si="16"/>
        <v>0.24067085953878403</v>
      </c>
      <c r="AE44" s="559">
        <f t="shared" si="72"/>
        <v>2942.3174980878739</v>
      </c>
      <c r="AF44" s="542">
        <f t="shared" si="73"/>
        <v>4.6392002252886505E-2</v>
      </c>
      <c r="AH44" s="177">
        <f t="shared" si="74"/>
        <v>2.3092537888297358</v>
      </c>
      <c r="AI44" s="177">
        <f t="shared" si="75"/>
        <v>2.3092537888297358</v>
      </c>
      <c r="AJ44" s="177">
        <f t="shared" si="76"/>
        <v>2.303150954688693</v>
      </c>
      <c r="AL44" s="559">
        <f t="shared" si="77"/>
        <v>390</v>
      </c>
      <c r="AM44" s="469">
        <f t="shared" si="78"/>
        <v>350</v>
      </c>
      <c r="AO44">
        <f t="shared" si="49"/>
        <v>390</v>
      </c>
      <c r="AP44" s="469">
        <f t="shared" si="24"/>
        <v>350</v>
      </c>
      <c r="AQ44" s="469"/>
      <c r="AR44" s="5">
        <f t="shared" si="50"/>
        <v>2.8571428571428572</v>
      </c>
      <c r="AS44" s="5">
        <f t="shared" si="25"/>
        <v>1.0776517681205433</v>
      </c>
      <c r="AT44" s="5">
        <f t="shared" si="51"/>
        <v>1.7794910890223139</v>
      </c>
      <c r="AU44" s="177">
        <f t="shared" si="52"/>
        <v>0.37717811884219016</v>
      </c>
      <c r="AW44" s="5">
        <f t="shared" si="94"/>
        <v>12.079683950617282</v>
      </c>
      <c r="AX44" s="5">
        <f t="shared" si="79"/>
        <v>7.4335906666666673</v>
      </c>
      <c r="AY44" s="5">
        <f t="shared" si="80"/>
        <v>0.85581907298473081</v>
      </c>
      <c r="AZ44" s="5">
        <f t="shared" si="81"/>
        <v>0.49958876522882795</v>
      </c>
      <c r="BA44" s="5">
        <f t="shared" si="82"/>
        <v>1.0876749042374987</v>
      </c>
      <c r="BB44" s="469">
        <f t="shared" si="83"/>
        <v>82.950880975707136</v>
      </c>
      <c r="BC44" s="5"/>
      <c r="BD44" s="177">
        <f t="shared" si="54"/>
        <v>0.81881215796027762</v>
      </c>
      <c r="BE44" s="177">
        <f t="shared" si="84"/>
        <v>1.4133856420209214</v>
      </c>
      <c r="BF44" s="177">
        <f t="shared" si="85"/>
        <v>0.33187726151250752</v>
      </c>
      <c r="BG44" s="177"/>
      <c r="BH44" s="542">
        <f t="shared" si="33"/>
        <v>7.3749868502592339E-2</v>
      </c>
      <c r="BI44" s="542">
        <f t="shared" si="34"/>
        <v>0.15700039196806168</v>
      </c>
      <c r="BJ44" s="542">
        <f t="shared" si="35"/>
        <v>1.7499999999999998E-2</v>
      </c>
      <c r="BK44" s="542">
        <f t="shared" si="36"/>
        <v>0.11885914687500002</v>
      </c>
      <c r="BL44">
        <f t="shared" si="37"/>
        <v>4.3499999999999997E-3</v>
      </c>
      <c r="BM44" s="469">
        <f t="shared" si="55"/>
        <v>371.45940734565403</v>
      </c>
      <c r="BN44" s="177">
        <f t="shared" si="86"/>
        <v>0.35100000000000003</v>
      </c>
      <c r="BO44" s="177">
        <f t="shared" si="87"/>
        <v>8.7750000000000009E-2</v>
      </c>
      <c r="BP44" s="542"/>
      <c r="BR44" s="469">
        <f t="shared" si="56"/>
        <v>438.75000000000006</v>
      </c>
      <c r="BS44" s="542">
        <f t="shared" si="40"/>
        <v>0</v>
      </c>
      <c r="BT44" s="542">
        <f t="shared" si="57"/>
        <v>0</v>
      </c>
      <c r="BU44" s="542">
        <f t="shared" si="88"/>
        <v>0</v>
      </c>
      <c r="BV44" s="542">
        <f t="shared" si="42"/>
        <v>0</v>
      </c>
      <c r="BW44" s="647">
        <f t="shared" si="89"/>
        <v>0</v>
      </c>
      <c r="BX44" s="469">
        <f t="shared" si="58"/>
        <v>0</v>
      </c>
      <c r="BY44" s="177">
        <f t="shared" si="59"/>
        <v>0.81020940734565405</v>
      </c>
      <c r="BZ44" s="5">
        <f t="shared" si="60"/>
        <v>6.5325000000000006</v>
      </c>
      <c r="CA44" s="177">
        <f t="shared" si="61"/>
        <v>0.88965797740339281</v>
      </c>
      <c r="CB44" s="5">
        <f t="shared" si="62"/>
        <v>88.965797740339283</v>
      </c>
      <c r="CC44">
        <f t="shared" si="95"/>
        <v>39</v>
      </c>
      <c r="CE44" s="576">
        <f t="shared" si="90"/>
        <v>-50</v>
      </c>
      <c r="CF44">
        <f t="shared" si="91"/>
        <v>-50</v>
      </c>
    </row>
    <row r="45" spans="5:84" x14ac:dyDescent="0.25">
      <c r="E45" s="174">
        <v>40</v>
      </c>
      <c r="F45" s="221">
        <f t="shared" si="96"/>
        <v>0.4</v>
      </c>
      <c r="G45" s="221">
        <f t="shared" si="92"/>
        <v>0.1</v>
      </c>
      <c r="H45" s="221">
        <f t="shared" si="66"/>
        <v>6</v>
      </c>
      <c r="I45" s="221">
        <f t="shared" si="97"/>
        <v>0.70000000000000007</v>
      </c>
      <c r="J45" s="555">
        <f t="shared" si="1"/>
        <v>15</v>
      </c>
      <c r="K45" s="451">
        <f t="shared" si="2"/>
        <v>23.85</v>
      </c>
      <c r="L45" s="451">
        <f t="shared" si="3"/>
        <v>38.85</v>
      </c>
      <c r="M45" s="451"/>
      <c r="N45" s="221">
        <f t="shared" si="4"/>
        <v>0.61389961389961389</v>
      </c>
      <c r="O45" s="176">
        <f t="shared" si="93"/>
        <v>16.05988878003803</v>
      </c>
      <c r="P45" s="176">
        <f t="shared" si="67"/>
        <v>1.873653691004437</v>
      </c>
      <c r="Q45" s="221">
        <f t="shared" si="6"/>
        <v>1.0706592520025353</v>
      </c>
      <c r="R45" s="221">
        <f t="shared" si="68"/>
        <v>2.2942698257197187</v>
      </c>
      <c r="S45" s="451">
        <f t="shared" si="69"/>
        <v>15</v>
      </c>
      <c r="T45" s="221">
        <f t="shared" si="70"/>
        <v>1.5317665232263049</v>
      </c>
      <c r="U45" s="221">
        <f t="shared" si="10"/>
        <v>0.7148243775056089</v>
      </c>
      <c r="V45" s="221">
        <f t="shared" si="11"/>
        <v>0.44957508019220682</v>
      </c>
      <c r="W45" s="201">
        <f t="shared" si="12"/>
        <v>350</v>
      </c>
      <c r="X45" s="451">
        <f t="shared" si="48"/>
        <v>350</v>
      </c>
      <c r="Z45" s="221">
        <f t="shared" si="13"/>
        <v>3.7585690646915135</v>
      </c>
      <c r="AA45" s="177">
        <f t="shared" si="14"/>
        <v>1.1031439602868174</v>
      </c>
      <c r="AB45" s="177">
        <f t="shared" si="71"/>
        <v>0.97467647041501804</v>
      </c>
      <c r="AC45" s="177"/>
      <c r="AD45" s="177">
        <f t="shared" si="16"/>
        <v>0.24067085953878403</v>
      </c>
      <c r="AE45" s="559">
        <f t="shared" si="72"/>
        <v>3017.7615365003835</v>
      </c>
      <c r="AF45" s="542">
        <f t="shared" si="73"/>
        <v>4.6392002252886505E-2</v>
      </c>
      <c r="AH45" s="177">
        <f t="shared" si="74"/>
        <v>2.3386722205349857</v>
      </c>
      <c r="AI45" s="177">
        <f t="shared" si="75"/>
        <v>2.3386722205349857</v>
      </c>
      <c r="AJ45" s="177">
        <f t="shared" si="76"/>
        <v>2.3249423855814708</v>
      </c>
      <c r="AL45" s="559">
        <f t="shared" si="77"/>
        <v>400</v>
      </c>
      <c r="AM45" s="469">
        <f t="shared" si="78"/>
        <v>350</v>
      </c>
      <c r="AO45">
        <f t="shared" si="49"/>
        <v>400</v>
      </c>
      <c r="AP45" s="469">
        <f t="shared" si="24"/>
        <v>350</v>
      </c>
      <c r="AQ45" s="469"/>
      <c r="AR45" s="5">
        <f t="shared" si="50"/>
        <v>2.8571428571428572</v>
      </c>
      <c r="AS45" s="5">
        <f t="shared" si="25"/>
        <v>1.0913803695829931</v>
      </c>
      <c r="AT45" s="5">
        <f t="shared" si="51"/>
        <v>1.7657624875598641</v>
      </c>
      <c r="AU45" s="177">
        <f t="shared" si="52"/>
        <v>0.3819831293540476</v>
      </c>
      <c r="AW45" s="5">
        <f t="shared" si="94"/>
        <v>12.079683950617282</v>
      </c>
      <c r="AX45" s="5">
        <f t="shared" si="79"/>
        <v>7.7889185185185195</v>
      </c>
      <c r="AY45" s="5">
        <f t="shared" si="80"/>
        <v>0.85581907298473081</v>
      </c>
      <c r="AZ45" s="5">
        <f t="shared" si="81"/>
        <v>0.51784485494156796</v>
      </c>
      <c r="BA45" s="5">
        <f t="shared" si="82"/>
        <v>1.1069575360609207</v>
      </c>
      <c r="BB45" s="469">
        <f t="shared" si="83"/>
        <v>84.432341520358534</v>
      </c>
      <c r="BC45" s="5"/>
      <c r="BD45" s="177">
        <f t="shared" si="54"/>
        <v>0.8345086079732964</v>
      </c>
      <c r="BE45" s="177">
        <f t="shared" si="84"/>
        <v>1.4258590671918572</v>
      </c>
      <c r="BF45" s="177">
        <f t="shared" si="85"/>
        <v>0.33480614805580949</v>
      </c>
      <c r="BG45" s="177"/>
      <c r="BH45" s="542">
        <f t="shared" si="33"/>
        <v>7.6604507845968173E-2</v>
      </c>
      <c r="BI45" s="542">
        <f t="shared" si="34"/>
        <v>0.15900047759362235</v>
      </c>
      <c r="BJ45" s="542">
        <f t="shared" si="35"/>
        <v>1.7499999999999998E-2</v>
      </c>
      <c r="BK45" s="542">
        <f t="shared" si="36"/>
        <v>0.11885914687500002</v>
      </c>
      <c r="BL45">
        <f t="shared" si="37"/>
        <v>4.3499999999999997E-3</v>
      </c>
      <c r="BM45" s="469">
        <f t="shared" si="55"/>
        <v>376.31413231459061</v>
      </c>
      <c r="BN45" s="177">
        <f t="shared" si="86"/>
        <v>0.36000000000000004</v>
      </c>
      <c r="BO45" s="177">
        <f t="shared" si="87"/>
        <v>9.0000000000000011E-2</v>
      </c>
      <c r="BP45" s="542"/>
      <c r="BR45" s="469">
        <f t="shared" si="56"/>
        <v>450.00000000000006</v>
      </c>
      <c r="BS45" s="542">
        <f t="shared" si="40"/>
        <v>0</v>
      </c>
      <c r="BT45" s="542">
        <f t="shared" si="57"/>
        <v>0</v>
      </c>
      <c r="BU45" s="542">
        <f t="shared" si="88"/>
        <v>0</v>
      </c>
      <c r="BV45" s="542">
        <f t="shared" si="42"/>
        <v>0</v>
      </c>
      <c r="BW45" s="647">
        <f t="shared" si="89"/>
        <v>0</v>
      </c>
      <c r="BX45" s="469">
        <f t="shared" si="58"/>
        <v>0</v>
      </c>
      <c r="BY45" s="177">
        <f t="shared" si="59"/>
        <v>0.82631413231459061</v>
      </c>
      <c r="BZ45" s="5">
        <f t="shared" si="60"/>
        <v>6.7</v>
      </c>
      <c r="CA45" s="177">
        <f t="shared" si="61"/>
        <v>0.89020998621798542</v>
      </c>
      <c r="CB45" s="5">
        <f t="shared" si="62"/>
        <v>89.02099862179854</v>
      </c>
      <c r="CC45">
        <f t="shared" si="95"/>
        <v>40</v>
      </c>
      <c r="CE45" s="576">
        <f t="shared" si="90"/>
        <v>-50</v>
      </c>
      <c r="CF45">
        <f t="shared" si="91"/>
        <v>-50</v>
      </c>
    </row>
    <row r="46" spans="5:84" x14ac:dyDescent="0.25">
      <c r="E46" s="174">
        <v>41</v>
      </c>
      <c r="F46" s="221">
        <f t="shared" si="96"/>
        <v>0.41</v>
      </c>
      <c r="G46" s="221">
        <f t="shared" si="92"/>
        <v>0.10249999999999999</v>
      </c>
      <c r="H46" s="221">
        <f t="shared" si="66"/>
        <v>6.1499999999999995</v>
      </c>
      <c r="I46" s="221">
        <f t="shared" si="97"/>
        <v>0.71749999999999992</v>
      </c>
      <c r="J46" s="555">
        <f t="shared" si="1"/>
        <v>15</v>
      </c>
      <c r="K46" s="451">
        <f t="shared" si="2"/>
        <v>23.85</v>
      </c>
      <c r="L46" s="451">
        <f t="shared" si="3"/>
        <v>38.85</v>
      </c>
      <c r="M46" s="451"/>
      <c r="N46" s="221">
        <f t="shared" si="4"/>
        <v>0.61389961389961389</v>
      </c>
      <c r="O46" s="176">
        <f t="shared" si="93"/>
        <v>16.05988878003803</v>
      </c>
      <c r="P46" s="176">
        <f t="shared" si="67"/>
        <v>1.873653691004437</v>
      </c>
      <c r="Q46" s="221">
        <f t="shared" si="6"/>
        <v>1.0706592520025353</v>
      </c>
      <c r="R46" s="221">
        <f t="shared" si="68"/>
        <v>2.2942698257197187</v>
      </c>
      <c r="S46" s="451">
        <f t="shared" si="69"/>
        <v>15</v>
      </c>
      <c r="T46" s="221">
        <f t="shared" si="70"/>
        <v>1.5700606863069624</v>
      </c>
      <c r="U46" s="221">
        <f t="shared" si="10"/>
        <v>0.73269498694324897</v>
      </c>
      <c r="V46" s="221">
        <f t="shared" si="11"/>
        <v>0.46081445719701197</v>
      </c>
      <c r="W46" s="201">
        <f t="shared" si="12"/>
        <v>350</v>
      </c>
      <c r="X46" s="451">
        <f t="shared" si="48"/>
        <v>350</v>
      </c>
      <c r="Z46" s="221">
        <f t="shared" si="13"/>
        <v>3.7585690646915135</v>
      </c>
      <c r="AA46" s="177">
        <f t="shared" si="14"/>
        <v>1.1031439602868174</v>
      </c>
      <c r="AB46" s="177">
        <f t="shared" si="71"/>
        <v>0.97467647041501804</v>
      </c>
      <c r="AC46" s="177"/>
      <c r="AD46" s="177">
        <f t="shared" si="16"/>
        <v>0.24067085953878403</v>
      </c>
      <c r="AE46" s="559">
        <f t="shared" si="72"/>
        <v>3093.2055749128922</v>
      </c>
      <c r="AF46" s="542">
        <f t="shared" si="73"/>
        <v>4.6392002252886505E-2</v>
      </c>
      <c r="AH46" s="177">
        <f t="shared" si="74"/>
        <v>2.3677251633117371</v>
      </c>
      <c r="AI46" s="177">
        <f t="shared" si="75"/>
        <v>2.3677251633117371</v>
      </c>
      <c r="AJ46" s="177">
        <f t="shared" si="76"/>
        <v>2.3464630839346201</v>
      </c>
      <c r="AL46" s="559">
        <f t="shared" si="77"/>
        <v>410</v>
      </c>
      <c r="AM46" s="469">
        <f t="shared" si="78"/>
        <v>350</v>
      </c>
      <c r="AO46">
        <f t="shared" si="49"/>
        <v>410</v>
      </c>
      <c r="AP46" s="469">
        <f t="shared" si="24"/>
        <v>350</v>
      </c>
      <c r="AQ46" s="469"/>
      <c r="AR46" s="5">
        <f t="shared" si="50"/>
        <v>2.8571428571428572</v>
      </c>
      <c r="AS46" s="5">
        <f t="shared" si="25"/>
        <v>1.1049384095454773</v>
      </c>
      <c r="AT46" s="5">
        <f t="shared" si="51"/>
        <v>1.7522044475973799</v>
      </c>
      <c r="AU46" s="177">
        <f t="shared" si="52"/>
        <v>0.38672844334091705</v>
      </c>
      <c r="AW46" s="5">
        <f t="shared" si="94"/>
        <v>12.079683950617282</v>
      </c>
      <c r="AX46" s="5">
        <f t="shared" si="79"/>
        <v>8.1524825185185161</v>
      </c>
      <c r="AY46" s="5">
        <f t="shared" si="80"/>
        <v>0.85581907298473081</v>
      </c>
      <c r="AZ46" s="5">
        <f t="shared" si="81"/>
        <v>0.5363732507229847</v>
      </c>
      <c r="BA46" s="5">
        <f t="shared" si="82"/>
        <v>1.1259194427017549</v>
      </c>
      <c r="BB46" s="469">
        <f t="shared" si="83"/>
        <v>85.889747676315821</v>
      </c>
      <c r="BC46" s="5"/>
      <c r="BD46" s="177">
        <f t="shared" si="54"/>
        <v>0.8501072496794051</v>
      </c>
      <c r="BE46" s="177">
        <f t="shared" si="84"/>
        <v>1.4380195171320767</v>
      </c>
      <c r="BF46" s="177">
        <f t="shared" si="85"/>
        <v>0.33766154484556993</v>
      </c>
      <c r="BG46" s="177"/>
      <c r="BH46" s="542">
        <f t="shared" si="33"/>
        <v>7.9495056955323065E-2</v>
      </c>
      <c r="BI46" s="542">
        <f t="shared" si="34"/>
        <v>0.16097571454065671</v>
      </c>
      <c r="BJ46" s="542">
        <f t="shared" si="35"/>
        <v>1.7499999999999998E-2</v>
      </c>
      <c r="BK46" s="542">
        <f t="shared" si="36"/>
        <v>0.11885914687500002</v>
      </c>
      <c r="BL46">
        <f t="shared" si="37"/>
        <v>4.3499999999999997E-3</v>
      </c>
      <c r="BM46" s="469">
        <f t="shared" si="55"/>
        <v>381.17991837097981</v>
      </c>
      <c r="BN46" s="177">
        <f t="shared" si="86"/>
        <v>0.36899999999999999</v>
      </c>
      <c r="BO46" s="177">
        <f t="shared" si="87"/>
        <v>9.2249999999999999E-2</v>
      </c>
      <c r="BP46" s="542"/>
      <c r="BR46" s="469">
        <f t="shared" si="56"/>
        <v>461.25</v>
      </c>
      <c r="BS46" s="542">
        <f t="shared" si="40"/>
        <v>0</v>
      </c>
      <c r="BT46" s="542">
        <f t="shared" si="57"/>
        <v>0</v>
      </c>
      <c r="BU46" s="542">
        <f t="shared" si="88"/>
        <v>0</v>
      </c>
      <c r="BV46" s="542">
        <f t="shared" si="42"/>
        <v>0</v>
      </c>
      <c r="BW46" s="647">
        <f t="shared" si="89"/>
        <v>0</v>
      </c>
      <c r="BX46" s="469">
        <f t="shared" si="58"/>
        <v>0</v>
      </c>
      <c r="BY46" s="177">
        <f t="shared" si="59"/>
        <v>0.8424299183709798</v>
      </c>
      <c r="BZ46" s="5">
        <f t="shared" si="60"/>
        <v>6.8674999999999997</v>
      </c>
      <c r="CA46" s="177">
        <f t="shared" si="61"/>
        <v>0.89073442595584884</v>
      </c>
      <c r="CB46" s="5">
        <f t="shared" si="62"/>
        <v>89.073442595584879</v>
      </c>
      <c r="CC46">
        <f t="shared" si="95"/>
        <v>41</v>
      </c>
      <c r="CE46" s="576">
        <f t="shared" si="90"/>
        <v>-50</v>
      </c>
      <c r="CF46">
        <f t="shared" si="91"/>
        <v>-50</v>
      </c>
    </row>
    <row r="47" spans="5:84" x14ac:dyDescent="0.25">
      <c r="E47" s="174">
        <v>42</v>
      </c>
      <c r="F47" s="221">
        <f t="shared" si="96"/>
        <v>0.42</v>
      </c>
      <c r="G47" s="221">
        <f t="shared" si="92"/>
        <v>0.105</v>
      </c>
      <c r="H47" s="221">
        <f t="shared" si="66"/>
        <v>6.3</v>
      </c>
      <c r="I47" s="221">
        <f t="shared" si="97"/>
        <v>0.73499999999999999</v>
      </c>
      <c r="J47" s="555">
        <f t="shared" si="1"/>
        <v>15</v>
      </c>
      <c r="K47" s="451">
        <f t="shared" si="2"/>
        <v>23.85</v>
      </c>
      <c r="L47" s="451">
        <f t="shared" si="3"/>
        <v>38.85</v>
      </c>
      <c r="M47" s="451"/>
      <c r="N47" s="221">
        <f t="shared" si="4"/>
        <v>0.61389961389961389</v>
      </c>
      <c r="O47" s="176">
        <f t="shared" si="93"/>
        <v>16.05988878003803</v>
      </c>
      <c r="P47" s="176">
        <f t="shared" si="67"/>
        <v>1.873653691004437</v>
      </c>
      <c r="Q47" s="221">
        <f t="shared" si="6"/>
        <v>1.0706592520025353</v>
      </c>
      <c r="R47" s="221">
        <f t="shared" si="68"/>
        <v>2.2942698257197187</v>
      </c>
      <c r="S47" s="451">
        <f t="shared" si="69"/>
        <v>15</v>
      </c>
      <c r="T47" s="221">
        <f t="shared" si="70"/>
        <v>1.6083548493876201</v>
      </c>
      <c r="U47" s="221">
        <f t="shared" si="10"/>
        <v>0.75056559638088927</v>
      </c>
      <c r="V47" s="221">
        <f t="shared" si="11"/>
        <v>0.47205383420181718</v>
      </c>
      <c r="W47" s="201">
        <f t="shared" si="12"/>
        <v>350</v>
      </c>
      <c r="X47" s="451">
        <f t="shared" si="48"/>
        <v>350</v>
      </c>
      <c r="Z47" s="221">
        <f t="shared" si="13"/>
        <v>3.7585690646915135</v>
      </c>
      <c r="AA47" s="177">
        <f t="shared" si="14"/>
        <v>1.1031439602868174</v>
      </c>
      <c r="AB47" s="177">
        <f t="shared" si="71"/>
        <v>0.97467647041501804</v>
      </c>
      <c r="AC47" s="177"/>
      <c r="AD47" s="177">
        <f t="shared" si="16"/>
        <v>0.24067085953878403</v>
      </c>
      <c r="AE47" s="559">
        <f t="shared" si="72"/>
        <v>3168.6496133254022</v>
      </c>
      <c r="AF47" s="542">
        <f t="shared" si="73"/>
        <v>4.6392002252886505E-2</v>
      </c>
      <c r="AH47" s="177">
        <f t="shared" si="74"/>
        <v>2.3964259101539405</v>
      </c>
      <c r="AI47" s="177">
        <f t="shared" si="75"/>
        <v>2.3964259101539405</v>
      </c>
      <c r="AJ47" s="177">
        <f t="shared" si="76"/>
        <v>2.3677228964103261</v>
      </c>
      <c r="AL47" s="559">
        <f t="shared" si="77"/>
        <v>420</v>
      </c>
      <c r="AM47" s="469">
        <f t="shared" si="78"/>
        <v>350</v>
      </c>
      <c r="AO47">
        <f t="shared" si="49"/>
        <v>420</v>
      </c>
      <c r="AP47" s="469">
        <f t="shared" si="24"/>
        <v>350</v>
      </c>
      <c r="AQ47" s="469"/>
      <c r="AR47" s="5">
        <f t="shared" si="50"/>
        <v>2.8571428571428572</v>
      </c>
      <c r="AS47" s="5">
        <f t="shared" si="25"/>
        <v>1.1183320914051722</v>
      </c>
      <c r="AT47" s="5">
        <f t="shared" si="51"/>
        <v>1.738810765737685</v>
      </c>
      <c r="AU47" s="177">
        <f t="shared" si="52"/>
        <v>0.39141623199181025</v>
      </c>
      <c r="AW47" s="5">
        <f t="shared" si="94"/>
        <v>12.079683950617282</v>
      </c>
      <c r="AX47" s="5">
        <f t="shared" si="79"/>
        <v>8.5242826666666645</v>
      </c>
      <c r="AY47" s="5">
        <f t="shared" si="80"/>
        <v>0.85581907298473081</v>
      </c>
      <c r="AZ47" s="5">
        <f t="shared" si="81"/>
        <v>0.55517395257307856</v>
      </c>
      <c r="BA47" s="5">
        <f t="shared" si="82"/>
        <v>1.1445645601838235</v>
      </c>
      <c r="BB47" s="469">
        <f t="shared" si="83"/>
        <v>87.323394645365738</v>
      </c>
      <c r="BC47" s="5"/>
      <c r="BD47" s="177">
        <f t="shared" si="54"/>
        <v>0.86561105656147053</v>
      </c>
      <c r="BE47" s="177">
        <f t="shared" si="84"/>
        <v>1.4498773598406161</v>
      </c>
      <c r="BF47" s="177">
        <f t="shared" si="85"/>
        <v>0.34044588639295481</v>
      </c>
      <c r="BG47" s="177"/>
      <c r="BH47" s="542">
        <f t="shared" si="33"/>
        <v>8.2421075136561189E-2</v>
      </c>
      <c r="BI47" s="542">
        <f t="shared" si="34"/>
        <v>0.16292700656659104</v>
      </c>
      <c r="BJ47" s="542">
        <f t="shared" si="35"/>
        <v>1.7499999999999998E-2</v>
      </c>
      <c r="BK47" s="542">
        <f t="shared" si="36"/>
        <v>0.11885914687500002</v>
      </c>
      <c r="BL47">
        <f t="shared" si="37"/>
        <v>4.3499999999999997E-3</v>
      </c>
      <c r="BM47" s="469">
        <f t="shared" si="55"/>
        <v>386.05722857815221</v>
      </c>
      <c r="BN47" s="177">
        <f t="shared" si="86"/>
        <v>0.378</v>
      </c>
      <c r="BO47" s="177">
        <f t="shared" si="87"/>
        <v>9.4500000000000001E-2</v>
      </c>
      <c r="BP47" s="542"/>
      <c r="BR47" s="469">
        <f t="shared" si="56"/>
        <v>472.50000000000006</v>
      </c>
      <c r="BS47" s="542">
        <f t="shared" si="40"/>
        <v>0</v>
      </c>
      <c r="BT47" s="542">
        <f t="shared" si="57"/>
        <v>0</v>
      </c>
      <c r="BU47" s="542">
        <f t="shared" si="88"/>
        <v>0</v>
      </c>
      <c r="BV47" s="542">
        <f t="shared" si="42"/>
        <v>0</v>
      </c>
      <c r="BW47" s="647">
        <f t="shared" si="89"/>
        <v>0</v>
      </c>
      <c r="BX47" s="469">
        <f t="shared" si="58"/>
        <v>0</v>
      </c>
      <c r="BY47" s="177">
        <f t="shared" si="59"/>
        <v>0.8585572285781522</v>
      </c>
      <c r="BZ47" s="5">
        <f t="shared" si="60"/>
        <v>7.0350000000000001</v>
      </c>
      <c r="CA47" s="177">
        <f t="shared" si="61"/>
        <v>0.89123316602180358</v>
      </c>
      <c r="CB47" s="5">
        <f t="shared" si="62"/>
        <v>89.123316602180353</v>
      </c>
      <c r="CC47">
        <f t="shared" si="95"/>
        <v>42</v>
      </c>
      <c r="CE47" s="576">
        <f t="shared" si="90"/>
        <v>-50</v>
      </c>
      <c r="CF47">
        <f t="shared" si="91"/>
        <v>-50</v>
      </c>
    </row>
    <row r="48" spans="5:84" x14ac:dyDescent="0.25">
      <c r="E48" s="174">
        <v>43</v>
      </c>
      <c r="F48" s="221">
        <f t="shared" si="96"/>
        <v>0.43</v>
      </c>
      <c r="G48" s="221">
        <f t="shared" si="92"/>
        <v>0.1075</v>
      </c>
      <c r="H48" s="221">
        <f t="shared" si="66"/>
        <v>6.45</v>
      </c>
      <c r="I48" s="221">
        <f t="shared" si="97"/>
        <v>0.75249999999999995</v>
      </c>
      <c r="J48" s="555">
        <f t="shared" si="1"/>
        <v>15</v>
      </c>
      <c r="K48" s="451">
        <f t="shared" si="2"/>
        <v>23.85</v>
      </c>
      <c r="L48" s="451">
        <f t="shared" si="3"/>
        <v>38.85</v>
      </c>
      <c r="M48" s="451"/>
      <c r="N48" s="221">
        <f t="shared" si="4"/>
        <v>0.61389961389961389</v>
      </c>
      <c r="O48" s="176">
        <f t="shared" si="93"/>
        <v>16.05988878003803</v>
      </c>
      <c r="P48" s="176">
        <f t="shared" si="67"/>
        <v>1.873653691004437</v>
      </c>
      <c r="Q48" s="221">
        <f t="shared" si="6"/>
        <v>1.0706592520025353</v>
      </c>
      <c r="R48" s="221">
        <f t="shared" si="68"/>
        <v>2.2942698257197187</v>
      </c>
      <c r="S48" s="451">
        <f t="shared" si="69"/>
        <v>15</v>
      </c>
      <c r="T48" s="221">
        <f t="shared" si="70"/>
        <v>1.6466490124682778</v>
      </c>
      <c r="U48" s="221">
        <f t="shared" si="10"/>
        <v>0.76843620581852956</v>
      </c>
      <c r="V48" s="221">
        <f t="shared" si="11"/>
        <v>0.48329321120662239</v>
      </c>
      <c r="W48" s="201">
        <f t="shared" si="12"/>
        <v>350</v>
      </c>
      <c r="X48" s="451">
        <f t="shared" si="48"/>
        <v>350</v>
      </c>
      <c r="Z48" s="221">
        <f t="shared" si="13"/>
        <v>3.7585690646915135</v>
      </c>
      <c r="AA48" s="177">
        <f t="shared" si="14"/>
        <v>1.1031439602868174</v>
      </c>
      <c r="AB48" s="177">
        <f t="shared" si="71"/>
        <v>0.97467647041501804</v>
      </c>
      <c r="AC48" s="177"/>
      <c r="AD48" s="177">
        <f t="shared" si="16"/>
        <v>0.24067085953878403</v>
      </c>
      <c r="AE48" s="559">
        <f t="shared" si="72"/>
        <v>3244.0936517379114</v>
      </c>
      <c r="AF48" s="542">
        <f t="shared" si="73"/>
        <v>4.6392002252886505E-2</v>
      </c>
      <c r="AH48" s="177">
        <f t="shared" si="74"/>
        <v>2.4247869672890223</v>
      </c>
      <c r="AI48" s="177">
        <f t="shared" si="75"/>
        <v>2.4247869672890223</v>
      </c>
      <c r="AJ48" s="177">
        <f t="shared" si="76"/>
        <v>2.3887310868807572</v>
      </c>
      <c r="AL48" s="559">
        <f t="shared" si="77"/>
        <v>430</v>
      </c>
      <c r="AM48" s="469">
        <f t="shared" si="78"/>
        <v>350</v>
      </c>
      <c r="AO48">
        <f t="shared" si="49"/>
        <v>430</v>
      </c>
      <c r="AP48" s="469">
        <f t="shared" si="24"/>
        <v>350</v>
      </c>
      <c r="AQ48" s="469"/>
      <c r="AR48" s="5">
        <f t="shared" si="50"/>
        <v>2.8571428571428572</v>
      </c>
      <c r="AS48" s="5">
        <f t="shared" si="25"/>
        <v>1.1315672514015438</v>
      </c>
      <c r="AT48" s="5">
        <f t="shared" si="51"/>
        <v>1.7255756057413134</v>
      </c>
      <c r="AU48" s="177">
        <f t="shared" si="52"/>
        <v>0.39604853799054029</v>
      </c>
      <c r="AW48" s="5">
        <f t="shared" si="94"/>
        <v>12.079683950617282</v>
      </c>
      <c r="AX48" s="5">
        <f t="shared" si="79"/>
        <v>8.9043189629629609</v>
      </c>
      <c r="AY48" s="5">
        <f t="shared" si="80"/>
        <v>0.85581907298473081</v>
      </c>
      <c r="AZ48" s="5">
        <f t="shared" si="81"/>
        <v>0.57424696049184931</v>
      </c>
      <c r="BA48" s="5">
        <f t="shared" si="82"/>
        <v>1.1628966830738536</v>
      </c>
      <c r="BB48" s="469">
        <f t="shared" si="83"/>
        <v>88.733567020012714</v>
      </c>
      <c r="BC48" s="5"/>
      <c r="BD48" s="177">
        <f t="shared" si="54"/>
        <v>0.88102284323769398</v>
      </c>
      <c r="BE48" s="177">
        <f t="shared" si="84"/>
        <v>1.4614423455936647</v>
      </c>
      <c r="BF48" s="177">
        <f t="shared" si="85"/>
        <v>0.34316146216155036</v>
      </c>
      <c r="BG48" s="177"/>
      <c r="BH48" s="542">
        <f t="shared" si="33"/>
        <v>8.5382137533729335E-2</v>
      </c>
      <c r="BI48" s="542">
        <f t="shared" si="34"/>
        <v>0.1648552039385624</v>
      </c>
      <c r="BJ48" s="542">
        <f t="shared" si="35"/>
        <v>1.7499999999999998E-2</v>
      </c>
      <c r="BK48" s="542">
        <f t="shared" si="36"/>
        <v>0.11885914687500002</v>
      </c>
      <c r="BL48">
        <f t="shared" si="37"/>
        <v>4.3499999999999997E-3</v>
      </c>
      <c r="BM48" s="469">
        <f t="shared" si="55"/>
        <v>390.94648834729179</v>
      </c>
      <c r="BN48" s="177">
        <f t="shared" si="86"/>
        <v>0.38700000000000001</v>
      </c>
      <c r="BO48" s="177">
        <f t="shared" si="87"/>
        <v>9.6750000000000003E-2</v>
      </c>
      <c r="BP48" s="542"/>
      <c r="BR48" s="469">
        <f t="shared" si="56"/>
        <v>483.75</v>
      </c>
      <c r="BS48" s="542">
        <f t="shared" si="40"/>
        <v>0</v>
      </c>
      <c r="BT48" s="542">
        <f t="shared" si="57"/>
        <v>0</v>
      </c>
      <c r="BU48" s="542">
        <f t="shared" si="88"/>
        <v>0</v>
      </c>
      <c r="BV48" s="542">
        <f t="shared" si="42"/>
        <v>0</v>
      </c>
      <c r="BW48" s="647">
        <f t="shared" si="89"/>
        <v>0</v>
      </c>
      <c r="BX48" s="469">
        <f t="shared" si="58"/>
        <v>0</v>
      </c>
      <c r="BY48" s="177">
        <f t="shared" si="59"/>
        <v>0.87469648834729175</v>
      </c>
      <c r="BZ48" s="5">
        <f t="shared" si="60"/>
        <v>7.2025000000000006</v>
      </c>
      <c r="CA48" s="177">
        <f t="shared" si="61"/>
        <v>0.8917079100887062</v>
      </c>
      <c r="CB48" s="5">
        <f t="shared" si="62"/>
        <v>89.170791008870623</v>
      </c>
      <c r="CC48">
        <f t="shared" si="95"/>
        <v>43</v>
      </c>
      <c r="CE48" s="576">
        <f t="shared" si="90"/>
        <v>-50</v>
      </c>
      <c r="CF48">
        <f t="shared" si="91"/>
        <v>-50</v>
      </c>
    </row>
    <row r="49" spans="5:84" x14ac:dyDescent="0.25">
      <c r="E49" s="174">
        <v>44</v>
      </c>
      <c r="F49" s="221">
        <f t="shared" si="96"/>
        <v>0.44</v>
      </c>
      <c r="G49" s="221">
        <f t="shared" si="92"/>
        <v>0.11</v>
      </c>
      <c r="H49" s="221">
        <f t="shared" si="66"/>
        <v>6.6</v>
      </c>
      <c r="I49" s="221">
        <f t="shared" si="97"/>
        <v>0.77</v>
      </c>
      <c r="J49" s="555">
        <f t="shared" si="1"/>
        <v>15</v>
      </c>
      <c r="K49" s="451">
        <f t="shared" si="2"/>
        <v>23.85</v>
      </c>
      <c r="L49" s="451">
        <f t="shared" si="3"/>
        <v>38.85</v>
      </c>
      <c r="M49" s="451"/>
      <c r="N49" s="221">
        <f t="shared" si="4"/>
        <v>0.61389961389961389</v>
      </c>
      <c r="O49" s="176">
        <f t="shared" si="93"/>
        <v>16.05988878003803</v>
      </c>
      <c r="P49" s="176">
        <f t="shared" si="67"/>
        <v>1.873653691004437</v>
      </c>
      <c r="Q49" s="221">
        <f t="shared" si="6"/>
        <v>1.0706592520025353</v>
      </c>
      <c r="R49" s="221">
        <f t="shared" si="68"/>
        <v>2.2942698257197187</v>
      </c>
      <c r="S49" s="451">
        <f t="shared" si="69"/>
        <v>15</v>
      </c>
      <c r="T49" s="221">
        <f t="shared" si="70"/>
        <v>1.684943175548935</v>
      </c>
      <c r="U49" s="221">
        <f t="shared" si="10"/>
        <v>0.78630681525616974</v>
      </c>
      <c r="V49" s="221">
        <f t="shared" si="11"/>
        <v>0.49453258821142743</v>
      </c>
      <c r="W49" s="201">
        <f t="shared" si="12"/>
        <v>350</v>
      </c>
      <c r="X49" s="451">
        <f t="shared" si="48"/>
        <v>350</v>
      </c>
      <c r="Z49" s="221">
        <f t="shared" si="13"/>
        <v>3.7585690646915135</v>
      </c>
      <c r="AA49" s="177">
        <f t="shared" si="14"/>
        <v>1.1031439602868174</v>
      </c>
      <c r="AB49" s="177">
        <f t="shared" si="71"/>
        <v>0.97467647041501804</v>
      </c>
      <c r="AC49" s="177"/>
      <c r="AD49" s="177">
        <f t="shared" si="16"/>
        <v>0.24067085953878403</v>
      </c>
      <c r="AE49" s="559">
        <f t="shared" si="72"/>
        <v>3319.5376901504214</v>
      </c>
      <c r="AF49" s="542">
        <f t="shared" si="73"/>
        <v>4.6392002252886505E-2</v>
      </c>
      <c r="AH49" s="177">
        <f t="shared" si="74"/>
        <v>2.4528201178668287</v>
      </c>
      <c r="AI49" s="177">
        <f t="shared" si="75"/>
        <v>2.4528201178668287</v>
      </c>
      <c r="AJ49" s="177">
        <f t="shared" si="76"/>
        <v>2.4094963836050587</v>
      </c>
      <c r="AL49" s="559">
        <f t="shared" si="77"/>
        <v>440</v>
      </c>
      <c r="AM49" s="469">
        <f t="shared" si="78"/>
        <v>350</v>
      </c>
      <c r="AO49">
        <f t="shared" si="49"/>
        <v>440</v>
      </c>
      <c r="AP49" s="469">
        <f t="shared" si="24"/>
        <v>350</v>
      </c>
      <c r="AQ49" s="469"/>
      <c r="AR49" s="5">
        <f t="shared" si="50"/>
        <v>2.8571428571428572</v>
      </c>
      <c r="AS49" s="5">
        <f t="shared" si="25"/>
        <v>1.1446493883378532</v>
      </c>
      <c r="AT49" s="5">
        <f t="shared" si="51"/>
        <v>1.712493468805004</v>
      </c>
      <c r="AU49" s="177">
        <f t="shared" si="52"/>
        <v>0.40062728591824864</v>
      </c>
      <c r="AW49" s="5">
        <f t="shared" si="94"/>
        <v>12.079683950617282</v>
      </c>
      <c r="AX49" s="5">
        <f t="shared" si="79"/>
        <v>9.2925914074074054</v>
      </c>
      <c r="AY49" s="5">
        <f t="shared" si="80"/>
        <v>0.85581907298473081</v>
      </c>
      <c r="AZ49" s="5">
        <f t="shared" si="81"/>
        <v>0.59359227447929719</v>
      </c>
      <c r="BA49" s="5">
        <f t="shared" si="82"/>
        <v>1.1809194727572285</v>
      </c>
      <c r="BB49" s="469">
        <f t="shared" si="83"/>
        <v>90.120539404160553</v>
      </c>
      <c r="BC49" s="5"/>
      <c r="BD49" s="177">
        <f t="shared" si="54"/>
        <v>0.89634527743817116</v>
      </c>
      <c r="BE49" s="177">
        <f t="shared" si="84"/>
        <v>1.4727236567053432</v>
      </c>
      <c r="BF49" s="177">
        <f t="shared" si="85"/>
        <v>0.34581042825169761</v>
      </c>
      <c r="BG49" s="177"/>
      <c r="BH49" s="542">
        <f t="shared" si="33"/>
        <v>8.8377834202428326E-2</v>
      </c>
      <c r="BI49" s="542">
        <f t="shared" si="34"/>
        <v>0.166761107763471</v>
      </c>
      <c r="BJ49" s="542">
        <f t="shared" si="35"/>
        <v>1.7499999999999998E-2</v>
      </c>
      <c r="BK49" s="542">
        <f t="shared" si="36"/>
        <v>0.11885914687500002</v>
      </c>
      <c r="BL49">
        <f t="shared" si="37"/>
        <v>4.3499999999999997E-3</v>
      </c>
      <c r="BM49" s="469">
        <f t="shared" si="55"/>
        <v>395.84808884089932</v>
      </c>
      <c r="BN49" s="177">
        <f t="shared" si="86"/>
        <v>0.39600000000000002</v>
      </c>
      <c r="BO49" s="177">
        <f t="shared" si="87"/>
        <v>9.9000000000000005E-2</v>
      </c>
      <c r="BP49" s="542"/>
      <c r="BR49" s="469">
        <f t="shared" si="56"/>
        <v>495</v>
      </c>
      <c r="BS49" s="542">
        <f t="shared" si="40"/>
        <v>0</v>
      </c>
      <c r="BT49" s="542">
        <f t="shared" si="57"/>
        <v>0</v>
      </c>
      <c r="BU49" s="542">
        <f t="shared" si="88"/>
        <v>0</v>
      </c>
      <c r="BV49" s="542">
        <f t="shared" si="42"/>
        <v>0</v>
      </c>
      <c r="BW49" s="647">
        <f t="shared" si="89"/>
        <v>0</v>
      </c>
      <c r="BX49" s="469">
        <f t="shared" si="58"/>
        <v>0</v>
      </c>
      <c r="BY49" s="177">
        <f t="shared" si="59"/>
        <v>0.89084808884089939</v>
      </c>
      <c r="BZ49" s="5">
        <f t="shared" si="60"/>
        <v>7.3699999999999992</v>
      </c>
      <c r="CA49" s="177">
        <f t="shared" si="61"/>
        <v>0.89216021414988922</v>
      </c>
      <c r="CB49" s="5">
        <f t="shared" si="62"/>
        <v>89.216021414988916</v>
      </c>
      <c r="CC49">
        <f t="shared" si="95"/>
        <v>44</v>
      </c>
      <c r="CE49" s="576">
        <f t="shared" si="90"/>
        <v>-50</v>
      </c>
      <c r="CF49">
        <f t="shared" si="91"/>
        <v>-50</v>
      </c>
    </row>
    <row r="50" spans="5:84" x14ac:dyDescent="0.25">
      <c r="E50" s="174">
        <v>45</v>
      </c>
      <c r="F50" s="221">
        <f t="shared" si="96"/>
        <v>0.45</v>
      </c>
      <c r="G50" s="221">
        <f t="shared" si="92"/>
        <v>0.1125</v>
      </c>
      <c r="H50" s="221">
        <f t="shared" si="66"/>
        <v>6.75</v>
      </c>
      <c r="I50" s="221">
        <f t="shared" si="97"/>
        <v>0.78749999999999998</v>
      </c>
      <c r="J50" s="555">
        <f t="shared" si="1"/>
        <v>15</v>
      </c>
      <c r="K50" s="451">
        <f t="shared" si="2"/>
        <v>23.85</v>
      </c>
      <c r="L50" s="451">
        <f t="shared" si="3"/>
        <v>38.85</v>
      </c>
      <c r="M50" s="451"/>
      <c r="N50" s="221">
        <f t="shared" si="4"/>
        <v>0.61389961389961389</v>
      </c>
      <c r="O50" s="176">
        <f t="shared" si="93"/>
        <v>16.05988878003803</v>
      </c>
      <c r="P50" s="176">
        <f t="shared" si="67"/>
        <v>1.873653691004437</v>
      </c>
      <c r="Q50" s="221">
        <f t="shared" si="6"/>
        <v>1.0706592520025353</v>
      </c>
      <c r="R50" s="221">
        <f t="shared" si="68"/>
        <v>2.2942698257197187</v>
      </c>
      <c r="S50" s="451">
        <f t="shared" si="69"/>
        <v>15</v>
      </c>
      <c r="T50" s="221">
        <f t="shared" si="70"/>
        <v>1.7232373386295929</v>
      </c>
      <c r="U50" s="221">
        <f t="shared" si="10"/>
        <v>0.80417742469381015</v>
      </c>
      <c r="V50" s="221">
        <f t="shared" si="11"/>
        <v>0.50577196521623269</v>
      </c>
      <c r="W50" s="201">
        <f t="shared" si="12"/>
        <v>350</v>
      </c>
      <c r="X50" s="451">
        <f t="shared" si="48"/>
        <v>350</v>
      </c>
      <c r="Z50" s="221">
        <f t="shared" si="13"/>
        <v>3.7585690646915135</v>
      </c>
      <c r="AA50" s="177">
        <f t="shared" si="14"/>
        <v>1.1031439602868174</v>
      </c>
      <c r="AB50" s="177">
        <f t="shared" si="71"/>
        <v>0.97467647041501804</v>
      </c>
      <c r="AC50" s="177"/>
      <c r="AD50" s="177">
        <f t="shared" si="16"/>
        <v>0.24067085953878403</v>
      </c>
      <c r="AE50" s="559">
        <f t="shared" si="72"/>
        <v>3394.981728562931</v>
      </c>
      <c r="AF50" s="542">
        <f t="shared" si="73"/>
        <v>4.6392002252886505E-2</v>
      </c>
      <c r="AH50" s="177">
        <f t="shared" si="74"/>
        <v>2.4805364791693338</v>
      </c>
      <c r="AI50" s="177">
        <f t="shared" si="75"/>
        <v>2.4805364791693338</v>
      </c>
      <c r="AJ50" s="177">
        <f t="shared" si="76"/>
        <v>2.4300270216069144</v>
      </c>
      <c r="AL50" s="559">
        <f t="shared" si="77"/>
        <v>450</v>
      </c>
      <c r="AM50" s="469">
        <f t="shared" si="78"/>
        <v>350</v>
      </c>
      <c r="AO50">
        <f t="shared" si="49"/>
        <v>450</v>
      </c>
      <c r="AP50" s="469">
        <f t="shared" si="24"/>
        <v>350</v>
      </c>
      <c r="AQ50" s="469"/>
      <c r="AR50" s="5">
        <f t="shared" si="50"/>
        <v>2.8571428571428572</v>
      </c>
      <c r="AS50" s="5">
        <f t="shared" si="25"/>
        <v>1.1575836902790224</v>
      </c>
      <c r="AT50" s="5">
        <f t="shared" si="51"/>
        <v>1.6995591668638348</v>
      </c>
      <c r="AU50" s="177">
        <f t="shared" si="52"/>
        <v>0.40515429159765781</v>
      </c>
      <c r="AW50" s="5">
        <f t="shared" si="94"/>
        <v>12.079683950617282</v>
      </c>
      <c r="AX50" s="5">
        <f t="shared" si="79"/>
        <v>9.689099999999998</v>
      </c>
      <c r="AY50" s="5">
        <f t="shared" si="80"/>
        <v>0.85581907298473081</v>
      </c>
      <c r="AZ50" s="5">
        <f t="shared" si="81"/>
        <v>0.61320989453542185</v>
      </c>
      <c r="BA50" s="5">
        <f t="shared" si="82"/>
        <v>1.1986364650513361</v>
      </c>
      <c r="BB50" s="469">
        <f t="shared" si="83"/>
        <v>91.484576984113374</v>
      </c>
      <c r="BC50" s="5"/>
      <c r="BD50" s="177">
        <f t="shared" si="54"/>
        <v>0.91158089082742766</v>
      </c>
      <c r="BE50" s="177">
        <f t="shared" si="84"/>
        <v>1.4837299522321827</v>
      </c>
      <c r="BF50" s="177">
        <f t="shared" si="85"/>
        <v>0.34839481789755683</v>
      </c>
      <c r="BG50" s="177"/>
      <c r="BH50" s="542">
        <f t="shared" si="33"/>
        <v>9.1407769257389929E-2</v>
      </c>
      <c r="BI50" s="542">
        <f t="shared" si="34"/>
        <v>0.16864547387752507</v>
      </c>
      <c r="BJ50" s="542">
        <f t="shared" si="35"/>
        <v>1.7499999999999998E-2</v>
      </c>
      <c r="BK50" s="542">
        <f t="shared" si="36"/>
        <v>0.11885914687500002</v>
      </c>
      <c r="BL50">
        <f t="shared" si="37"/>
        <v>4.3499999999999997E-3</v>
      </c>
      <c r="BM50" s="469">
        <f t="shared" si="55"/>
        <v>400.76239000991501</v>
      </c>
      <c r="BN50" s="177">
        <f t="shared" si="86"/>
        <v>0.40500000000000003</v>
      </c>
      <c r="BO50" s="177">
        <f t="shared" si="87"/>
        <v>0.10125000000000001</v>
      </c>
      <c r="BP50" s="542"/>
      <c r="BR50" s="469">
        <f t="shared" si="56"/>
        <v>506.25000000000011</v>
      </c>
      <c r="BS50" s="542">
        <f t="shared" si="40"/>
        <v>0</v>
      </c>
      <c r="BT50" s="542">
        <f t="shared" si="57"/>
        <v>0</v>
      </c>
      <c r="BU50" s="542">
        <f t="shared" si="88"/>
        <v>0</v>
      </c>
      <c r="BV50" s="542">
        <f t="shared" si="42"/>
        <v>0</v>
      </c>
      <c r="BW50" s="647">
        <f t="shared" si="89"/>
        <v>0</v>
      </c>
      <c r="BX50" s="469">
        <f t="shared" si="58"/>
        <v>0</v>
      </c>
      <c r="BY50" s="177">
        <f t="shared" si="59"/>
        <v>0.90701239000991518</v>
      </c>
      <c r="BZ50" s="5">
        <f t="shared" si="60"/>
        <v>7.5374999999999996</v>
      </c>
      <c r="CA50" s="177">
        <f t="shared" si="61"/>
        <v>0.89259150225382633</v>
      </c>
      <c r="CB50" s="5">
        <f t="shared" si="62"/>
        <v>89.259150225382626</v>
      </c>
      <c r="CC50">
        <f t="shared" si="95"/>
        <v>45</v>
      </c>
      <c r="CE50" s="576">
        <f t="shared" si="90"/>
        <v>-50</v>
      </c>
      <c r="CF50">
        <f t="shared" si="91"/>
        <v>-50</v>
      </c>
    </row>
    <row r="51" spans="5:84" x14ac:dyDescent="0.25">
      <c r="E51" s="174">
        <v>46</v>
      </c>
      <c r="F51" s="221">
        <f t="shared" si="96"/>
        <v>0.46</v>
      </c>
      <c r="G51" s="221">
        <f t="shared" si="92"/>
        <v>0.115</v>
      </c>
      <c r="H51" s="221">
        <f t="shared" si="66"/>
        <v>6.9</v>
      </c>
      <c r="I51" s="221">
        <f t="shared" si="97"/>
        <v>0.80500000000000005</v>
      </c>
      <c r="J51" s="555">
        <f t="shared" si="1"/>
        <v>15</v>
      </c>
      <c r="K51" s="451">
        <f t="shared" si="2"/>
        <v>23.85</v>
      </c>
      <c r="L51" s="451">
        <f t="shared" si="3"/>
        <v>38.85</v>
      </c>
      <c r="M51" s="451"/>
      <c r="N51" s="221">
        <f t="shared" si="4"/>
        <v>0.61389961389961389</v>
      </c>
      <c r="O51" s="176">
        <f t="shared" si="93"/>
        <v>16.05988878003803</v>
      </c>
      <c r="P51" s="176">
        <f t="shared" si="67"/>
        <v>1.873653691004437</v>
      </c>
      <c r="Q51" s="221">
        <f t="shared" si="6"/>
        <v>1.0706592520025353</v>
      </c>
      <c r="R51" s="221">
        <f t="shared" si="68"/>
        <v>2.2942698257197187</v>
      </c>
      <c r="S51" s="451">
        <f t="shared" si="69"/>
        <v>15</v>
      </c>
      <c r="T51" s="221">
        <f t="shared" si="70"/>
        <v>1.7615315017102506</v>
      </c>
      <c r="U51" s="221">
        <f t="shared" si="10"/>
        <v>0.82204803413145033</v>
      </c>
      <c r="V51" s="221">
        <f t="shared" si="11"/>
        <v>0.51701134222103795</v>
      </c>
      <c r="W51" s="201">
        <f t="shared" si="12"/>
        <v>350</v>
      </c>
      <c r="X51" s="451">
        <f t="shared" si="48"/>
        <v>350</v>
      </c>
      <c r="Z51" s="221">
        <f t="shared" si="13"/>
        <v>3.7585690646915135</v>
      </c>
      <c r="AA51" s="177">
        <f t="shared" si="14"/>
        <v>1.1031439602868174</v>
      </c>
      <c r="AB51" s="177">
        <f t="shared" si="71"/>
        <v>0.97467647041501804</v>
      </c>
      <c r="AC51" s="177"/>
      <c r="AD51" s="177">
        <f t="shared" si="16"/>
        <v>0.24067085953878403</v>
      </c>
      <c r="AE51" s="559">
        <f t="shared" si="72"/>
        <v>3470.4257669754411</v>
      </c>
      <c r="AF51" s="542">
        <f t="shared" si="73"/>
        <v>4.6392002252886505E-2</v>
      </c>
      <c r="AH51" s="177">
        <f t="shared" si="74"/>
        <v>2.5079465541289645</v>
      </c>
      <c r="AI51" s="177">
        <f t="shared" si="75"/>
        <v>2.5079465541289645</v>
      </c>
      <c r="AJ51" s="177">
        <f t="shared" si="76"/>
        <v>2.4503307808362704</v>
      </c>
      <c r="AL51" s="559">
        <f t="shared" si="77"/>
        <v>460</v>
      </c>
      <c r="AM51" s="469">
        <f t="shared" si="78"/>
        <v>350</v>
      </c>
      <c r="AO51">
        <f t="shared" si="49"/>
        <v>460</v>
      </c>
      <c r="AP51" s="469">
        <f t="shared" si="24"/>
        <v>350</v>
      </c>
      <c r="AQ51" s="469"/>
      <c r="AR51" s="5">
        <f t="shared" si="50"/>
        <v>2.8571428571428572</v>
      </c>
      <c r="AS51" s="5">
        <f t="shared" si="25"/>
        <v>1.1703750585935169</v>
      </c>
      <c r="AT51" s="5">
        <f t="shared" si="51"/>
        <v>1.6867677985493403</v>
      </c>
      <c r="AU51" s="177">
        <f t="shared" si="52"/>
        <v>0.4096312705077309</v>
      </c>
      <c r="AW51" s="5">
        <f t="shared" si="94"/>
        <v>12.079683950617282</v>
      </c>
      <c r="AX51" s="5">
        <f t="shared" si="79"/>
        <v>10.093844740740741</v>
      </c>
      <c r="AY51" s="5">
        <f t="shared" si="80"/>
        <v>0.85581907298473081</v>
      </c>
      <c r="AZ51" s="5">
        <f t="shared" si="81"/>
        <v>0.63309982066022363</v>
      </c>
      <c r="BA51" s="5">
        <f t="shared" si="82"/>
        <v>1.2160510772231738</v>
      </c>
      <c r="BB51" s="469">
        <f t="shared" si="83"/>
        <v>92.825936054895934</v>
      </c>
      <c r="BC51" s="5"/>
      <c r="BD51" s="177">
        <f t="shared" si="54"/>
        <v>0.92673208880725189</v>
      </c>
      <c r="BE51" s="177">
        <f t="shared" si="84"/>
        <v>1.494469408235473</v>
      </c>
      <c r="BF51" s="177">
        <f t="shared" si="85"/>
        <v>0.35091655092111423</v>
      </c>
      <c r="BG51" s="177"/>
      <c r="BH51" s="542">
        <f t="shared" si="33"/>
        <v>9.4471560086755738E-2</v>
      </c>
      <c r="BI51" s="542">
        <f t="shared" si="34"/>
        <v>0.170509016348843</v>
      </c>
      <c r="BJ51" s="542">
        <f t="shared" si="35"/>
        <v>1.7499999999999998E-2</v>
      </c>
      <c r="BK51" s="542">
        <f t="shared" si="36"/>
        <v>0.11885914687500002</v>
      </c>
      <c r="BL51">
        <f t="shared" si="37"/>
        <v>4.3499999999999997E-3</v>
      </c>
      <c r="BM51" s="469">
        <f t="shared" si="55"/>
        <v>405.68972331059877</v>
      </c>
      <c r="BN51" s="177">
        <f t="shared" si="86"/>
        <v>0.41400000000000003</v>
      </c>
      <c r="BO51" s="177">
        <f t="shared" si="87"/>
        <v>0.10350000000000001</v>
      </c>
      <c r="BP51" s="542"/>
      <c r="BR51" s="469">
        <f t="shared" si="56"/>
        <v>517.50000000000011</v>
      </c>
      <c r="BS51" s="542">
        <f t="shared" si="40"/>
        <v>0</v>
      </c>
      <c r="BT51" s="542">
        <f t="shared" si="57"/>
        <v>0</v>
      </c>
      <c r="BU51" s="542">
        <f t="shared" si="88"/>
        <v>0</v>
      </c>
      <c r="BV51" s="542">
        <f t="shared" si="42"/>
        <v>0</v>
      </c>
      <c r="BW51" s="647">
        <f t="shared" si="89"/>
        <v>0</v>
      </c>
      <c r="BX51" s="469">
        <f t="shared" si="58"/>
        <v>0</v>
      </c>
      <c r="BY51" s="177">
        <f t="shared" si="59"/>
        <v>0.9231897233105989</v>
      </c>
      <c r="BZ51" s="5">
        <f t="shared" si="60"/>
        <v>7.7050000000000001</v>
      </c>
      <c r="CA51" s="177">
        <f t="shared" si="61"/>
        <v>0.89300308026184949</v>
      </c>
      <c r="CB51" s="5">
        <f t="shared" si="62"/>
        <v>89.30030802618495</v>
      </c>
      <c r="CC51">
        <f t="shared" si="95"/>
        <v>46</v>
      </c>
      <c r="CE51" s="576">
        <f t="shared" si="90"/>
        <v>-50</v>
      </c>
      <c r="CF51">
        <f t="shared" si="91"/>
        <v>-50</v>
      </c>
    </row>
    <row r="52" spans="5:84" x14ac:dyDescent="0.25">
      <c r="E52" s="174">
        <v>47</v>
      </c>
      <c r="F52" s="221">
        <f t="shared" si="96"/>
        <v>0.47</v>
      </c>
      <c r="G52" s="221">
        <f t="shared" si="92"/>
        <v>0.11749999999999999</v>
      </c>
      <c r="H52" s="221">
        <f t="shared" si="66"/>
        <v>7.05</v>
      </c>
      <c r="I52" s="221">
        <f t="shared" si="97"/>
        <v>0.82250000000000001</v>
      </c>
      <c r="J52" s="555">
        <f t="shared" si="1"/>
        <v>15</v>
      </c>
      <c r="K52" s="451">
        <f t="shared" si="2"/>
        <v>23.85</v>
      </c>
      <c r="L52" s="451">
        <f t="shared" si="3"/>
        <v>38.85</v>
      </c>
      <c r="M52" s="451"/>
      <c r="N52" s="221">
        <f t="shared" si="4"/>
        <v>0.61389961389961389</v>
      </c>
      <c r="O52" s="176">
        <f t="shared" si="93"/>
        <v>16.05988878003803</v>
      </c>
      <c r="P52" s="176">
        <f t="shared" si="67"/>
        <v>1.873653691004437</v>
      </c>
      <c r="Q52" s="221">
        <f t="shared" si="6"/>
        <v>1.0706592520025353</v>
      </c>
      <c r="R52" s="221">
        <f t="shared" si="68"/>
        <v>2.2942698257197187</v>
      </c>
      <c r="S52" s="451">
        <f t="shared" si="69"/>
        <v>15</v>
      </c>
      <c r="T52" s="221">
        <f t="shared" si="70"/>
        <v>1.7998256647909081</v>
      </c>
      <c r="U52" s="221">
        <f t="shared" si="10"/>
        <v>0.83991864356909041</v>
      </c>
      <c r="V52" s="221">
        <f t="shared" si="11"/>
        <v>0.52825071922584299</v>
      </c>
      <c r="W52" s="201">
        <f t="shared" si="12"/>
        <v>350</v>
      </c>
      <c r="X52" s="451">
        <f t="shared" si="48"/>
        <v>350</v>
      </c>
      <c r="Z52" s="221">
        <f t="shared" si="13"/>
        <v>3.7585690646915135</v>
      </c>
      <c r="AA52" s="177">
        <f t="shared" si="14"/>
        <v>1.1031439602868174</v>
      </c>
      <c r="AB52" s="177">
        <f t="shared" si="71"/>
        <v>0.97467647041501804</v>
      </c>
      <c r="AC52" s="177"/>
      <c r="AD52" s="177">
        <f t="shared" si="16"/>
        <v>0.24067085953878403</v>
      </c>
      <c r="AE52" s="559">
        <f t="shared" si="72"/>
        <v>3545.8698053879498</v>
      </c>
      <c r="AF52" s="542">
        <f t="shared" si="73"/>
        <v>4.6392002252886505E-2</v>
      </c>
      <c r="AH52" s="177">
        <f t="shared" si="74"/>
        <v>2.5350602778326392</v>
      </c>
      <c r="AI52" s="177">
        <f t="shared" si="75"/>
        <v>2.5350602778326392</v>
      </c>
      <c r="AJ52" s="177">
        <f t="shared" si="76"/>
        <v>2.4704150206167697</v>
      </c>
      <c r="AL52" s="559">
        <f t="shared" si="77"/>
        <v>470</v>
      </c>
      <c r="AM52" s="469">
        <f t="shared" si="78"/>
        <v>350</v>
      </c>
      <c r="AO52">
        <f t="shared" si="49"/>
        <v>470</v>
      </c>
      <c r="AP52" s="469">
        <f t="shared" si="24"/>
        <v>350</v>
      </c>
      <c r="AQ52" s="469"/>
      <c r="AR52" s="5">
        <f t="shared" si="50"/>
        <v>2.8571428571428572</v>
      </c>
      <c r="AS52" s="5">
        <f t="shared" si="25"/>
        <v>1.1830281296552314</v>
      </c>
      <c r="AT52" s="5">
        <f t="shared" si="51"/>
        <v>1.6741147274876258</v>
      </c>
      <c r="AU52" s="177">
        <f t="shared" si="52"/>
        <v>0.41405984537933099</v>
      </c>
      <c r="AW52" s="5">
        <f t="shared" si="94"/>
        <v>12.079683950617282</v>
      </c>
      <c r="AX52" s="5">
        <f t="shared" si="79"/>
        <v>10.506825629629629</v>
      </c>
      <c r="AY52" s="5">
        <f t="shared" si="80"/>
        <v>0.85581907298473081</v>
      </c>
      <c r="AZ52" s="5">
        <f t="shared" si="81"/>
        <v>0.65326205285370209</v>
      </c>
      <c r="BA52" s="5">
        <f t="shared" si="82"/>
        <v>1.2331666144698323</v>
      </c>
      <c r="BB52" s="469">
        <f t="shared" si="83"/>
        <v>94.144864506290048</v>
      </c>
      <c r="BC52" s="5"/>
      <c r="BD52" s="177">
        <f t="shared" si="54"/>
        <v>0.94180115941594589</v>
      </c>
      <c r="BE52" s="177">
        <f t="shared" si="84"/>
        <v>1.5049497541293337</v>
      </c>
      <c r="BF52" s="177">
        <f t="shared" si="85"/>
        <v>0.35337744226707773</v>
      </c>
      <c r="BG52" s="177"/>
      <c r="BH52" s="542">
        <f t="shared" si="33"/>
        <v>9.7568836626494196E-2</v>
      </c>
      <c r="BI52" s="542">
        <f t="shared" si="34"/>
        <v>0.17235241063914658</v>
      </c>
      <c r="BJ52" s="542">
        <f t="shared" si="35"/>
        <v>1.7499999999999998E-2</v>
      </c>
      <c r="BK52" s="542">
        <f t="shared" si="36"/>
        <v>0.11885914687500002</v>
      </c>
      <c r="BL52">
        <f t="shared" si="37"/>
        <v>4.3499999999999997E-3</v>
      </c>
      <c r="BM52" s="469">
        <f t="shared" si="55"/>
        <v>410.63039414064076</v>
      </c>
      <c r="BN52" s="177">
        <f t="shared" si="86"/>
        <v>0.42299999999999999</v>
      </c>
      <c r="BO52" s="177">
        <f t="shared" si="87"/>
        <v>0.10575</v>
      </c>
      <c r="BP52" s="542"/>
      <c r="BR52" s="469">
        <f t="shared" si="56"/>
        <v>528.74999999999989</v>
      </c>
      <c r="BS52" s="542">
        <f t="shared" si="40"/>
        <v>0</v>
      </c>
      <c r="BT52" s="542">
        <f t="shared" si="57"/>
        <v>0</v>
      </c>
      <c r="BU52" s="542">
        <f t="shared" si="88"/>
        <v>0</v>
      </c>
      <c r="BV52" s="542">
        <f t="shared" si="42"/>
        <v>0</v>
      </c>
      <c r="BW52" s="647">
        <f t="shared" si="89"/>
        <v>0</v>
      </c>
      <c r="BX52" s="469">
        <f t="shared" si="58"/>
        <v>0</v>
      </c>
      <c r="BY52" s="177">
        <f t="shared" si="59"/>
        <v>0.93938039414064078</v>
      </c>
      <c r="BZ52" s="5">
        <f t="shared" si="60"/>
        <v>7.8724999999999996</v>
      </c>
      <c r="CA52" s="177">
        <f t="shared" si="61"/>
        <v>0.89339614791352917</v>
      </c>
      <c r="CB52" s="5">
        <f t="shared" si="62"/>
        <v>89.339614791352915</v>
      </c>
      <c r="CC52">
        <f t="shared" si="95"/>
        <v>47</v>
      </c>
      <c r="CE52" s="576">
        <f t="shared" si="90"/>
        <v>-50</v>
      </c>
      <c r="CF52">
        <f t="shared" si="91"/>
        <v>-50</v>
      </c>
    </row>
    <row r="53" spans="5:84" x14ac:dyDescent="0.25">
      <c r="E53" s="174">
        <v>48</v>
      </c>
      <c r="F53" s="221">
        <f t="shared" si="96"/>
        <v>0.48</v>
      </c>
      <c r="G53" s="221">
        <f t="shared" si="92"/>
        <v>0.12</v>
      </c>
      <c r="H53" s="221">
        <f t="shared" si="66"/>
        <v>7.1999999999999993</v>
      </c>
      <c r="I53" s="221">
        <f t="shared" si="97"/>
        <v>0.84</v>
      </c>
      <c r="J53" s="555">
        <f t="shared" si="1"/>
        <v>15</v>
      </c>
      <c r="K53" s="451">
        <f t="shared" si="2"/>
        <v>23.85</v>
      </c>
      <c r="L53" s="451">
        <f t="shared" si="3"/>
        <v>38.85</v>
      </c>
      <c r="M53" s="451"/>
      <c r="N53" s="221">
        <f t="shared" si="4"/>
        <v>0.61389961389961389</v>
      </c>
      <c r="O53" s="176">
        <f t="shared" si="93"/>
        <v>16.05988878003803</v>
      </c>
      <c r="P53" s="176">
        <f t="shared" si="67"/>
        <v>1.873653691004437</v>
      </c>
      <c r="Q53" s="221">
        <f t="shared" si="6"/>
        <v>1.0706592520025353</v>
      </c>
      <c r="R53" s="221">
        <f t="shared" si="68"/>
        <v>2.2942698257197187</v>
      </c>
      <c r="S53" s="451">
        <f t="shared" si="69"/>
        <v>15</v>
      </c>
      <c r="T53" s="221">
        <f t="shared" si="70"/>
        <v>1.8381198278715656</v>
      </c>
      <c r="U53" s="221">
        <f t="shared" si="10"/>
        <v>0.85778925300673059</v>
      </c>
      <c r="V53" s="221">
        <f t="shared" si="11"/>
        <v>0.53949009623064803</v>
      </c>
      <c r="W53" s="201">
        <f t="shared" si="12"/>
        <v>350</v>
      </c>
      <c r="X53" s="451">
        <f t="shared" si="48"/>
        <v>350</v>
      </c>
      <c r="Z53" s="221">
        <f t="shared" si="13"/>
        <v>3.7585690646915135</v>
      </c>
      <c r="AA53" s="177">
        <f t="shared" si="14"/>
        <v>1.1031439602868174</v>
      </c>
      <c r="AB53" s="177">
        <f t="shared" si="71"/>
        <v>0.97467647041501804</v>
      </c>
      <c r="AC53" s="177"/>
      <c r="AD53" s="177">
        <f t="shared" si="16"/>
        <v>0.24067085953878403</v>
      </c>
      <c r="AE53" s="559">
        <f t="shared" si="72"/>
        <v>3621.3138438004594</v>
      </c>
      <c r="AF53" s="542">
        <f t="shared" si="73"/>
        <v>4.6392002252886505E-2</v>
      </c>
      <c r="AH53" s="177">
        <f t="shared" si="74"/>
        <v>2.5618870595954162</v>
      </c>
      <c r="AI53" s="177">
        <f t="shared" si="75"/>
        <v>2.5618870595954162</v>
      </c>
      <c r="AJ53" s="177">
        <f t="shared" si="76"/>
        <v>2.4902867108114197</v>
      </c>
      <c r="AL53" s="559">
        <f t="shared" si="77"/>
        <v>480</v>
      </c>
      <c r="AM53" s="469">
        <f t="shared" si="78"/>
        <v>350</v>
      </c>
      <c r="AO53">
        <f t="shared" si="49"/>
        <v>480</v>
      </c>
      <c r="AP53" s="469">
        <f t="shared" si="24"/>
        <v>350</v>
      </c>
      <c r="AQ53" s="469"/>
      <c r="AR53" s="5">
        <f t="shared" si="50"/>
        <v>2.8571428571428572</v>
      </c>
      <c r="AS53" s="5">
        <f t="shared" si="25"/>
        <v>1.1955472944778607</v>
      </c>
      <c r="AT53" s="5">
        <f t="shared" si="51"/>
        <v>1.6615955626649965</v>
      </c>
      <c r="AU53" s="177">
        <f t="shared" si="52"/>
        <v>0.41844155306725123</v>
      </c>
      <c r="AW53" s="5">
        <f t="shared" si="94"/>
        <v>12.079683950617282</v>
      </c>
      <c r="AX53" s="5">
        <f t="shared" si="79"/>
        <v>10.928042666666663</v>
      </c>
      <c r="AY53" s="5">
        <f t="shared" si="80"/>
        <v>0.85581907298473081</v>
      </c>
      <c r="AZ53" s="5">
        <f t="shared" si="81"/>
        <v>0.67369659111585767</v>
      </c>
      <c r="BA53" s="5">
        <f t="shared" si="82"/>
        <v>1.2499862759135973</v>
      </c>
      <c r="BB53" s="469">
        <f t="shared" si="83"/>
        <v>95.441602272467151</v>
      </c>
      <c r="BC53" s="5"/>
      <c r="BD53" s="177">
        <f t="shared" si="54"/>
        <v>0.95679028142470257</v>
      </c>
      <c r="BE53" s="177">
        <f t="shared" si="84"/>
        <v>1.5151783055697883</v>
      </c>
      <c r="BF53" s="177">
        <f t="shared" si="85"/>
        <v>0.3557792097255642</v>
      </c>
      <c r="BG53" s="177"/>
      <c r="BH53" s="542">
        <f t="shared" si="33"/>
        <v>0.10069924068916378</v>
      </c>
      <c r="BI53" s="542">
        <f t="shared" si="34"/>
        <v>0.17417629646424335</v>
      </c>
      <c r="BJ53" s="542">
        <f t="shared" si="35"/>
        <v>1.7499999999999998E-2</v>
      </c>
      <c r="BK53" s="542">
        <f t="shared" si="36"/>
        <v>0.11885914687500002</v>
      </c>
      <c r="BL53">
        <f t="shared" si="37"/>
        <v>4.3499999999999997E-3</v>
      </c>
      <c r="BM53" s="469">
        <f t="shared" si="55"/>
        <v>415.58468402840714</v>
      </c>
      <c r="BN53" s="177">
        <f t="shared" si="86"/>
        <v>0.432</v>
      </c>
      <c r="BO53" s="177">
        <f t="shared" si="87"/>
        <v>0.108</v>
      </c>
      <c r="BP53" s="542"/>
      <c r="BR53" s="469">
        <f t="shared" si="56"/>
        <v>540</v>
      </c>
      <c r="BS53" s="542">
        <f t="shared" si="40"/>
        <v>0</v>
      </c>
      <c r="BT53" s="542">
        <f t="shared" si="57"/>
        <v>0</v>
      </c>
      <c r="BU53" s="542">
        <f t="shared" si="88"/>
        <v>0</v>
      </c>
      <c r="BV53" s="542">
        <f t="shared" si="42"/>
        <v>0</v>
      </c>
      <c r="BW53" s="647">
        <f t="shared" si="89"/>
        <v>0</v>
      </c>
      <c r="BX53" s="469">
        <f t="shared" si="58"/>
        <v>0</v>
      </c>
      <c r="BY53" s="177">
        <f t="shared" si="59"/>
        <v>0.95558468402840713</v>
      </c>
      <c r="BZ53" s="5">
        <f t="shared" si="60"/>
        <v>8.0399999999999991</v>
      </c>
      <c r="CA53" s="177">
        <f t="shared" si="61"/>
        <v>0.89377180943835244</v>
      </c>
      <c r="CB53" s="5">
        <f t="shared" si="62"/>
        <v>89.377180943835242</v>
      </c>
      <c r="CC53">
        <f t="shared" si="95"/>
        <v>48</v>
      </c>
      <c r="CE53" s="576">
        <f t="shared" si="90"/>
        <v>-50</v>
      </c>
      <c r="CF53">
        <f t="shared" si="91"/>
        <v>-50</v>
      </c>
    </row>
    <row r="54" spans="5:84" x14ac:dyDescent="0.25">
      <c r="E54" s="174">
        <v>49</v>
      </c>
      <c r="F54" s="221">
        <f t="shared" si="96"/>
        <v>0.49</v>
      </c>
      <c r="G54" s="221">
        <f t="shared" si="92"/>
        <v>0.1225</v>
      </c>
      <c r="H54" s="221">
        <f t="shared" si="66"/>
        <v>7.35</v>
      </c>
      <c r="I54" s="221">
        <f t="shared" si="97"/>
        <v>0.85749999999999993</v>
      </c>
      <c r="J54" s="555">
        <f t="shared" si="1"/>
        <v>15</v>
      </c>
      <c r="K54" s="451">
        <f t="shared" si="2"/>
        <v>23.85</v>
      </c>
      <c r="L54" s="451">
        <f t="shared" si="3"/>
        <v>38.85</v>
      </c>
      <c r="M54" s="451"/>
      <c r="N54" s="221">
        <f t="shared" si="4"/>
        <v>0.61389961389961389</v>
      </c>
      <c r="O54" s="176">
        <f t="shared" si="93"/>
        <v>16.05988878003803</v>
      </c>
      <c r="P54" s="176">
        <f t="shared" si="67"/>
        <v>1.873653691004437</v>
      </c>
      <c r="Q54" s="221">
        <f t="shared" si="6"/>
        <v>1.0706592520025353</v>
      </c>
      <c r="R54" s="221">
        <f t="shared" si="68"/>
        <v>2.2942698257197187</v>
      </c>
      <c r="S54" s="451">
        <f t="shared" si="69"/>
        <v>15</v>
      </c>
      <c r="T54" s="221">
        <f t="shared" si="70"/>
        <v>1.8764139909522233</v>
      </c>
      <c r="U54" s="221">
        <f t="shared" si="10"/>
        <v>0.87565986244437088</v>
      </c>
      <c r="V54" s="221">
        <f t="shared" si="11"/>
        <v>0.55072947323545329</v>
      </c>
      <c r="W54" s="201">
        <f t="shared" si="12"/>
        <v>350</v>
      </c>
      <c r="X54" s="451">
        <f t="shared" si="48"/>
        <v>350</v>
      </c>
      <c r="Z54" s="221">
        <f t="shared" si="13"/>
        <v>3.7585690646915135</v>
      </c>
      <c r="AA54" s="177">
        <f t="shared" si="14"/>
        <v>1.1031439602868174</v>
      </c>
      <c r="AB54" s="177">
        <f t="shared" si="71"/>
        <v>0.97467647041501804</v>
      </c>
      <c r="AC54" s="177"/>
      <c r="AD54" s="177">
        <f t="shared" si="16"/>
        <v>0.24067085953878403</v>
      </c>
      <c r="AE54" s="559">
        <f t="shared" si="72"/>
        <v>3696.7578822129694</v>
      </c>
      <c r="AF54" s="542">
        <f t="shared" si="73"/>
        <v>4.6392002252886505E-2</v>
      </c>
      <c r="AH54" s="177">
        <f t="shared" si="74"/>
        <v>2.5884358211089569</v>
      </c>
      <c r="AI54" s="177">
        <f t="shared" si="75"/>
        <v>2.5884358211089569</v>
      </c>
      <c r="AJ54" s="177">
        <f t="shared" si="76"/>
        <v>2.5099524600807088</v>
      </c>
      <c r="AL54" s="559">
        <f t="shared" si="77"/>
        <v>490</v>
      </c>
      <c r="AM54" s="469">
        <f t="shared" si="78"/>
        <v>350</v>
      </c>
      <c r="AO54">
        <f t="shared" si="49"/>
        <v>490</v>
      </c>
      <c r="AP54" s="469">
        <f t="shared" si="24"/>
        <v>350</v>
      </c>
      <c r="AQ54" s="469"/>
      <c r="AR54" s="5">
        <f t="shared" si="50"/>
        <v>2.8571428571428572</v>
      </c>
      <c r="AS54" s="5">
        <f t="shared" si="25"/>
        <v>1.2079367165175132</v>
      </c>
      <c r="AT54" s="5">
        <f t="shared" si="51"/>
        <v>1.649206140625344</v>
      </c>
      <c r="AU54" s="177">
        <f t="shared" si="52"/>
        <v>0.42277785078112962</v>
      </c>
      <c r="AW54" s="5">
        <f t="shared" si="94"/>
        <v>12.079683950617282</v>
      </c>
      <c r="AX54" s="5">
        <f t="shared" si="79"/>
        <v>11.357495851851851</v>
      </c>
      <c r="AY54" s="5">
        <f t="shared" si="80"/>
        <v>0.85581907298473081</v>
      </c>
      <c r="AZ54" s="5">
        <f t="shared" si="81"/>
        <v>0.69440343544669025</v>
      </c>
      <c r="BA54" s="5">
        <f t="shared" si="82"/>
        <v>1.266513160157428</v>
      </c>
      <c r="BB54" s="469">
        <f t="shared" si="83"/>
        <v>96.716381748649198</v>
      </c>
      <c r="BC54" s="5"/>
      <c r="BD54" s="177">
        <f t="shared" si="54"/>
        <v>0.97170153171872842</v>
      </c>
      <c r="BE54" s="177">
        <f t="shared" si="84"/>
        <v>1.5251619942787922</v>
      </c>
      <c r="BF54" s="177">
        <f t="shared" si="85"/>
        <v>0.3581234809350835</v>
      </c>
      <c r="BG54" s="177"/>
      <c r="BH54" s="542">
        <f t="shared" si="33"/>
        <v>0.10386242534189752</v>
      </c>
      <c r="BI54" s="542">
        <f t="shared" si="34"/>
        <v>0.17598128038764521</v>
      </c>
      <c r="BJ54" s="542">
        <f t="shared" si="35"/>
        <v>1.7499999999999998E-2</v>
      </c>
      <c r="BK54" s="542">
        <f t="shared" si="36"/>
        <v>0.11885914687500002</v>
      </c>
      <c r="BL54">
        <f t="shared" si="37"/>
        <v>4.3499999999999997E-3</v>
      </c>
      <c r="BM54" s="469">
        <f t="shared" si="55"/>
        <v>420.55285260454286</v>
      </c>
      <c r="BN54" s="177">
        <f t="shared" si="86"/>
        <v>0.441</v>
      </c>
      <c r="BO54" s="177">
        <f t="shared" si="87"/>
        <v>0.11025</v>
      </c>
      <c r="BP54" s="542"/>
      <c r="BR54" s="469">
        <f t="shared" si="56"/>
        <v>551.25</v>
      </c>
      <c r="BS54" s="542">
        <f t="shared" si="40"/>
        <v>0</v>
      </c>
      <c r="BT54" s="542">
        <f t="shared" si="57"/>
        <v>0</v>
      </c>
      <c r="BU54" s="542">
        <f t="shared" si="88"/>
        <v>0</v>
      </c>
      <c r="BV54" s="542">
        <f t="shared" si="42"/>
        <v>0</v>
      </c>
      <c r="BW54" s="647">
        <f t="shared" si="89"/>
        <v>0</v>
      </c>
      <c r="BX54" s="469">
        <f t="shared" si="58"/>
        <v>0</v>
      </c>
      <c r="BY54" s="177">
        <f t="shared" si="59"/>
        <v>0.9718028526045428</v>
      </c>
      <c r="BZ54" s="5">
        <f t="shared" si="60"/>
        <v>8.2074999999999996</v>
      </c>
      <c r="CA54" s="177">
        <f t="shared" si="61"/>
        <v>0.89413108291455889</v>
      </c>
      <c r="CB54" s="5">
        <f t="shared" si="62"/>
        <v>89.413108291455885</v>
      </c>
      <c r="CC54">
        <f t="shared" si="95"/>
        <v>49</v>
      </c>
      <c r="CE54" s="576">
        <f t="shared" si="90"/>
        <v>-50</v>
      </c>
      <c r="CF54">
        <f t="shared" si="91"/>
        <v>-50</v>
      </c>
    </row>
    <row r="55" spans="5:84" x14ac:dyDescent="0.25">
      <c r="E55" s="174">
        <v>50</v>
      </c>
      <c r="F55" s="221">
        <f t="shared" si="96"/>
        <v>0.5</v>
      </c>
      <c r="G55" s="221">
        <f t="shared" si="92"/>
        <v>0.125</v>
      </c>
      <c r="H55" s="221">
        <f t="shared" si="66"/>
        <v>7.5</v>
      </c>
      <c r="I55" s="221">
        <f t="shared" si="97"/>
        <v>0.875</v>
      </c>
      <c r="J55" s="555">
        <f t="shared" si="1"/>
        <v>15</v>
      </c>
      <c r="K55" s="451">
        <f t="shared" si="2"/>
        <v>23.85</v>
      </c>
      <c r="L55" s="451">
        <f t="shared" si="3"/>
        <v>38.85</v>
      </c>
      <c r="M55" s="451"/>
      <c r="N55" s="221">
        <f t="shared" si="4"/>
        <v>0.61389961389961389</v>
      </c>
      <c r="O55" s="176">
        <f t="shared" si="93"/>
        <v>16.05988878003803</v>
      </c>
      <c r="P55" s="176">
        <f t="shared" si="67"/>
        <v>1.873653691004437</v>
      </c>
      <c r="Q55" s="221">
        <f t="shared" si="6"/>
        <v>1.0706592520025353</v>
      </c>
      <c r="R55" s="221">
        <f t="shared" si="68"/>
        <v>2.2942698257197187</v>
      </c>
      <c r="S55" s="451">
        <f t="shared" si="69"/>
        <v>15</v>
      </c>
      <c r="T55" s="221">
        <f t="shared" si="70"/>
        <v>1.914708154032881</v>
      </c>
      <c r="U55" s="221">
        <f t="shared" si="10"/>
        <v>0.89353047188201107</v>
      </c>
      <c r="V55" s="221">
        <f t="shared" si="11"/>
        <v>0.56196885024025856</v>
      </c>
      <c r="W55" s="201">
        <f t="shared" si="12"/>
        <v>350</v>
      </c>
      <c r="X55" s="451">
        <f t="shared" si="48"/>
        <v>350</v>
      </c>
      <c r="Z55" s="221">
        <f t="shared" si="13"/>
        <v>3.7585690646915135</v>
      </c>
      <c r="AA55" s="177">
        <f t="shared" si="14"/>
        <v>1.1031439602868174</v>
      </c>
      <c r="AB55" s="177">
        <f t="shared" si="71"/>
        <v>0.97467647041501804</v>
      </c>
      <c r="AC55" s="177"/>
      <c r="AD55" s="177">
        <f t="shared" si="16"/>
        <v>0.24067085953878403</v>
      </c>
      <c r="AE55" s="559">
        <f t="shared" si="72"/>
        <v>3772.2019206254786</v>
      </c>
      <c r="AF55" s="542">
        <f t="shared" si="73"/>
        <v>4.6392002252886505E-2</v>
      </c>
      <c r="AH55" s="177">
        <f t="shared" si="74"/>
        <v>2.6147150311033038</v>
      </c>
      <c r="AI55" s="177">
        <f t="shared" si="75"/>
        <v>2.6147150311033038</v>
      </c>
      <c r="AJ55" s="177">
        <f t="shared" si="76"/>
        <v>2.5294185415580026</v>
      </c>
      <c r="AL55" s="559">
        <f t="shared" si="77"/>
        <v>500</v>
      </c>
      <c r="AM55" s="469">
        <f t="shared" si="78"/>
        <v>350</v>
      </c>
      <c r="AO55">
        <f t="shared" si="49"/>
        <v>500</v>
      </c>
      <c r="AP55" s="469">
        <f t="shared" si="24"/>
        <v>350</v>
      </c>
      <c r="AQ55" s="469"/>
      <c r="AR55" s="5">
        <f t="shared" si="50"/>
        <v>2.8571428571428572</v>
      </c>
      <c r="AS55" s="5">
        <f t="shared" si="25"/>
        <v>1.2202003478482082</v>
      </c>
      <c r="AT55" s="5">
        <f t="shared" si="51"/>
        <v>1.636942509294649</v>
      </c>
      <c r="AU55" s="177">
        <f t="shared" si="52"/>
        <v>0.42707012174687287</v>
      </c>
      <c r="AW55" s="5">
        <f t="shared" si="94"/>
        <v>12.079683950617282</v>
      </c>
      <c r="AX55" s="5">
        <f t="shared" si="79"/>
        <v>11.795185185185183</v>
      </c>
      <c r="AY55" s="5">
        <f t="shared" si="80"/>
        <v>0.85581907298473081</v>
      </c>
      <c r="AZ55" s="5">
        <f t="shared" si="81"/>
        <v>0.71538258584619974</v>
      </c>
      <c r="BA55" s="5">
        <f t="shared" si="82"/>
        <v>1.2827502704414211</v>
      </c>
      <c r="BB55" s="469">
        <f t="shared" si="83"/>
        <v>97.969428177843412</v>
      </c>
      <c r="BC55" s="5"/>
      <c r="BD55" s="177">
        <f t="shared" si="54"/>
        <v>0.98653689203958239</v>
      </c>
      <c r="BE55" s="177">
        <f t="shared" si="84"/>
        <v>1.5349073951451935</v>
      </c>
      <c r="BF55" s="177">
        <f t="shared" si="85"/>
        <v>0.3604117997461182</v>
      </c>
      <c r="BG55" s="177"/>
      <c r="BH55" s="542">
        <f t="shared" si="33"/>
        <v>0.10705805432906304</v>
      </c>
      <c r="BI55" s="542">
        <f t="shared" si="34"/>
        <v>0.17776793817713588</v>
      </c>
      <c r="BJ55" s="542">
        <f t="shared" si="35"/>
        <v>1.7499999999999998E-2</v>
      </c>
      <c r="BK55" s="542">
        <f t="shared" si="36"/>
        <v>0.11885914687500002</v>
      </c>
      <c r="BL55">
        <f t="shared" si="37"/>
        <v>4.3499999999999997E-3</v>
      </c>
      <c r="BM55" s="469">
        <f t="shared" si="55"/>
        <v>425.53513938119897</v>
      </c>
      <c r="BN55" s="177">
        <f t="shared" si="86"/>
        <v>0.45</v>
      </c>
      <c r="BO55" s="177">
        <f t="shared" si="87"/>
        <v>0.1125</v>
      </c>
      <c r="BP55" s="542"/>
      <c r="BR55" s="469">
        <f t="shared" si="56"/>
        <v>562.5</v>
      </c>
      <c r="BS55" s="542">
        <f t="shared" si="40"/>
        <v>0</v>
      </c>
      <c r="BT55" s="542">
        <f t="shared" si="57"/>
        <v>0</v>
      </c>
      <c r="BU55" s="542">
        <f t="shared" si="88"/>
        <v>0</v>
      </c>
      <c r="BV55" s="542">
        <f t="shared" si="42"/>
        <v>0</v>
      </c>
      <c r="BW55" s="647">
        <f t="shared" si="89"/>
        <v>0</v>
      </c>
      <c r="BX55" s="469">
        <f t="shared" si="58"/>
        <v>0</v>
      </c>
      <c r="BY55" s="177">
        <f t="shared" si="59"/>
        <v>0.98803513938119902</v>
      </c>
      <c r="BZ55" s="5">
        <f t="shared" si="60"/>
        <v>8.375</v>
      </c>
      <c r="CA55" s="177">
        <f t="shared" si="61"/>
        <v>0.89447490854482692</v>
      </c>
      <c r="CB55" s="5">
        <f t="shared" si="62"/>
        <v>89.447490854482695</v>
      </c>
      <c r="CC55">
        <f t="shared" si="95"/>
        <v>50</v>
      </c>
      <c r="CE55" s="576">
        <f t="shared" si="90"/>
        <v>-50</v>
      </c>
      <c r="CF55">
        <f t="shared" si="91"/>
        <v>-50</v>
      </c>
    </row>
    <row r="56" spans="5:84" x14ac:dyDescent="0.25">
      <c r="E56" s="174">
        <v>51</v>
      </c>
      <c r="F56" s="221">
        <f t="shared" si="96"/>
        <v>0.51</v>
      </c>
      <c r="G56" s="221">
        <f t="shared" si="92"/>
        <v>0.1275</v>
      </c>
      <c r="H56" s="221">
        <f t="shared" si="66"/>
        <v>7.65</v>
      </c>
      <c r="I56" s="221">
        <f t="shared" si="97"/>
        <v>0.89250000000000007</v>
      </c>
      <c r="J56" s="555">
        <f t="shared" si="1"/>
        <v>15</v>
      </c>
      <c r="K56" s="451">
        <f t="shared" si="2"/>
        <v>23.85</v>
      </c>
      <c r="L56" s="451">
        <f t="shared" si="3"/>
        <v>38.85</v>
      </c>
      <c r="M56" s="451"/>
      <c r="N56" s="221">
        <f t="shared" si="4"/>
        <v>0.61389961389961389</v>
      </c>
      <c r="O56" s="176">
        <f t="shared" si="93"/>
        <v>16.05988878003803</v>
      </c>
      <c r="P56" s="176">
        <f t="shared" si="67"/>
        <v>1.873653691004437</v>
      </c>
      <c r="Q56" s="221">
        <f t="shared" si="6"/>
        <v>1.0706592520025353</v>
      </c>
      <c r="R56" s="221">
        <f t="shared" si="68"/>
        <v>2.2942698257197187</v>
      </c>
      <c r="S56" s="451">
        <f t="shared" si="69"/>
        <v>15</v>
      </c>
      <c r="T56" s="221">
        <f t="shared" si="70"/>
        <v>1.9530023171135387</v>
      </c>
      <c r="U56" s="221">
        <f t="shared" si="10"/>
        <v>0.91140108131965136</v>
      </c>
      <c r="V56" s="221">
        <f t="shared" si="11"/>
        <v>0.57320822724506371</v>
      </c>
      <c r="W56" s="201">
        <f t="shared" si="12"/>
        <v>350</v>
      </c>
      <c r="X56" s="451">
        <f t="shared" si="48"/>
        <v>350</v>
      </c>
      <c r="Z56" s="221">
        <f t="shared" si="13"/>
        <v>3.7585690646915135</v>
      </c>
      <c r="AA56" s="177">
        <f t="shared" si="14"/>
        <v>1.1031439602868174</v>
      </c>
      <c r="AB56" s="177">
        <f t="shared" si="71"/>
        <v>0.97467647041501804</v>
      </c>
      <c r="AC56" s="177"/>
      <c r="AD56" s="177">
        <f t="shared" si="16"/>
        <v>0.24067085953878403</v>
      </c>
      <c r="AE56" s="559">
        <f t="shared" si="72"/>
        <v>3847.6459590379886</v>
      </c>
      <c r="AF56" s="542">
        <f t="shared" si="73"/>
        <v>4.6392002252886505E-2</v>
      </c>
      <c r="AH56" s="177">
        <f t="shared" si="74"/>
        <v>2.640732736903737</v>
      </c>
      <c r="AI56" s="177">
        <f t="shared" si="75"/>
        <v>2.640732736903737</v>
      </c>
      <c r="AJ56" s="177">
        <f t="shared" si="76"/>
        <v>2.5486909162249907</v>
      </c>
      <c r="AL56" s="559">
        <f t="shared" si="77"/>
        <v>510</v>
      </c>
      <c r="AM56" s="469">
        <f t="shared" si="78"/>
        <v>350</v>
      </c>
      <c r="AO56">
        <f t="shared" si="49"/>
        <v>510</v>
      </c>
      <c r="AP56" s="469">
        <f t="shared" si="24"/>
        <v>350</v>
      </c>
      <c r="AQ56" s="469"/>
      <c r="AR56" s="5">
        <f t="shared" si="50"/>
        <v>2.8571428571428572</v>
      </c>
      <c r="AS56" s="5">
        <f t="shared" si="25"/>
        <v>1.2323419438884105</v>
      </c>
      <c r="AT56" s="5">
        <f t="shared" si="51"/>
        <v>1.6248009132544468</v>
      </c>
      <c r="AU56" s="177">
        <f t="shared" si="52"/>
        <v>0.43131968036094365</v>
      </c>
      <c r="AW56" s="5">
        <f t="shared" si="94"/>
        <v>12.079683950617282</v>
      </c>
      <c r="AX56" s="5">
        <f t="shared" si="79"/>
        <v>12.241110666666664</v>
      </c>
      <c r="AY56" s="5">
        <f t="shared" si="80"/>
        <v>0.85581907298473081</v>
      </c>
      <c r="AZ56" s="5">
        <f t="shared" si="81"/>
        <v>0.73663404231438623</v>
      </c>
      <c r="BA56" s="5">
        <f t="shared" si="82"/>
        <v>1.2987005194363614</v>
      </c>
      <c r="BB56" s="469">
        <f t="shared" si="83"/>
        <v>99.200960010358671</v>
      </c>
      <c r="BC56" s="5"/>
      <c r="BD56" s="177">
        <f t="shared" si="54"/>
        <v>1.0012982551556679</v>
      </c>
      <c r="BE56" s="177">
        <f t="shared" si="84"/>
        <v>1.5444207509003818</v>
      </c>
      <c r="BF56" s="177">
        <f t="shared" si="85"/>
        <v>0.36264563201521616</v>
      </c>
      <c r="BG56" s="177"/>
      <c r="BH56" s="542">
        <f t="shared" si="33"/>
        <v>0.11028580153555637</v>
      </c>
      <c r="BI56" s="542">
        <f t="shared" si="34"/>
        <v>0.17953681695024282</v>
      </c>
      <c r="BJ56" s="542">
        <f t="shared" si="35"/>
        <v>1.7499999999999998E-2</v>
      </c>
      <c r="BK56" s="542">
        <f t="shared" si="36"/>
        <v>0.11885914687500002</v>
      </c>
      <c r="BL56">
        <f t="shared" si="37"/>
        <v>4.3499999999999997E-3</v>
      </c>
      <c r="BM56" s="469">
        <f t="shared" si="55"/>
        <v>430.53176536079923</v>
      </c>
      <c r="BN56" s="177">
        <f t="shared" si="86"/>
        <v>0.45900000000000002</v>
      </c>
      <c r="BO56" s="177">
        <f t="shared" si="87"/>
        <v>0.11475</v>
      </c>
      <c r="BP56" s="542"/>
      <c r="BR56" s="469">
        <f t="shared" si="56"/>
        <v>573.75</v>
      </c>
      <c r="BS56" s="542">
        <f t="shared" si="40"/>
        <v>0</v>
      </c>
      <c r="BT56" s="542">
        <f t="shared" si="57"/>
        <v>0</v>
      </c>
      <c r="BU56" s="542">
        <f t="shared" si="88"/>
        <v>0</v>
      </c>
      <c r="BV56" s="542">
        <f t="shared" si="42"/>
        <v>0</v>
      </c>
      <c r="BW56" s="647">
        <f t="shared" si="89"/>
        <v>0</v>
      </c>
      <c r="BX56" s="469">
        <f t="shared" si="58"/>
        <v>0</v>
      </c>
      <c r="BY56" s="177">
        <f t="shared" si="59"/>
        <v>1.0042817653607992</v>
      </c>
      <c r="BZ56" s="5">
        <f t="shared" si="60"/>
        <v>8.5425000000000004</v>
      </c>
      <c r="CA56" s="177">
        <f t="shared" si="61"/>
        <v>0.89480415599268237</v>
      </c>
      <c r="CB56" s="5">
        <f t="shared" si="62"/>
        <v>89.480415599268241</v>
      </c>
      <c r="CC56">
        <f t="shared" si="95"/>
        <v>51</v>
      </c>
      <c r="CE56" s="576">
        <f t="shared" si="90"/>
        <v>-50</v>
      </c>
      <c r="CF56">
        <f t="shared" si="91"/>
        <v>-50</v>
      </c>
    </row>
    <row r="57" spans="5:84" x14ac:dyDescent="0.25">
      <c r="E57" s="174">
        <v>52</v>
      </c>
      <c r="F57" s="221">
        <f t="shared" si="96"/>
        <v>0.52</v>
      </c>
      <c r="G57" s="221">
        <f t="shared" si="92"/>
        <v>0.13</v>
      </c>
      <c r="H57" s="221">
        <f t="shared" si="66"/>
        <v>7.8000000000000007</v>
      </c>
      <c r="I57" s="221">
        <f t="shared" si="97"/>
        <v>0.91</v>
      </c>
      <c r="J57" s="555">
        <f t="shared" si="1"/>
        <v>15</v>
      </c>
      <c r="K57" s="451">
        <f t="shared" si="2"/>
        <v>23.85</v>
      </c>
      <c r="L57" s="451">
        <f t="shared" si="3"/>
        <v>38.85</v>
      </c>
      <c r="M57" s="451"/>
      <c r="N57" s="221">
        <f t="shared" si="4"/>
        <v>0.61389961389961389</v>
      </c>
      <c r="O57" s="176">
        <f t="shared" si="93"/>
        <v>16.05988878003803</v>
      </c>
      <c r="P57" s="176">
        <f t="shared" si="67"/>
        <v>1.873653691004437</v>
      </c>
      <c r="Q57" s="221">
        <f t="shared" si="6"/>
        <v>1.0706592520025353</v>
      </c>
      <c r="R57" s="221">
        <f t="shared" si="68"/>
        <v>2.2942698257197187</v>
      </c>
      <c r="S57" s="451">
        <f t="shared" si="69"/>
        <v>15</v>
      </c>
      <c r="T57" s="221">
        <f t="shared" si="70"/>
        <v>1.9912964801941964</v>
      </c>
      <c r="U57" s="221">
        <f t="shared" si="10"/>
        <v>0.92927169075729166</v>
      </c>
      <c r="V57" s="221">
        <f t="shared" si="11"/>
        <v>0.58444760424986897</v>
      </c>
      <c r="W57" s="201">
        <f t="shared" si="12"/>
        <v>350</v>
      </c>
      <c r="X57" s="451">
        <f t="shared" si="48"/>
        <v>350</v>
      </c>
      <c r="Z57" s="221">
        <f t="shared" si="13"/>
        <v>3.7585690646915135</v>
      </c>
      <c r="AA57" s="177">
        <f t="shared" si="14"/>
        <v>1.1031439602868174</v>
      </c>
      <c r="AB57" s="177">
        <f t="shared" si="71"/>
        <v>0.97467647041501804</v>
      </c>
      <c r="AC57" s="177"/>
      <c r="AD57" s="177">
        <f t="shared" si="16"/>
        <v>0.24067085953878403</v>
      </c>
      <c r="AE57" s="559">
        <f t="shared" si="72"/>
        <v>3923.0899974504982</v>
      </c>
      <c r="AF57" s="542">
        <f t="shared" si="73"/>
        <v>4.6392002252886505E-2</v>
      </c>
      <c r="AH57" s="177">
        <f t="shared" si="74"/>
        <v>2.6664965932160225</v>
      </c>
      <c r="AI57" s="177">
        <f t="shared" si="75"/>
        <v>2.6664965932160225</v>
      </c>
      <c r="AJ57" s="177">
        <f t="shared" si="76"/>
        <v>2.5677752542340908</v>
      </c>
      <c r="AL57" s="559">
        <f t="shared" si="77"/>
        <v>520</v>
      </c>
      <c r="AM57" s="469">
        <f t="shared" si="78"/>
        <v>350</v>
      </c>
      <c r="AO57">
        <f t="shared" si="49"/>
        <v>520</v>
      </c>
      <c r="AP57" s="469">
        <f t="shared" si="24"/>
        <v>350</v>
      </c>
      <c r="AQ57" s="469"/>
      <c r="AR57" s="5">
        <f t="shared" si="50"/>
        <v>2.8571428571428572</v>
      </c>
      <c r="AS57" s="5">
        <f t="shared" si="25"/>
        <v>1.2443650768341439</v>
      </c>
      <c r="AT57" s="5">
        <f t="shared" si="51"/>
        <v>1.6127777803087133</v>
      </c>
      <c r="AU57" s="177">
        <f t="shared" si="52"/>
        <v>0.43552777689195032</v>
      </c>
      <c r="AW57" s="5">
        <f t="shared" si="94"/>
        <v>12.079683950617282</v>
      </c>
      <c r="AX57" s="5">
        <f t="shared" si="79"/>
        <v>12.695272296296293</v>
      </c>
      <c r="AY57" s="5">
        <f t="shared" si="80"/>
        <v>0.85581907298473081</v>
      </c>
      <c r="AZ57" s="5">
        <f t="shared" si="81"/>
        <v>0.75815780485124973</v>
      </c>
      <c r="BA57" s="5">
        <f t="shared" si="82"/>
        <v>1.3143667337065632</v>
      </c>
      <c r="BB57" s="469">
        <f t="shared" si="83"/>
        <v>100.41118923851857</v>
      </c>
      <c r="BC57" s="5"/>
      <c r="BD57" s="177">
        <f t="shared" si="54"/>
        <v>1.0159874305196137</v>
      </c>
      <c r="BE57" s="177">
        <f t="shared" si="84"/>
        <v>1.5537079946286423</v>
      </c>
      <c r="BF57" s="177">
        <f t="shared" si="85"/>
        <v>0.36482637089064945</v>
      </c>
      <c r="BG57" s="177"/>
      <c r="BH57" s="542">
        <f t="shared" si="33"/>
        <v>0.11354535048712316</v>
      </c>
      <c r="BI57" s="542">
        <f t="shared" si="34"/>
        <v>0.18128843713127435</v>
      </c>
      <c r="BJ57" s="542">
        <f t="shared" si="35"/>
        <v>1.7499999999999998E-2</v>
      </c>
      <c r="BK57" s="542">
        <f t="shared" si="36"/>
        <v>0.11885914687500002</v>
      </c>
      <c r="BL57">
        <f t="shared" si="37"/>
        <v>4.3499999999999997E-3</v>
      </c>
      <c r="BM57" s="469">
        <f t="shared" si="55"/>
        <v>435.54293449339758</v>
      </c>
      <c r="BN57" s="177">
        <f t="shared" si="86"/>
        <v>0.46800000000000003</v>
      </c>
      <c r="BO57" s="177">
        <f t="shared" si="87"/>
        <v>0.11700000000000001</v>
      </c>
      <c r="BP57" s="542"/>
      <c r="BR57" s="469">
        <f t="shared" si="56"/>
        <v>585.00000000000011</v>
      </c>
      <c r="BS57" s="542">
        <f t="shared" si="40"/>
        <v>0</v>
      </c>
      <c r="BT57" s="542">
        <f t="shared" si="57"/>
        <v>0</v>
      </c>
      <c r="BU57" s="542">
        <f t="shared" si="88"/>
        <v>0</v>
      </c>
      <c r="BV57" s="542">
        <f t="shared" si="42"/>
        <v>0</v>
      </c>
      <c r="BW57" s="647">
        <f t="shared" si="89"/>
        <v>0</v>
      </c>
      <c r="BX57" s="469">
        <f t="shared" si="58"/>
        <v>0</v>
      </c>
      <c r="BY57" s="177">
        <f t="shared" si="59"/>
        <v>1.0205429344933976</v>
      </c>
      <c r="BZ57" s="5">
        <f t="shared" si="60"/>
        <v>8.7100000000000009</v>
      </c>
      <c r="CA57" s="177">
        <f t="shared" si="61"/>
        <v>0.89511963090202118</v>
      </c>
      <c r="CB57" s="5">
        <f t="shared" si="62"/>
        <v>89.511963090202116</v>
      </c>
      <c r="CC57">
        <f t="shared" si="95"/>
        <v>52</v>
      </c>
      <c r="CE57" s="576">
        <f t="shared" si="90"/>
        <v>-50</v>
      </c>
      <c r="CF57">
        <f t="shared" si="91"/>
        <v>-50</v>
      </c>
    </row>
    <row r="58" spans="5:84" x14ac:dyDescent="0.25">
      <c r="E58" s="174">
        <v>53</v>
      </c>
      <c r="F58" s="221">
        <f t="shared" si="96"/>
        <v>0.53</v>
      </c>
      <c r="G58" s="221">
        <f t="shared" si="92"/>
        <v>0.13250000000000001</v>
      </c>
      <c r="H58" s="221">
        <f t="shared" si="66"/>
        <v>7.95</v>
      </c>
      <c r="I58" s="221">
        <f t="shared" si="97"/>
        <v>0.92749999999999999</v>
      </c>
      <c r="J58" s="555">
        <f t="shared" si="1"/>
        <v>15</v>
      </c>
      <c r="K58" s="451">
        <f t="shared" si="2"/>
        <v>23.85</v>
      </c>
      <c r="L58" s="451">
        <f t="shared" si="3"/>
        <v>38.85</v>
      </c>
      <c r="M58" s="451"/>
      <c r="N58" s="221">
        <f t="shared" si="4"/>
        <v>0.61389961389961389</v>
      </c>
      <c r="O58" s="176">
        <f t="shared" si="93"/>
        <v>16.05988878003803</v>
      </c>
      <c r="P58" s="176">
        <f t="shared" si="67"/>
        <v>1.873653691004437</v>
      </c>
      <c r="Q58" s="221">
        <f t="shared" si="6"/>
        <v>1.0706592520025353</v>
      </c>
      <c r="R58" s="221">
        <f t="shared" si="68"/>
        <v>2.2942698257197187</v>
      </c>
      <c r="S58" s="451">
        <f t="shared" si="69"/>
        <v>15</v>
      </c>
      <c r="T58" s="221">
        <f t="shared" si="70"/>
        <v>2.0295906432748536</v>
      </c>
      <c r="U58" s="221">
        <f t="shared" si="10"/>
        <v>0.94714230019493173</v>
      </c>
      <c r="V58" s="221">
        <f t="shared" si="11"/>
        <v>0.59568698125467401</v>
      </c>
      <c r="W58" s="201">
        <f t="shared" si="12"/>
        <v>350</v>
      </c>
      <c r="X58" s="451">
        <f t="shared" si="48"/>
        <v>350</v>
      </c>
      <c r="Z58" s="221">
        <f t="shared" si="13"/>
        <v>3.7585690646915135</v>
      </c>
      <c r="AA58" s="177">
        <f t="shared" si="14"/>
        <v>1.1031439602868174</v>
      </c>
      <c r="AB58" s="177">
        <f t="shared" si="71"/>
        <v>0.97467647041501804</v>
      </c>
      <c r="AC58" s="177"/>
      <c r="AD58" s="177">
        <f t="shared" si="16"/>
        <v>0.24067085953878403</v>
      </c>
      <c r="AE58" s="559">
        <f t="shared" si="72"/>
        <v>3998.5340358630078</v>
      </c>
      <c r="AF58" s="542">
        <f t="shared" si="73"/>
        <v>4.6392002252886505E-2</v>
      </c>
      <c r="AH58" s="177">
        <f t="shared" si="74"/>
        <v>2.6920138884318936</v>
      </c>
      <c r="AI58" s="177">
        <f t="shared" si="75"/>
        <v>2.6920138884318936</v>
      </c>
      <c r="AJ58" s="177">
        <f t="shared" si="76"/>
        <v>2.5866769543939956</v>
      </c>
      <c r="AL58" s="559">
        <f t="shared" si="77"/>
        <v>530</v>
      </c>
      <c r="AM58" s="469">
        <f t="shared" si="78"/>
        <v>350</v>
      </c>
      <c r="AO58">
        <f t="shared" si="49"/>
        <v>530</v>
      </c>
      <c r="AP58" s="469">
        <f t="shared" si="24"/>
        <v>350</v>
      </c>
      <c r="AQ58" s="469"/>
      <c r="AR58" s="5">
        <f t="shared" si="50"/>
        <v>2.8571428571428572</v>
      </c>
      <c r="AS58" s="5">
        <f t="shared" si="25"/>
        <v>1.2562731479348836</v>
      </c>
      <c r="AT58" s="5">
        <f t="shared" si="51"/>
        <v>1.6008697092079736</v>
      </c>
      <c r="AU58" s="177">
        <f t="shared" si="52"/>
        <v>0.43969560177720929</v>
      </c>
      <c r="AW58" s="5">
        <f t="shared" si="94"/>
        <v>12.079683950617282</v>
      </c>
      <c r="AX58" s="5">
        <f t="shared" si="79"/>
        <v>13.157670074074073</v>
      </c>
      <c r="AY58" s="5">
        <f t="shared" si="80"/>
        <v>0.85581907298473081</v>
      </c>
      <c r="AZ58" s="5">
        <f t="shared" si="81"/>
        <v>0.77995387345679013</v>
      </c>
      <c r="BA58" s="5">
        <f t="shared" si="82"/>
        <v>1.3297516578707635</v>
      </c>
      <c r="BB58" s="469">
        <f t="shared" si="83"/>
        <v>101.60032170872832</v>
      </c>
      <c r="BC58" s="5"/>
      <c r="BD58" s="177">
        <f t="shared" si="54"/>
        <v>1.0306061494642447</v>
      </c>
      <c r="BE58" s="177">
        <f t="shared" si="84"/>
        <v>1.5627747703398862</v>
      </c>
      <c r="BF58" s="177">
        <f t="shared" si="85"/>
        <v>0.36695534164309984</v>
      </c>
      <c r="BG58" s="177"/>
      <c r="BH58" s="542">
        <f t="shared" si="33"/>
        <v>0.11683639388448687</v>
      </c>
      <c r="BI58" s="542">
        <f t="shared" si="34"/>
        <v>0.18302329423976341</v>
      </c>
      <c r="BJ58" s="542">
        <f t="shared" si="35"/>
        <v>1.7499999999999998E-2</v>
      </c>
      <c r="BK58" s="542">
        <f t="shared" si="36"/>
        <v>0.11885914687500002</v>
      </c>
      <c r="BL58">
        <f t="shared" si="37"/>
        <v>4.3499999999999997E-3</v>
      </c>
      <c r="BM58" s="469">
        <f t="shared" si="55"/>
        <v>440.56883499925033</v>
      </c>
      <c r="BN58" s="177">
        <f t="shared" si="86"/>
        <v>0.47700000000000004</v>
      </c>
      <c r="BO58" s="177">
        <f t="shared" si="87"/>
        <v>0.11925000000000001</v>
      </c>
      <c r="BP58" s="542"/>
      <c r="BR58" s="469">
        <f t="shared" si="56"/>
        <v>596.25000000000011</v>
      </c>
      <c r="BS58" s="542">
        <f t="shared" si="40"/>
        <v>0</v>
      </c>
      <c r="BT58" s="542">
        <f t="shared" si="57"/>
        <v>0</v>
      </c>
      <c r="BU58" s="542">
        <f t="shared" si="88"/>
        <v>0</v>
      </c>
      <c r="BV58" s="542">
        <f t="shared" si="42"/>
        <v>0</v>
      </c>
      <c r="BW58" s="647">
        <f t="shared" si="89"/>
        <v>0</v>
      </c>
      <c r="BX58" s="469">
        <f t="shared" si="58"/>
        <v>0</v>
      </c>
      <c r="BY58" s="177">
        <f t="shared" si="59"/>
        <v>1.0368188349992504</v>
      </c>
      <c r="BZ58" s="5">
        <f t="shared" si="60"/>
        <v>8.8774999999999995</v>
      </c>
      <c r="CA58" s="177">
        <f t="shared" si="61"/>
        <v>0.89542208070421325</v>
      </c>
      <c r="CB58" s="5">
        <f t="shared" si="62"/>
        <v>89.542208070421324</v>
      </c>
      <c r="CC58">
        <f t="shared" si="95"/>
        <v>53</v>
      </c>
      <c r="CE58" s="576">
        <f t="shared" si="90"/>
        <v>-50</v>
      </c>
      <c r="CF58">
        <f t="shared" si="91"/>
        <v>-50</v>
      </c>
    </row>
    <row r="59" spans="5:84" x14ac:dyDescent="0.25">
      <c r="E59" s="174">
        <v>54</v>
      </c>
      <c r="F59" s="221">
        <f t="shared" si="96"/>
        <v>0.54</v>
      </c>
      <c r="G59" s="221">
        <f t="shared" si="92"/>
        <v>0.13500000000000001</v>
      </c>
      <c r="H59" s="221">
        <f t="shared" si="66"/>
        <v>8.1000000000000014</v>
      </c>
      <c r="I59" s="221">
        <f t="shared" si="97"/>
        <v>0.94500000000000006</v>
      </c>
      <c r="J59" s="555">
        <f t="shared" si="1"/>
        <v>15</v>
      </c>
      <c r="K59" s="451">
        <f t="shared" si="2"/>
        <v>23.85</v>
      </c>
      <c r="L59" s="451">
        <f t="shared" si="3"/>
        <v>38.85</v>
      </c>
      <c r="M59" s="451"/>
      <c r="N59" s="221">
        <f t="shared" si="4"/>
        <v>0.61389961389961389</v>
      </c>
      <c r="O59" s="176">
        <f t="shared" si="93"/>
        <v>16.05988878003803</v>
      </c>
      <c r="P59" s="176">
        <f t="shared" si="67"/>
        <v>1.873653691004437</v>
      </c>
      <c r="Q59" s="221">
        <f t="shared" si="6"/>
        <v>1.0706592520025353</v>
      </c>
      <c r="R59" s="221">
        <f t="shared" si="68"/>
        <v>2.2942698257197187</v>
      </c>
      <c r="S59" s="451">
        <f t="shared" si="69"/>
        <v>15</v>
      </c>
      <c r="T59" s="221">
        <f t="shared" si="70"/>
        <v>2.067884806355512</v>
      </c>
      <c r="U59" s="221">
        <f t="shared" si="10"/>
        <v>0.96501290963257225</v>
      </c>
      <c r="V59" s="221">
        <f t="shared" si="11"/>
        <v>0.60692635825947927</v>
      </c>
      <c r="W59" s="201">
        <f t="shared" si="12"/>
        <v>350</v>
      </c>
      <c r="X59" s="451">
        <f t="shared" si="48"/>
        <v>350</v>
      </c>
      <c r="Z59" s="221">
        <f t="shared" si="13"/>
        <v>3.7585690646915135</v>
      </c>
      <c r="AA59" s="177">
        <f t="shared" si="14"/>
        <v>1.1031439602868174</v>
      </c>
      <c r="AB59" s="177">
        <f t="shared" si="71"/>
        <v>0.97467647041501804</v>
      </c>
      <c r="AC59" s="177"/>
      <c r="AD59" s="177">
        <f t="shared" si="16"/>
        <v>0.24067085953878403</v>
      </c>
      <c r="AE59" s="559">
        <f t="shared" si="72"/>
        <v>4073.9780742755174</v>
      </c>
      <c r="AF59" s="542">
        <f t="shared" si="73"/>
        <v>4.6392002252886505E-2</v>
      </c>
      <c r="AH59" s="177">
        <f t="shared" si="74"/>
        <v>2.717291568710976</v>
      </c>
      <c r="AI59" s="177">
        <f t="shared" si="75"/>
        <v>2.717291568710976</v>
      </c>
      <c r="AJ59" s="177">
        <f t="shared" si="76"/>
        <v>2.6054011620081305</v>
      </c>
      <c r="AL59" s="559">
        <f t="shared" si="77"/>
        <v>540</v>
      </c>
      <c r="AM59" s="469">
        <f t="shared" si="78"/>
        <v>350</v>
      </c>
      <c r="AO59">
        <f t="shared" si="49"/>
        <v>540</v>
      </c>
      <c r="AP59" s="469">
        <f t="shared" si="24"/>
        <v>350</v>
      </c>
      <c r="AQ59" s="469"/>
      <c r="AR59" s="5">
        <f t="shared" si="50"/>
        <v>2.8571428571428572</v>
      </c>
      <c r="AS59" s="5">
        <f t="shared" si="25"/>
        <v>1.2680693987317888</v>
      </c>
      <c r="AT59" s="5">
        <f t="shared" si="51"/>
        <v>1.5890734584110684</v>
      </c>
      <c r="AU59" s="177">
        <f t="shared" si="52"/>
        <v>0.44382428955612607</v>
      </c>
      <c r="AW59" s="5">
        <f t="shared" si="94"/>
        <v>12.079683950617282</v>
      </c>
      <c r="AX59" s="5">
        <f t="shared" si="79"/>
        <v>13.628304</v>
      </c>
      <c r="AY59" s="5">
        <f t="shared" si="80"/>
        <v>0.85581907298473081</v>
      </c>
      <c r="AZ59" s="5">
        <f t="shared" si="81"/>
        <v>0.80202224813100742</v>
      </c>
      <c r="BA59" s="5">
        <f t="shared" si="82"/>
        <v>1.3448579584868414</v>
      </c>
      <c r="BB59" s="469">
        <f t="shared" si="83"/>
        <v>102.76855741282888</v>
      </c>
      <c r="BC59" s="5"/>
      <c r="BD59" s="177">
        <f t="shared" si="54"/>
        <v>1.0451560699827622</v>
      </c>
      <c r="BE59" s="177">
        <f t="shared" si="84"/>
        <v>1.5716264518046541</v>
      </c>
      <c r="BF59" s="177">
        <f t="shared" si="85"/>
        <v>0.36903380608830805</v>
      </c>
      <c r="BG59" s="177"/>
      <c r="BH59" s="542">
        <f t="shared" si="33"/>
        <v>0.12015863316839938</v>
      </c>
      <c r="BI59" s="542">
        <f t="shared" si="34"/>
        <v>0.18474186052773747</v>
      </c>
      <c r="BJ59" s="542">
        <f t="shared" si="35"/>
        <v>1.7499999999999998E-2</v>
      </c>
      <c r="BK59" s="542">
        <f t="shared" si="36"/>
        <v>0.11885914687500002</v>
      </c>
      <c r="BL59">
        <f t="shared" si="37"/>
        <v>4.3499999999999997E-3</v>
      </c>
      <c r="BM59" s="469">
        <f t="shared" si="55"/>
        <v>445.60964057113688</v>
      </c>
      <c r="BN59" s="177">
        <f t="shared" si="86"/>
        <v>0.48600000000000004</v>
      </c>
      <c r="BO59" s="177">
        <f t="shared" si="87"/>
        <v>0.12150000000000001</v>
      </c>
      <c r="BP59" s="542"/>
      <c r="BR59" s="469">
        <f t="shared" si="56"/>
        <v>607.5</v>
      </c>
      <c r="BS59" s="542">
        <f t="shared" si="40"/>
        <v>0</v>
      </c>
      <c r="BT59" s="542">
        <f t="shared" si="57"/>
        <v>0</v>
      </c>
      <c r="BU59" s="542">
        <f t="shared" si="88"/>
        <v>0</v>
      </c>
      <c r="BV59" s="542">
        <f t="shared" si="42"/>
        <v>0</v>
      </c>
      <c r="BW59" s="647">
        <f t="shared" si="89"/>
        <v>0</v>
      </c>
      <c r="BX59" s="469">
        <f t="shared" si="58"/>
        <v>0</v>
      </c>
      <c r="BY59" s="177">
        <f t="shared" si="59"/>
        <v>1.0531096405711369</v>
      </c>
      <c r="BZ59" s="5">
        <f t="shared" si="60"/>
        <v>9.0450000000000017</v>
      </c>
      <c r="CA59" s="177">
        <f t="shared" si="61"/>
        <v>0.89571219980222216</v>
      </c>
      <c r="CB59" s="5">
        <f t="shared" si="62"/>
        <v>89.57121998022221</v>
      </c>
      <c r="CC59">
        <f t="shared" si="95"/>
        <v>54</v>
      </c>
      <c r="CE59" s="576">
        <f t="shared" si="90"/>
        <v>-50</v>
      </c>
      <c r="CF59">
        <f t="shared" si="91"/>
        <v>-50</v>
      </c>
    </row>
    <row r="60" spans="5:84" x14ac:dyDescent="0.25">
      <c r="E60" s="174">
        <v>55</v>
      </c>
      <c r="F60" s="221">
        <f t="shared" si="96"/>
        <v>0.55000000000000004</v>
      </c>
      <c r="G60" s="221">
        <f t="shared" si="92"/>
        <v>0.13750000000000001</v>
      </c>
      <c r="H60" s="221">
        <f t="shared" si="66"/>
        <v>8.25</v>
      </c>
      <c r="I60" s="221">
        <f t="shared" si="97"/>
        <v>0.96250000000000013</v>
      </c>
      <c r="J60" s="555">
        <f t="shared" si="1"/>
        <v>15</v>
      </c>
      <c r="K60" s="451">
        <f t="shared" si="2"/>
        <v>23.85</v>
      </c>
      <c r="L60" s="451">
        <f t="shared" si="3"/>
        <v>38.85</v>
      </c>
      <c r="M60" s="451"/>
      <c r="N60" s="221">
        <f t="shared" si="4"/>
        <v>0.61389961389961389</v>
      </c>
      <c r="O60" s="176">
        <f t="shared" si="93"/>
        <v>16.05988878003803</v>
      </c>
      <c r="P60" s="176">
        <f t="shared" si="67"/>
        <v>1.873653691004437</v>
      </c>
      <c r="Q60" s="221">
        <f t="shared" si="6"/>
        <v>1.0706592520025353</v>
      </c>
      <c r="R60" s="221">
        <f t="shared" si="68"/>
        <v>2.2942698257197187</v>
      </c>
      <c r="S60" s="451">
        <f t="shared" si="69"/>
        <v>15</v>
      </c>
      <c r="T60" s="221">
        <f t="shared" si="70"/>
        <v>2.106178969436169</v>
      </c>
      <c r="U60" s="221">
        <f t="shared" si="10"/>
        <v>0.98288351907021221</v>
      </c>
      <c r="V60" s="221">
        <f t="shared" si="11"/>
        <v>0.61816573526428431</v>
      </c>
      <c r="W60" s="201">
        <f t="shared" si="12"/>
        <v>350</v>
      </c>
      <c r="X60" s="451">
        <f t="shared" si="48"/>
        <v>350</v>
      </c>
      <c r="Z60" s="221">
        <f t="shared" si="13"/>
        <v>3.7585690646915135</v>
      </c>
      <c r="AA60" s="177">
        <f t="shared" si="14"/>
        <v>1.1031439602868174</v>
      </c>
      <c r="AB60" s="177">
        <f t="shared" si="71"/>
        <v>0.97467647041501804</v>
      </c>
      <c r="AC60" s="177"/>
      <c r="AD60" s="177">
        <f t="shared" si="16"/>
        <v>0.24067085953878403</v>
      </c>
      <c r="AE60" s="559">
        <f t="shared" si="72"/>
        <v>4149.4221126880275</v>
      </c>
      <c r="AF60" s="542">
        <f t="shared" si="73"/>
        <v>4.6392002252886505E-2</v>
      </c>
      <c r="AH60" s="177">
        <f t="shared" si="74"/>
        <v>2.7423362600646382</v>
      </c>
      <c r="AI60" s="177">
        <f t="shared" si="75"/>
        <v>2.7423362600646382</v>
      </c>
      <c r="AJ60" s="177">
        <f t="shared" si="76"/>
        <v>2.6239527852330653</v>
      </c>
      <c r="AL60" s="559">
        <f t="shared" si="77"/>
        <v>550</v>
      </c>
      <c r="AM60" s="469">
        <f t="shared" si="78"/>
        <v>350</v>
      </c>
      <c r="AO60">
        <f t="shared" si="49"/>
        <v>550</v>
      </c>
      <c r="AP60">
        <f t="shared" si="24"/>
        <v>350</v>
      </c>
      <c r="AR60" s="5">
        <f t="shared" si="50"/>
        <v>2.8571428571428572</v>
      </c>
      <c r="AS60" s="5">
        <f t="shared" si="25"/>
        <v>1.2797569213634978</v>
      </c>
      <c r="AT60" s="5">
        <f t="shared" si="51"/>
        <v>1.5773859357793594</v>
      </c>
      <c r="AU60" s="177">
        <f t="shared" si="52"/>
        <v>0.44791492247722425</v>
      </c>
      <c r="AW60" s="5">
        <f t="shared" si="94"/>
        <v>12.079683950617282</v>
      </c>
      <c r="AX60" s="5">
        <f t="shared" si="79"/>
        <v>14.107174074074075</v>
      </c>
      <c r="AY60" s="5">
        <f t="shared" si="80"/>
        <v>0.85581907298473081</v>
      </c>
      <c r="AZ60" s="5">
        <f t="shared" si="81"/>
        <v>0.82436292887390183</v>
      </c>
      <c r="BA60" s="5">
        <f t="shared" si="82"/>
        <v>1.3596882276834945</v>
      </c>
      <c r="BB60" s="469">
        <f t="shared" si="83"/>
        <v>103.91609076047261</v>
      </c>
      <c r="BC60" s="5"/>
      <c r="BD60" s="177">
        <f t="shared" si="54"/>
        <v>1.059638781133468</v>
      </c>
      <c r="BE60" s="177">
        <f t="shared" si="84"/>
        <v>1.5802681598273516</v>
      </c>
      <c r="BF60" s="177">
        <f t="shared" si="85"/>
        <v>0.37106296664300475</v>
      </c>
      <c r="BG60" s="177"/>
      <c r="BH60" s="542">
        <f t="shared" si="33"/>
        <v>0.12351177811302239</v>
      </c>
      <c r="BI60" s="542">
        <f t="shared" si="34"/>
        <v>0.18644458648114459</v>
      </c>
      <c r="BJ60" s="542">
        <f t="shared" si="35"/>
        <v>1.7499999999999998E-2</v>
      </c>
      <c r="BK60" s="542">
        <f t="shared" si="36"/>
        <v>0.11885914687500002</v>
      </c>
      <c r="BL60">
        <f t="shared" si="37"/>
        <v>4.3499999999999997E-3</v>
      </c>
      <c r="BM60" s="469">
        <f t="shared" si="55"/>
        <v>450.66551146916703</v>
      </c>
      <c r="BN60" s="177">
        <f t="shared" si="86"/>
        <v>0.49500000000000005</v>
      </c>
      <c r="BO60" s="177">
        <f t="shared" si="87"/>
        <v>0.12375000000000001</v>
      </c>
      <c r="BP60" s="542"/>
      <c r="BR60" s="469">
        <f t="shared" si="56"/>
        <v>618.75</v>
      </c>
      <c r="BS60" s="542">
        <f t="shared" si="40"/>
        <v>0</v>
      </c>
      <c r="BT60" s="542">
        <f t="shared" si="57"/>
        <v>0</v>
      </c>
      <c r="BU60" s="542">
        <f t="shared" si="88"/>
        <v>0</v>
      </c>
      <c r="BV60" s="542">
        <f t="shared" si="42"/>
        <v>0</v>
      </c>
      <c r="BW60" s="647">
        <f t="shared" si="89"/>
        <v>0</v>
      </c>
      <c r="BX60" s="469">
        <f t="shared" si="58"/>
        <v>0</v>
      </c>
      <c r="BY60" s="177">
        <f t="shared" si="59"/>
        <v>1.069415511469167</v>
      </c>
      <c r="BZ60" s="5">
        <f t="shared" si="60"/>
        <v>9.2125000000000004</v>
      </c>
      <c r="CA60" s="177">
        <f t="shared" si="61"/>
        <v>0.8959906342085513</v>
      </c>
      <c r="CB60" s="5">
        <f t="shared" si="62"/>
        <v>89.599063420855131</v>
      </c>
      <c r="CC60">
        <f t="shared" si="95"/>
        <v>55.000000000000007</v>
      </c>
      <c r="CE60" s="576">
        <f t="shared" si="90"/>
        <v>-50</v>
      </c>
      <c r="CF60">
        <f t="shared" si="91"/>
        <v>-50</v>
      </c>
    </row>
    <row r="61" spans="5:84" x14ac:dyDescent="0.25">
      <c r="E61" s="174">
        <v>56</v>
      </c>
      <c r="F61" s="221">
        <f t="shared" si="96"/>
        <v>0.56000000000000005</v>
      </c>
      <c r="G61" s="221">
        <f t="shared" si="92"/>
        <v>0.14000000000000001</v>
      </c>
      <c r="H61" s="221">
        <f t="shared" si="66"/>
        <v>8.4</v>
      </c>
      <c r="I61" s="221">
        <f t="shared" si="97"/>
        <v>0.98000000000000009</v>
      </c>
      <c r="J61" s="555">
        <f t="shared" si="1"/>
        <v>15</v>
      </c>
      <c r="K61" s="451">
        <f t="shared" si="2"/>
        <v>23.85</v>
      </c>
      <c r="L61" s="451">
        <f t="shared" si="3"/>
        <v>38.85</v>
      </c>
      <c r="M61" s="451"/>
      <c r="N61" s="221">
        <f t="shared" si="4"/>
        <v>0.61389961389961389</v>
      </c>
      <c r="O61" s="176">
        <f t="shared" si="93"/>
        <v>16.05988878003803</v>
      </c>
      <c r="P61" s="176">
        <f t="shared" si="67"/>
        <v>1.873653691004437</v>
      </c>
      <c r="Q61" s="221">
        <f t="shared" si="6"/>
        <v>1.0706592520025353</v>
      </c>
      <c r="R61" s="221">
        <f t="shared" si="68"/>
        <v>2.2942698257197187</v>
      </c>
      <c r="S61" s="451">
        <f t="shared" si="69"/>
        <v>15</v>
      </c>
      <c r="T61" s="221">
        <f t="shared" si="70"/>
        <v>2.1444731325168269</v>
      </c>
      <c r="U61" s="221">
        <f t="shared" si="10"/>
        <v>1.0007541285078527</v>
      </c>
      <c r="V61" s="221">
        <f t="shared" si="11"/>
        <v>0.62940511226908968</v>
      </c>
      <c r="W61" s="201">
        <f t="shared" si="12"/>
        <v>350</v>
      </c>
      <c r="X61" s="451">
        <f t="shared" si="48"/>
        <v>350</v>
      </c>
      <c r="Z61" s="221">
        <f t="shared" si="13"/>
        <v>3.7585690646915135</v>
      </c>
      <c r="AA61" s="177">
        <f t="shared" si="14"/>
        <v>1.1031439602868174</v>
      </c>
      <c r="AB61" s="177">
        <f t="shared" si="71"/>
        <v>0.97467647041501804</v>
      </c>
      <c r="AC61" s="177"/>
      <c r="AD61" s="177">
        <f t="shared" si="16"/>
        <v>0.24067085953878403</v>
      </c>
      <c r="AE61" s="559">
        <f t="shared" si="72"/>
        <v>4224.8661511005366</v>
      </c>
      <c r="AF61" s="542">
        <f t="shared" si="73"/>
        <v>4.6392002252886505E-2</v>
      </c>
      <c r="AH61" s="177">
        <f t="shared" si="74"/>
        <v>2.767154288640743</v>
      </c>
      <c r="AI61" s="177">
        <f t="shared" si="75"/>
        <v>2.767154288640743</v>
      </c>
      <c r="AJ61" s="177">
        <f t="shared" si="76"/>
        <v>2.6423365101042542</v>
      </c>
      <c r="AL61" s="559">
        <f t="shared" si="77"/>
        <v>560</v>
      </c>
      <c r="AM61" s="469">
        <f t="shared" si="78"/>
        <v>350</v>
      </c>
      <c r="AO61">
        <f t="shared" si="49"/>
        <v>560</v>
      </c>
      <c r="AP61">
        <f t="shared" si="24"/>
        <v>350</v>
      </c>
      <c r="AR61" s="5">
        <f t="shared" si="50"/>
        <v>2.8571428571428572</v>
      </c>
      <c r="AS61" s="5">
        <f t="shared" si="25"/>
        <v>1.2913386680323469</v>
      </c>
      <c r="AT61" s="5">
        <f t="shared" si="51"/>
        <v>1.5658041891105103</v>
      </c>
      <c r="AU61" s="177">
        <f t="shared" si="52"/>
        <v>0.4519685338113214</v>
      </c>
      <c r="AW61" s="5">
        <f t="shared" si="94"/>
        <v>12.079683950617282</v>
      </c>
      <c r="AX61" s="5">
        <f t="shared" si="79"/>
        <v>14.594280296296295</v>
      </c>
      <c r="AY61" s="5">
        <f t="shared" si="80"/>
        <v>0.85581907298473081</v>
      </c>
      <c r="AZ61" s="5">
        <f t="shared" si="81"/>
        <v>0.84697591568547304</v>
      </c>
      <c r="BA61" s="5">
        <f t="shared" si="82"/>
        <v>1.3742449865596811</v>
      </c>
      <c r="BB61" s="469">
        <f t="shared" si="83"/>
        <v>105.04311083408135</v>
      </c>
      <c r="BC61" s="5"/>
      <c r="BD61" s="177">
        <f t="shared" si="54"/>
        <v>1.0740558071048092</v>
      </c>
      <c r="BE61" s="177">
        <f t="shared" si="84"/>
        <v>1.5887047781129859</v>
      </c>
      <c r="BF61" s="177">
        <f t="shared" si="85"/>
        <v>0.37304397005058088</v>
      </c>
      <c r="BG61" s="177"/>
      <c r="BH61" s="542">
        <f t="shared" si="33"/>
        <v>0.12689554644531195</v>
      </c>
      <c r="BI61" s="542">
        <f t="shared" si="34"/>
        <v>0.18813190219896253</v>
      </c>
      <c r="BJ61" s="542">
        <f t="shared" si="35"/>
        <v>1.7499999999999998E-2</v>
      </c>
      <c r="BK61" s="542">
        <f t="shared" si="36"/>
        <v>0.11885914687500002</v>
      </c>
      <c r="BL61">
        <f t="shared" si="37"/>
        <v>4.3499999999999997E-3</v>
      </c>
      <c r="BM61" s="469">
        <f t="shared" si="55"/>
        <v>455.73659551927454</v>
      </c>
      <c r="BN61" s="177">
        <f t="shared" si="86"/>
        <v>0.50400000000000011</v>
      </c>
      <c r="BO61" s="177">
        <f t="shared" si="87"/>
        <v>0.12600000000000003</v>
      </c>
      <c r="BP61" s="542"/>
      <c r="BR61" s="469">
        <f t="shared" si="56"/>
        <v>630.00000000000011</v>
      </c>
      <c r="BS61" s="542">
        <f t="shared" si="40"/>
        <v>0</v>
      </c>
      <c r="BT61" s="542">
        <f t="shared" si="57"/>
        <v>0</v>
      </c>
      <c r="BU61" s="542">
        <f t="shared" si="88"/>
        <v>0</v>
      </c>
      <c r="BV61" s="542">
        <f t="shared" si="42"/>
        <v>0</v>
      </c>
      <c r="BW61" s="647">
        <f t="shared" si="89"/>
        <v>0</v>
      </c>
      <c r="BX61" s="469">
        <f t="shared" si="58"/>
        <v>0</v>
      </c>
      <c r="BY61" s="177">
        <f t="shared" si="59"/>
        <v>1.0857365955192748</v>
      </c>
      <c r="BZ61" s="5">
        <f t="shared" si="60"/>
        <v>9.3800000000000008</v>
      </c>
      <c r="CA61" s="177">
        <f t="shared" si="61"/>
        <v>0.89625798570316451</v>
      </c>
      <c r="CB61" s="5">
        <f t="shared" si="62"/>
        <v>89.625798570316448</v>
      </c>
      <c r="CC61">
        <f t="shared" si="95"/>
        <v>56.000000000000007</v>
      </c>
      <c r="CE61" s="576">
        <f t="shared" si="90"/>
        <v>-50</v>
      </c>
      <c r="CF61">
        <f t="shared" si="91"/>
        <v>-50</v>
      </c>
    </row>
    <row r="62" spans="5:84" x14ac:dyDescent="0.25">
      <c r="E62" s="174">
        <v>57</v>
      </c>
      <c r="F62" s="221">
        <f t="shared" si="96"/>
        <v>0.56999999999999995</v>
      </c>
      <c r="G62" s="221">
        <f t="shared" si="92"/>
        <v>0.14249999999999999</v>
      </c>
      <c r="H62" s="221">
        <f t="shared" si="66"/>
        <v>8.5499999999999989</v>
      </c>
      <c r="I62" s="221">
        <f t="shared" si="97"/>
        <v>0.99749999999999994</v>
      </c>
      <c r="J62" s="555">
        <f t="shared" si="1"/>
        <v>15</v>
      </c>
      <c r="K62" s="451">
        <f t="shared" si="2"/>
        <v>23.85</v>
      </c>
      <c r="L62" s="451">
        <f t="shared" si="3"/>
        <v>38.85</v>
      </c>
      <c r="M62" s="451"/>
      <c r="N62" s="221">
        <f t="shared" si="4"/>
        <v>0.61389961389961389</v>
      </c>
      <c r="O62" s="176">
        <f t="shared" si="93"/>
        <v>16.05988878003803</v>
      </c>
      <c r="P62" s="176">
        <f t="shared" si="67"/>
        <v>1.873653691004437</v>
      </c>
      <c r="Q62" s="221">
        <f t="shared" si="6"/>
        <v>1.0706592520025353</v>
      </c>
      <c r="R62" s="221">
        <f t="shared" si="68"/>
        <v>2.2942698257197187</v>
      </c>
      <c r="S62" s="451">
        <f t="shared" si="69"/>
        <v>15</v>
      </c>
      <c r="T62" s="221">
        <f t="shared" si="70"/>
        <v>2.1827672955974844</v>
      </c>
      <c r="U62" s="221">
        <f t="shared" si="10"/>
        <v>1.0186247379454927</v>
      </c>
      <c r="V62" s="221">
        <f t="shared" si="11"/>
        <v>0.64064448927389472</v>
      </c>
      <c r="W62" s="201">
        <f t="shared" si="12"/>
        <v>350</v>
      </c>
      <c r="X62" s="451">
        <f t="shared" si="48"/>
        <v>350</v>
      </c>
      <c r="Z62" s="221">
        <f t="shared" si="13"/>
        <v>3.7585690646915135</v>
      </c>
      <c r="AA62" s="177">
        <f t="shared" si="14"/>
        <v>1.1031439602868174</v>
      </c>
      <c r="AB62" s="177">
        <f t="shared" si="71"/>
        <v>0.97467647041501804</v>
      </c>
      <c r="AC62" s="177"/>
      <c r="AD62" s="177">
        <f t="shared" si="16"/>
        <v>0.24067085953878403</v>
      </c>
      <c r="AE62" s="559">
        <f t="shared" si="72"/>
        <v>4300.3101895130449</v>
      </c>
      <c r="AF62" s="542">
        <f t="shared" si="73"/>
        <v>4.6392002252886505E-2</v>
      </c>
      <c r="AH62" s="177">
        <f t="shared" si="74"/>
        <v>2.7917516993852458</v>
      </c>
      <c r="AI62" s="177">
        <f t="shared" si="75"/>
        <v>2.7917516993852458</v>
      </c>
      <c r="AJ62" s="177">
        <f t="shared" si="76"/>
        <v>2.6605568143594418</v>
      </c>
      <c r="AL62" s="559">
        <f t="shared" si="77"/>
        <v>570</v>
      </c>
      <c r="AM62" s="469">
        <f t="shared" si="78"/>
        <v>350</v>
      </c>
      <c r="AO62">
        <f t="shared" si="49"/>
        <v>570</v>
      </c>
      <c r="AP62">
        <f t="shared" si="24"/>
        <v>350</v>
      </c>
      <c r="AR62" s="5">
        <f t="shared" si="50"/>
        <v>2.8571428571428572</v>
      </c>
      <c r="AS62" s="5">
        <f t="shared" si="25"/>
        <v>1.3028174597131146</v>
      </c>
      <c r="AT62" s="5">
        <f t="shared" si="51"/>
        <v>1.5543253974297426</v>
      </c>
      <c r="AU62" s="177">
        <f t="shared" si="52"/>
        <v>0.45598611089959007</v>
      </c>
      <c r="AW62" s="5">
        <f t="shared" si="94"/>
        <v>12.079683950617282</v>
      </c>
      <c r="AX62" s="5">
        <f t="shared" si="79"/>
        <v>15.089622666666664</v>
      </c>
      <c r="AY62" s="5">
        <f t="shared" si="80"/>
        <v>0.85581907298473081</v>
      </c>
      <c r="AZ62" s="5">
        <f t="shared" si="81"/>
        <v>0.86986120856572113</v>
      </c>
      <c r="BA62" s="5">
        <f t="shared" si="82"/>
        <v>1.3885306883705704</v>
      </c>
      <c r="BB62" s="469">
        <f t="shared" si="83"/>
        <v>106.14980162779275</v>
      </c>
      <c r="BC62" s="5"/>
      <c r="BD62" s="177">
        <f t="shared" si="54"/>
        <v>1.0884086109725239</v>
      </c>
      <c r="BE62" s="177">
        <f t="shared" si="84"/>
        <v>1.5969409678647322</v>
      </c>
      <c r="BF62" s="177">
        <f t="shared" si="85"/>
        <v>0.3749779108087441</v>
      </c>
      <c r="BG62" s="177"/>
      <c r="BH62" s="542">
        <f t="shared" si="33"/>
        <v>0.13030966348830531</v>
      </c>
      <c r="BI62" s="542">
        <f t="shared" si="34"/>
        <v>0.1898042186619544</v>
      </c>
      <c r="BJ62" s="542">
        <f t="shared" si="35"/>
        <v>1.7499999999999998E-2</v>
      </c>
      <c r="BK62" s="542">
        <f t="shared" si="36"/>
        <v>0.11885914687500002</v>
      </c>
      <c r="BL62">
        <f t="shared" si="37"/>
        <v>4.3499999999999997E-3</v>
      </c>
      <c r="BM62" s="469">
        <f t="shared" si="55"/>
        <v>460.82302902525981</v>
      </c>
      <c r="BN62" s="177">
        <f t="shared" si="86"/>
        <v>0.51300000000000001</v>
      </c>
      <c r="BO62" s="177">
        <f t="shared" si="87"/>
        <v>0.12825</v>
      </c>
      <c r="BP62" s="542"/>
      <c r="BR62" s="469">
        <f t="shared" si="56"/>
        <v>641.25</v>
      </c>
      <c r="BS62" s="542">
        <f t="shared" si="40"/>
        <v>0</v>
      </c>
      <c r="BT62" s="542">
        <f t="shared" si="57"/>
        <v>0</v>
      </c>
      <c r="BU62" s="542">
        <f t="shared" si="88"/>
        <v>0</v>
      </c>
      <c r="BV62" s="542">
        <f t="shared" si="42"/>
        <v>0</v>
      </c>
      <c r="BW62" s="647">
        <f t="shared" si="89"/>
        <v>0</v>
      </c>
      <c r="BX62" s="469">
        <f t="shared" si="58"/>
        <v>0</v>
      </c>
      <c r="BY62" s="177">
        <f t="shared" si="59"/>
        <v>1.1020730290252598</v>
      </c>
      <c r="BZ62" s="5">
        <f t="shared" si="60"/>
        <v>9.5474999999999994</v>
      </c>
      <c r="CA62" s="177">
        <f t="shared" si="61"/>
        <v>0.89651481556851387</v>
      </c>
      <c r="CB62" s="5">
        <f t="shared" si="62"/>
        <v>89.651481556851394</v>
      </c>
      <c r="CC62">
        <f t="shared" si="95"/>
        <v>56.999999999999993</v>
      </c>
      <c r="CE62" s="576">
        <f t="shared" si="90"/>
        <v>-50</v>
      </c>
      <c r="CF62">
        <f t="shared" si="91"/>
        <v>-50</v>
      </c>
    </row>
    <row r="63" spans="5:84" x14ac:dyDescent="0.25">
      <c r="E63" s="174">
        <v>58</v>
      </c>
      <c r="F63" s="221">
        <f t="shared" si="96"/>
        <v>0.57999999999999996</v>
      </c>
      <c r="G63" s="221">
        <f t="shared" si="92"/>
        <v>0.14499999999999999</v>
      </c>
      <c r="H63" s="221">
        <f t="shared" si="66"/>
        <v>8.6999999999999993</v>
      </c>
      <c r="I63" s="221">
        <f t="shared" si="97"/>
        <v>1.0149999999999999</v>
      </c>
      <c r="J63" s="555">
        <f t="shared" si="1"/>
        <v>15</v>
      </c>
      <c r="K63" s="451">
        <f t="shared" si="2"/>
        <v>23.85</v>
      </c>
      <c r="L63" s="451">
        <f t="shared" si="3"/>
        <v>38.85</v>
      </c>
      <c r="M63" s="451"/>
      <c r="N63" s="221">
        <f t="shared" si="4"/>
        <v>0.61389961389961389</v>
      </c>
      <c r="O63" s="176">
        <f t="shared" si="93"/>
        <v>16.05988878003803</v>
      </c>
      <c r="P63" s="176">
        <f t="shared" si="67"/>
        <v>1.873653691004437</v>
      </c>
      <c r="Q63" s="221">
        <f t="shared" si="6"/>
        <v>1.0706592520025353</v>
      </c>
      <c r="R63" s="221">
        <f t="shared" si="68"/>
        <v>2.2942698257197187</v>
      </c>
      <c r="S63" s="451">
        <f t="shared" si="69"/>
        <v>15</v>
      </c>
      <c r="T63" s="221">
        <f t="shared" si="70"/>
        <v>2.2210614586781419</v>
      </c>
      <c r="U63" s="221">
        <f t="shared" si="10"/>
        <v>1.0364953473831329</v>
      </c>
      <c r="V63" s="221">
        <f t="shared" si="11"/>
        <v>0.65188386627869987</v>
      </c>
      <c r="W63" s="201">
        <f t="shared" si="12"/>
        <v>350</v>
      </c>
      <c r="X63" s="451">
        <f t="shared" si="48"/>
        <v>350</v>
      </c>
      <c r="Z63" s="221">
        <f t="shared" si="13"/>
        <v>3.7585690646915135</v>
      </c>
      <c r="AA63" s="177">
        <f t="shared" si="14"/>
        <v>1.1031439602868174</v>
      </c>
      <c r="AB63" s="177">
        <f t="shared" si="71"/>
        <v>0.97467647041501804</v>
      </c>
      <c r="AC63" s="177"/>
      <c r="AD63" s="177">
        <f t="shared" si="16"/>
        <v>0.24067085953878403</v>
      </c>
      <c r="AE63" s="559">
        <f t="shared" si="72"/>
        <v>4375.7542279255549</v>
      </c>
      <c r="AF63" s="542">
        <f t="shared" si="73"/>
        <v>4.6392002252886505E-2</v>
      </c>
      <c r="AH63" s="177">
        <f t="shared" si="74"/>
        <v>2.8161342732366221</v>
      </c>
      <c r="AI63" s="177">
        <f t="shared" si="75"/>
        <v>2.8161342732366221</v>
      </c>
      <c r="AJ63" s="177">
        <f t="shared" si="76"/>
        <v>2.6786179801752761</v>
      </c>
      <c r="AL63" s="559">
        <f t="shared" si="77"/>
        <v>580</v>
      </c>
      <c r="AM63" s="469">
        <f t="shared" si="78"/>
        <v>350</v>
      </c>
      <c r="AO63">
        <f t="shared" si="49"/>
        <v>580</v>
      </c>
      <c r="AP63">
        <f t="shared" si="24"/>
        <v>350</v>
      </c>
      <c r="AR63" s="5">
        <f t="shared" si="50"/>
        <v>2.8571428571428572</v>
      </c>
      <c r="AS63" s="5">
        <f t="shared" si="25"/>
        <v>1.3141959941770904</v>
      </c>
      <c r="AT63" s="5">
        <f t="shared" si="51"/>
        <v>1.5429468629657668</v>
      </c>
      <c r="AU63" s="177">
        <f t="shared" si="52"/>
        <v>0.45996859796198164</v>
      </c>
      <c r="AW63" s="5">
        <f t="shared" si="94"/>
        <v>12.079683950617282</v>
      </c>
      <c r="AX63" s="5">
        <f t="shared" si="79"/>
        <v>15.593201185185182</v>
      </c>
      <c r="AY63" s="5">
        <f t="shared" si="80"/>
        <v>0.85581907298473081</v>
      </c>
      <c r="AZ63" s="5">
        <f t="shared" si="81"/>
        <v>0.89301880751464635</v>
      </c>
      <c r="BA63" s="5">
        <f t="shared" si="82"/>
        <v>1.4025477215169522</v>
      </c>
      <c r="BB63" s="469">
        <f t="shared" si="83"/>
        <v>107.23634227166612</v>
      </c>
      <c r="BC63" s="5"/>
      <c r="BD63" s="177">
        <f t="shared" si="54"/>
        <v>1.1026985981771926</v>
      </c>
      <c r="BE63" s="177">
        <f t="shared" si="84"/>
        <v>1.6049811812340837</v>
      </c>
      <c r="BF63" s="177">
        <f t="shared" si="85"/>
        <v>0.37686583432775</v>
      </c>
      <c r="BG63" s="177"/>
      <c r="BH63" s="542">
        <f t="shared" si="33"/>
        <v>0.13375386182641402</v>
      </c>
      <c r="BI63" s="542">
        <f t="shared" si="34"/>
        <v>0.19146192890167482</v>
      </c>
      <c r="BJ63" s="542">
        <f t="shared" si="35"/>
        <v>1.7499999999999998E-2</v>
      </c>
      <c r="BK63" s="542">
        <f t="shared" si="36"/>
        <v>0.11885914687500002</v>
      </c>
      <c r="BL63">
        <f t="shared" si="37"/>
        <v>4.3499999999999997E-3</v>
      </c>
      <c r="BM63" s="469">
        <f t="shared" si="55"/>
        <v>465.92493760308889</v>
      </c>
      <c r="BN63" s="177">
        <f t="shared" si="86"/>
        <v>0.52200000000000002</v>
      </c>
      <c r="BO63" s="177">
        <f t="shared" si="87"/>
        <v>0.1305</v>
      </c>
      <c r="BP63" s="542"/>
      <c r="BR63" s="469">
        <f t="shared" si="56"/>
        <v>652.50000000000011</v>
      </c>
      <c r="BS63" s="542">
        <f t="shared" si="40"/>
        <v>0</v>
      </c>
      <c r="BT63" s="542">
        <f t="shared" si="57"/>
        <v>0</v>
      </c>
      <c r="BU63" s="542">
        <f t="shared" si="88"/>
        <v>0</v>
      </c>
      <c r="BV63" s="542">
        <f t="shared" si="42"/>
        <v>0</v>
      </c>
      <c r="BW63" s="647">
        <f t="shared" si="89"/>
        <v>0</v>
      </c>
      <c r="BX63" s="469">
        <f t="shared" si="58"/>
        <v>0</v>
      </c>
      <c r="BY63" s="177">
        <f t="shared" si="59"/>
        <v>1.118424937603089</v>
      </c>
      <c r="BZ63" s="5">
        <f t="shared" si="60"/>
        <v>9.7149999999999999</v>
      </c>
      <c r="CA63" s="177">
        <f t="shared" si="61"/>
        <v>0.8967616479511471</v>
      </c>
      <c r="CB63" s="5">
        <f t="shared" si="62"/>
        <v>89.676164795114715</v>
      </c>
      <c r="CC63">
        <f t="shared" si="95"/>
        <v>57.999999999999993</v>
      </c>
      <c r="CE63" s="576">
        <f t="shared" si="90"/>
        <v>-50</v>
      </c>
      <c r="CF63">
        <f t="shared" si="91"/>
        <v>-50</v>
      </c>
    </row>
    <row r="64" spans="5:84" x14ac:dyDescent="0.25">
      <c r="E64" s="174">
        <v>59</v>
      </c>
      <c r="F64" s="221">
        <f t="shared" si="96"/>
        <v>0.59</v>
      </c>
      <c r="G64" s="221">
        <f t="shared" si="92"/>
        <v>0.14749999999999999</v>
      </c>
      <c r="H64" s="221">
        <f t="shared" si="66"/>
        <v>8.85</v>
      </c>
      <c r="I64" s="221">
        <f t="shared" si="97"/>
        <v>1.0325</v>
      </c>
      <c r="J64" s="555">
        <f t="shared" si="1"/>
        <v>15</v>
      </c>
      <c r="K64" s="451">
        <f t="shared" si="2"/>
        <v>23.85</v>
      </c>
      <c r="L64" s="451">
        <f t="shared" si="3"/>
        <v>38.85</v>
      </c>
      <c r="M64" s="451"/>
      <c r="N64" s="221">
        <f t="shared" si="4"/>
        <v>0.61389961389961389</v>
      </c>
      <c r="O64" s="176">
        <f t="shared" si="93"/>
        <v>16.05988878003803</v>
      </c>
      <c r="P64" s="176">
        <f t="shared" si="67"/>
        <v>1.873653691004437</v>
      </c>
      <c r="Q64" s="221">
        <f t="shared" si="6"/>
        <v>1.0706592520025353</v>
      </c>
      <c r="R64" s="221">
        <f t="shared" si="68"/>
        <v>2.2942698257197187</v>
      </c>
      <c r="S64" s="451">
        <f t="shared" si="69"/>
        <v>15</v>
      </c>
      <c r="T64" s="221">
        <f t="shared" si="70"/>
        <v>2.2593556217587998</v>
      </c>
      <c r="U64" s="221">
        <f t="shared" si="10"/>
        <v>1.0543659568207733</v>
      </c>
      <c r="V64" s="221">
        <f t="shared" si="11"/>
        <v>0.66312324328350525</v>
      </c>
      <c r="W64" s="201">
        <f t="shared" si="12"/>
        <v>350</v>
      </c>
      <c r="X64" s="451">
        <f t="shared" si="48"/>
        <v>350</v>
      </c>
      <c r="Z64" s="221">
        <f t="shared" si="13"/>
        <v>3.7585690646915135</v>
      </c>
      <c r="AA64" s="177">
        <f t="shared" si="14"/>
        <v>1.1031439602868174</v>
      </c>
      <c r="AB64" s="177">
        <f t="shared" si="71"/>
        <v>0.97467647041501804</v>
      </c>
      <c r="AC64" s="177"/>
      <c r="AD64" s="177">
        <f t="shared" si="16"/>
        <v>0.24067085953878403</v>
      </c>
      <c r="AE64" s="559">
        <f t="shared" si="72"/>
        <v>4451.198266338065</v>
      </c>
      <c r="AF64" s="542">
        <f t="shared" si="73"/>
        <v>4.6392002252886505E-2</v>
      </c>
      <c r="AH64" s="177">
        <f t="shared" si="74"/>
        <v>2.8403075429916931</v>
      </c>
      <c r="AI64" s="177">
        <f t="shared" si="75"/>
        <v>2.8403075429916931</v>
      </c>
      <c r="AJ64" s="177">
        <f t="shared" si="76"/>
        <v>2.6965241059197727</v>
      </c>
      <c r="AL64" s="559">
        <f t="shared" si="77"/>
        <v>590</v>
      </c>
      <c r="AM64" s="469">
        <f t="shared" si="78"/>
        <v>350</v>
      </c>
      <c r="AO64">
        <f t="shared" si="49"/>
        <v>590</v>
      </c>
      <c r="AP64">
        <f t="shared" si="24"/>
        <v>350</v>
      </c>
      <c r="AR64" s="5">
        <f t="shared" si="50"/>
        <v>2.8571428571428572</v>
      </c>
      <c r="AS64" s="5">
        <f t="shared" si="25"/>
        <v>1.3254768533961234</v>
      </c>
      <c r="AT64" s="5">
        <f t="shared" si="51"/>
        <v>1.5316660037467338</v>
      </c>
      <c r="AU64" s="177">
        <f t="shared" si="52"/>
        <v>0.46391689868864316</v>
      </c>
      <c r="AW64" s="5">
        <f t="shared" si="94"/>
        <v>12.079683950617282</v>
      </c>
      <c r="AX64" s="5">
        <f t="shared" si="79"/>
        <v>16.105015851851849</v>
      </c>
      <c r="AY64" s="5">
        <f t="shared" si="80"/>
        <v>0.85581907298473081</v>
      </c>
      <c r="AZ64" s="5">
        <f t="shared" si="81"/>
        <v>0.91644871253224847</v>
      </c>
      <c r="BA64" s="5">
        <f t="shared" si="82"/>
        <v>1.4162984123534128</v>
      </c>
      <c r="BB64" s="469">
        <f t="shared" si="83"/>
        <v>108.30290724229543</v>
      </c>
      <c r="BC64" s="5"/>
      <c r="BD64" s="177">
        <f t="shared" si="54"/>
        <v>1.1169271197474573</v>
      </c>
      <c r="BE64" s="177">
        <f t="shared" si="84"/>
        <v>1.6128296737317507</v>
      </c>
      <c r="BF64" s="177">
        <f t="shared" si="85"/>
        <v>0.37870873984460734</v>
      </c>
      <c r="BG64" s="177"/>
      <c r="BH64" s="542">
        <f t="shared" si="33"/>
        <v>0.13722788099100858</v>
      </c>
      <c r="BI64" s="542">
        <f t="shared" si="34"/>
        <v>0.19310540907914772</v>
      </c>
      <c r="BJ64" s="542">
        <f t="shared" si="35"/>
        <v>1.7499999999999998E-2</v>
      </c>
      <c r="BK64" s="542">
        <f t="shared" si="36"/>
        <v>0.11885914687500002</v>
      </c>
      <c r="BL64">
        <f t="shared" si="37"/>
        <v>4.3499999999999997E-3</v>
      </c>
      <c r="BM64" s="469">
        <f t="shared" si="55"/>
        <v>471.0424369451564</v>
      </c>
      <c r="BN64" s="177">
        <f t="shared" si="86"/>
        <v>0.53100000000000003</v>
      </c>
      <c r="BO64" s="177">
        <f t="shared" si="87"/>
        <v>0.13275000000000001</v>
      </c>
      <c r="BP64" s="542"/>
      <c r="BR64" s="469">
        <f t="shared" si="56"/>
        <v>663.75000000000011</v>
      </c>
      <c r="BS64" s="542">
        <f t="shared" si="40"/>
        <v>0</v>
      </c>
      <c r="BT64" s="542">
        <f t="shared" si="57"/>
        <v>0</v>
      </c>
      <c r="BU64" s="542">
        <f t="shared" si="88"/>
        <v>0</v>
      </c>
      <c r="BV64" s="542">
        <f t="shared" si="42"/>
        <v>0</v>
      </c>
      <c r="BW64" s="647">
        <f t="shared" si="89"/>
        <v>0</v>
      </c>
      <c r="BX64" s="469">
        <f t="shared" si="58"/>
        <v>0</v>
      </c>
      <c r="BY64" s="177">
        <f t="shared" si="59"/>
        <v>1.1347924369451563</v>
      </c>
      <c r="BZ64" s="5">
        <f t="shared" si="60"/>
        <v>9.8825000000000003</v>
      </c>
      <c r="CA64" s="177">
        <f t="shared" si="61"/>
        <v>0.8969989728928528</v>
      </c>
      <c r="CB64" s="5">
        <f t="shared" si="62"/>
        <v>89.699897289285275</v>
      </c>
      <c r="CC64">
        <f t="shared" si="95"/>
        <v>59</v>
      </c>
      <c r="CE64" s="576">
        <f t="shared" si="90"/>
        <v>-50</v>
      </c>
      <c r="CF64">
        <f t="shared" si="91"/>
        <v>-50</v>
      </c>
    </row>
    <row r="65" spans="5:84" x14ac:dyDescent="0.25">
      <c r="E65" s="174">
        <v>60</v>
      </c>
      <c r="F65" s="221">
        <f t="shared" si="96"/>
        <v>0.6</v>
      </c>
      <c r="G65" s="221">
        <f t="shared" si="92"/>
        <v>0.15</v>
      </c>
      <c r="H65" s="221">
        <f t="shared" si="66"/>
        <v>9</v>
      </c>
      <c r="I65" s="221">
        <f t="shared" si="97"/>
        <v>1.05</v>
      </c>
      <c r="J65" s="555">
        <f t="shared" si="1"/>
        <v>15</v>
      </c>
      <c r="K65" s="451">
        <f t="shared" si="2"/>
        <v>23.85</v>
      </c>
      <c r="L65" s="451">
        <f t="shared" si="3"/>
        <v>38.85</v>
      </c>
      <c r="M65" s="451"/>
      <c r="N65" s="221">
        <f t="shared" si="4"/>
        <v>0.61389961389961389</v>
      </c>
      <c r="O65" s="176">
        <f t="shared" si="93"/>
        <v>16.05988878003803</v>
      </c>
      <c r="P65" s="176">
        <f t="shared" si="67"/>
        <v>1.873653691004437</v>
      </c>
      <c r="Q65" s="221">
        <f t="shared" si="6"/>
        <v>1.0706592520025353</v>
      </c>
      <c r="R65" s="221">
        <f t="shared" si="68"/>
        <v>2.2942698257197187</v>
      </c>
      <c r="S65" s="451">
        <f t="shared" si="69"/>
        <v>15</v>
      </c>
      <c r="T65" s="221">
        <f t="shared" si="70"/>
        <v>2.2976497848394573</v>
      </c>
      <c r="U65" s="221">
        <f t="shared" si="10"/>
        <v>1.0722365662584135</v>
      </c>
      <c r="V65" s="221">
        <f t="shared" si="11"/>
        <v>0.67436262028831029</v>
      </c>
      <c r="W65" s="201">
        <f t="shared" si="12"/>
        <v>350</v>
      </c>
      <c r="X65" s="451">
        <f t="shared" si="48"/>
        <v>350</v>
      </c>
      <c r="Z65" s="221">
        <f t="shared" si="13"/>
        <v>3.7585690646915135</v>
      </c>
      <c r="AA65" s="177">
        <f t="shared" si="14"/>
        <v>1.1031439602868174</v>
      </c>
      <c r="AB65" s="177">
        <f t="shared" si="71"/>
        <v>0.97467647041501804</v>
      </c>
      <c r="AC65" s="177"/>
      <c r="AD65" s="177">
        <f t="shared" si="16"/>
        <v>0.24067085953878403</v>
      </c>
      <c r="AE65" s="559">
        <f t="shared" si="72"/>
        <v>4526.642304750575</v>
      </c>
      <c r="AF65" s="542">
        <f t="shared" si="73"/>
        <v>4.6392002252886505E-2</v>
      </c>
      <c r="AH65" s="177">
        <f t="shared" si="74"/>
        <v>2.8642768079662031</v>
      </c>
      <c r="AI65" s="177">
        <f t="shared" si="75"/>
        <v>2.8642768079662031</v>
      </c>
      <c r="AJ65" s="177">
        <f t="shared" si="76"/>
        <v>2.7142791170120022</v>
      </c>
      <c r="AL65" s="559">
        <f t="shared" si="77"/>
        <v>600</v>
      </c>
      <c r="AM65" s="469">
        <f t="shared" si="78"/>
        <v>350</v>
      </c>
      <c r="AO65">
        <f t="shared" si="49"/>
        <v>600</v>
      </c>
      <c r="AP65">
        <f t="shared" si="24"/>
        <v>350</v>
      </c>
      <c r="AR65" s="5">
        <f t="shared" si="50"/>
        <v>2.8571428571428572</v>
      </c>
      <c r="AS65" s="5">
        <f t="shared" si="25"/>
        <v>1.3366625103842282</v>
      </c>
      <c r="AT65" s="5">
        <f t="shared" si="51"/>
        <v>1.520480346758629</v>
      </c>
      <c r="AU65" s="177">
        <f t="shared" si="52"/>
        <v>0.46783187863447989</v>
      </c>
      <c r="AW65" s="5">
        <f t="shared" si="94"/>
        <v>12.079683950617282</v>
      </c>
      <c r="AX65" s="5">
        <f t="shared" si="79"/>
        <v>16.625066666666665</v>
      </c>
      <c r="AY65" s="5">
        <f t="shared" si="80"/>
        <v>0.85581907298473081</v>
      </c>
      <c r="AZ65" s="5">
        <f t="shared" si="81"/>
        <v>0.9401509236185277</v>
      </c>
      <c r="BA65" s="5">
        <f t="shared" si="82"/>
        <v>1.4297850278291671</v>
      </c>
      <c r="BB65" s="469">
        <f t="shared" si="83"/>
        <v>109.34966656087174</v>
      </c>
      <c r="BC65" s="5"/>
      <c r="BD65" s="177">
        <f t="shared" si="54"/>
        <v>1.1310954752914999</v>
      </c>
      <c r="BE65" s="177">
        <f t="shared" si="84"/>
        <v>1.6204905156956231</v>
      </c>
      <c r="BF65" s="177">
        <f t="shared" si="85"/>
        <v>0.38050758311587096</v>
      </c>
      <c r="BG65" s="177"/>
      <c r="BH65" s="542">
        <f t="shared" si="33"/>
        <v>0.14073146716473947</v>
      </c>
      <c r="BI65" s="542">
        <f t="shared" si="34"/>
        <v>0.19473501948160224</v>
      </c>
      <c r="BJ65" s="542">
        <f t="shared" si="35"/>
        <v>1.7499999999999998E-2</v>
      </c>
      <c r="BK65" s="542">
        <f t="shared" si="36"/>
        <v>0.11885914687500002</v>
      </c>
      <c r="BL65">
        <f t="shared" si="37"/>
        <v>4.3499999999999997E-3</v>
      </c>
      <c r="BM65" s="469">
        <f t="shared" si="55"/>
        <v>476.17563352134181</v>
      </c>
      <c r="BN65" s="177">
        <f t="shared" si="86"/>
        <v>0.54</v>
      </c>
      <c r="BO65" s="177">
        <f t="shared" si="87"/>
        <v>0.13500000000000001</v>
      </c>
      <c r="BP65" s="542"/>
      <c r="BR65" s="469">
        <f t="shared" si="56"/>
        <v>675</v>
      </c>
      <c r="BS65" s="542">
        <f t="shared" si="40"/>
        <v>0</v>
      </c>
      <c r="BT65" s="542">
        <f t="shared" si="57"/>
        <v>0</v>
      </c>
      <c r="BU65" s="542">
        <f t="shared" si="88"/>
        <v>0</v>
      </c>
      <c r="BV65" s="542">
        <f t="shared" si="42"/>
        <v>0</v>
      </c>
      <c r="BW65" s="647">
        <f t="shared" si="89"/>
        <v>0</v>
      </c>
      <c r="BX65" s="469">
        <f t="shared" si="58"/>
        <v>0</v>
      </c>
      <c r="BY65" s="177">
        <f t="shared" si="59"/>
        <v>1.1511756335213419</v>
      </c>
      <c r="BZ65" s="5">
        <f t="shared" si="60"/>
        <v>10.050000000000001</v>
      </c>
      <c r="CA65" s="177">
        <f t="shared" si="61"/>
        <v>0.8972272490687262</v>
      </c>
      <c r="CB65" s="5">
        <f t="shared" si="62"/>
        <v>89.722724906872614</v>
      </c>
      <c r="CC65">
        <f t="shared" si="95"/>
        <v>60</v>
      </c>
      <c r="CE65" s="576">
        <f t="shared" si="90"/>
        <v>-50</v>
      </c>
      <c r="CF65">
        <f t="shared" si="91"/>
        <v>-50</v>
      </c>
    </row>
    <row r="66" spans="5:84" x14ac:dyDescent="0.25">
      <c r="E66" s="174">
        <v>61</v>
      </c>
      <c r="F66" s="221">
        <f t="shared" si="96"/>
        <v>0.61</v>
      </c>
      <c r="G66" s="221">
        <f t="shared" si="92"/>
        <v>0.1525</v>
      </c>
      <c r="H66" s="221">
        <f t="shared" si="66"/>
        <v>9.15</v>
      </c>
      <c r="I66" s="221">
        <f t="shared" si="97"/>
        <v>1.0674999999999999</v>
      </c>
      <c r="J66" s="555">
        <f t="shared" si="1"/>
        <v>15</v>
      </c>
      <c r="K66" s="451">
        <f t="shared" si="2"/>
        <v>23.85</v>
      </c>
      <c r="L66" s="451">
        <f t="shared" si="3"/>
        <v>38.85</v>
      </c>
      <c r="M66" s="451"/>
      <c r="N66" s="221">
        <f t="shared" si="4"/>
        <v>0.61389961389961389</v>
      </c>
      <c r="O66" s="176">
        <f t="shared" si="93"/>
        <v>16.05988878003803</v>
      </c>
      <c r="P66" s="176">
        <f t="shared" si="67"/>
        <v>1.873653691004437</v>
      </c>
      <c r="Q66" s="221">
        <f t="shared" si="6"/>
        <v>1.0706592520025353</v>
      </c>
      <c r="R66" s="221">
        <f t="shared" si="68"/>
        <v>2.2942698257197187</v>
      </c>
      <c r="S66" s="451">
        <f t="shared" si="69"/>
        <v>15</v>
      </c>
      <c r="T66" s="221">
        <f t="shared" si="70"/>
        <v>2.3359439479201152</v>
      </c>
      <c r="U66" s="221">
        <f t="shared" si="10"/>
        <v>1.0901071756960539</v>
      </c>
      <c r="V66" s="221">
        <f t="shared" si="11"/>
        <v>0.68560199729311555</v>
      </c>
      <c r="W66" s="201">
        <f t="shared" si="12"/>
        <v>350</v>
      </c>
      <c r="X66" s="451">
        <f t="shared" si="48"/>
        <v>350</v>
      </c>
      <c r="Z66" s="221">
        <f t="shared" si="13"/>
        <v>3.7585690646915135</v>
      </c>
      <c r="AA66" s="177">
        <f t="shared" si="14"/>
        <v>1.1031439602868174</v>
      </c>
      <c r="AB66" s="177">
        <f t="shared" si="71"/>
        <v>0.97467647041501804</v>
      </c>
      <c r="AC66" s="177"/>
      <c r="AD66" s="177">
        <f t="shared" si="16"/>
        <v>0.24067085953878403</v>
      </c>
      <c r="AE66" s="559">
        <f t="shared" si="72"/>
        <v>4602.0863431630842</v>
      </c>
      <c r="AF66" s="542">
        <f t="shared" si="73"/>
        <v>4.6392002252886505E-2</v>
      </c>
      <c r="AH66" s="177">
        <f t="shared" si="74"/>
        <v>2.8880471475602008</v>
      </c>
      <c r="AI66" s="177">
        <f t="shared" si="75"/>
        <v>2.8880471475602008</v>
      </c>
      <c r="AJ66" s="177">
        <f t="shared" si="76"/>
        <v>2.7318867759705192</v>
      </c>
      <c r="AL66" s="559">
        <f t="shared" si="77"/>
        <v>610</v>
      </c>
      <c r="AM66" s="469">
        <f t="shared" si="78"/>
        <v>350</v>
      </c>
      <c r="AO66">
        <f t="shared" si="49"/>
        <v>610</v>
      </c>
      <c r="AP66">
        <f t="shared" si="24"/>
        <v>350</v>
      </c>
      <c r="AR66" s="5">
        <f t="shared" si="50"/>
        <v>2.8571428571428572</v>
      </c>
      <c r="AS66" s="5">
        <f t="shared" si="25"/>
        <v>1.3477553355280938</v>
      </c>
      <c r="AT66" s="5">
        <f t="shared" si="51"/>
        <v>1.5093875216147634</v>
      </c>
      <c r="AU66" s="177">
        <f t="shared" si="52"/>
        <v>0.4717143674348328</v>
      </c>
      <c r="AW66" s="5">
        <f t="shared" si="94"/>
        <v>12.079683950617282</v>
      </c>
      <c r="AX66" s="5">
        <f t="shared" si="79"/>
        <v>17.153353629629628</v>
      </c>
      <c r="AY66" s="5">
        <f t="shared" si="80"/>
        <v>0.85581907298473081</v>
      </c>
      <c r="AZ66" s="5">
        <f t="shared" si="81"/>
        <v>0.96412544077348372</v>
      </c>
      <c r="BA66" s="5">
        <f t="shared" si="82"/>
        <v>1.4430097779741613</v>
      </c>
      <c r="BB66" s="469">
        <f t="shared" si="83"/>
        <v>110.37678597964104</v>
      </c>
      <c r="BC66" s="5"/>
      <c r="BD66" s="177">
        <f t="shared" si="54"/>
        <v>1.1452049157770141</v>
      </c>
      <c r="BE66" s="177">
        <f t="shared" si="84"/>
        <v>1.6279676029017176</v>
      </c>
      <c r="BF66" s="177">
        <f t="shared" si="85"/>
        <v>0.38226327890920075</v>
      </c>
      <c r="BG66" s="177"/>
      <c r="BH66" s="542">
        <f t="shared" si="33"/>
        <v>0.14426437290318217</v>
      </c>
      <c r="BI66" s="542">
        <f t="shared" si="34"/>
        <v>0.19635110544474915</v>
      </c>
      <c r="BJ66" s="542">
        <f t="shared" si="35"/>
        <v>1.7499999999999998E-2</v>
      </c>
      <c r="BK66" s="542">
        <f t="shared" si="36"/>
        <v>0.11885914687500002</v>
      </c>
      <c r="BL66">
        <f t="shared" si="37"/>
        <v>4.3499999999999997E-3</v>
      </c>
      <c r="BM66" s="469">
        <f t="shared" si="55"/>
        <v>481.32462522293133</v>
      </c>
      <c r="BN66" s="177">
        <f t="shared" si="86"/>
        <v>0.54900000000000004</v>
      </c>
      <c r="BO66" s="177">
        <f t="shared" si="87"/>
        <v>0.13725000000000001</v>
      </c>
      <c r="BP66" s="542"/>
      <c r="BR66" s="469">
        <f t="shared" si="56"/>
        <v>686.25</v>
      </c>
      <c r="BS66" s="542">
        <f t="shared" si="40"/>
        <v>0</v>
      </c>
      <c r="BT66" s="542">
        <f t="shared" si="57"/>
        <v>0</v>
      </c>
      <c r="BU66" s="542">
        <f t="shared" si="88"/>
        <v>0</v>
      </c>
      <c r="BV66" s="542">
        <f t="shared" si="42"/>
        <v>0</v>
      </c>
      <c r="BW66" s="647">
        <f t="shared" si="89"/>
        <v>0</v>
      </c>
      <c r="BX66" s="469">
        <f t="shared" si="58"/>
        <v>0</v>
      </c>
      <c r="BY66" s="177">
        <f t="shared" si="59"/>
        <v>1.1675746252229315</v>
      </c>
      <c r="BZ66" s="5">
        <f t="shared" si="60"/>
        <v>10.217500000000001</v>
      </c>
      <c r="CA66" s="177">
        <f t="shared" si="61"/>
        <v>0.89744690626478274</v>
      </c>
      <c r="CB66" s="5">
        <f t="shared" si="62"/>
        <v>89.744690626478274</v>
      </c>
      <c r="CC66">
        <f t="shared" si="95"/>
        <v>61</v>
      </c>
      <c r="CE66" s="576">
        <f t="shared" si="90"/>
        <v>-50</v>
      </c>
      <c r="CF66">
        <f t="shared" si="91"/>
        <v>-50</v>
      </c>
    </row>
    <row r="67" spans="5:84" x14ac:dyDescent="0.25">
      <c r="E67" s="174">
        <v>62</v>
      </c>
      <c r="F67" s="221">
        <f t="shared" si="96"/>
        <v>0.62</v>
      </c>
      <c r="G67" s="221">
        <f t="shared" si="92"/>
        <v>0.155</v>
      </c>
      <c r="H67" s="221">
        <f t="shared" si="66"/>
        <v>9.3000000000000007</v>
      </c>
      <c r="I67" s="221">
        <f t="shared" si="97"/>
        <v>1.085</v>
      </c>
      <c r="J67" s="555">
        <f t="shared" si="1"/>
        <v>15</v>
      </c>
      <c r="K67" s="451">
        <f t="shared" si="2"/>
        <v>23.85</v>
      </c>
      <c r="L67" s="451">
        <f t="shared" si="3"/>
        <v>38.85</v>
      </c>
      <c r="M67" s="451"/>
      <c r="N67" s="221">
        <f t="shared" si="4"/>
        <v>0.61389961389961389</v>
      </c>
      <c r="O67" s="176">
        <f t="shared" si="93"/>
        <v>16.05988878003803</v>
      </c>
      <c r="P67" s="176">
        <f t="shared" si="67"/>
        <v>1.873653691004437</v>
      </c>
      <c r="Q67" s="221">
        <f t="shared" si="6"/>
        <v>1.0706592520025353</v>
      </c>
      <c r="R67" s="221">
        <f t="shared" si="68"/>
        <v>2.2942698257197187</v>
      </c>
      <c r="S67" s="451">
        <f t="shared" si="69"/>
        <v>15</v>
      </c>
      <c r="T67" s="221">
        <f t="shared" si="70"/>
        <v>2.3742381110007726</v>
      </c>
      <c r="U67" s="221">
        <f t="shared" si="10"/>
        <v>1.107977785133694</v>
      </c>
      <c r="V67" s="221">
        <f t="shared" si="11"/>
        <v>0.69684137429792059</v>
      </c>
      <c r="W67" s="201">
        <f t="shared" si="12"/>
        <v>350</v>
      </c>
      <c r="X67" s="451">
        <f t="shared" si="48"/>
        <v>350</v>
      </c>
      <c r="Z67" s="221">
        <f t="shared" si="13"/>
        <v>3.7585690646915135</v>
      </c>
      <c r="AA67" s="177">
        <f t="shared" si="14"/>
        <v>1.1031439602868174</v>
      </c>
      <c r="AB67" s="177">
        <f t="shared" si="71"/>
        <v>0.97467647041501804</v>
      </c>
      <c r="AC67" s="177"/>
      <c r="AD67" s="177">
        <f t="shared" si="16"/>
        <v>0.24067085953878403</v>
      </c>
      <c r="AE67" s="559">
        <f t="shared" si="72"/>
        <v>4677.5303815755933</v>
      </c>
      <c r="AF67" s="542">
        <f t="shared" si="73"/>
        <v>4.6392002252886505E-2</v>
      </c>
      <c r="AH67" s="177">
        <f t="shared" si="74"/>
        <v>2.9116234338265934</v>
      </c>
      <c r="AI67" s="177">
        <f t="shared" si="75"/>
        <v>2.9116234338265934</v>
      </c>
      <c r="AJ67" s="177">
        <f t="shared" si="76"/>
        <v>2.7493506917234027</v>
      </c>
      <c r="AL67" s="559">
        <f t="shared" si="77"/>
        <v>620</v>
      </c>
      <c r="AM67" s="469">
        <f t="shared" si="78"/>
        <v>350</v>
      </c>
      <c r="AO67">
        <f t="shared" si="49"/>
        <v>620</v>
      </c>
      <c r="AP67">
        <f t="shared" si="24"/>
        <v>350</v>
      </c>
      <c r="AR67" s="5">
        <f t="shared" si="50"/>
        <v>2.8571428571428572</v>
      </c>
      <c r="AS67" s="5">
        <f t="shared" si="25"/>
        <v>1.3587576024524102</v>
      </c>
      <c r="AT67" s="5">
        <f t="shared" si="51"/>
        <v>1.498385254690447</v>
      </c>
      <c r="AU67" s="177">
        <f t="shared" si="52"/>
        <v>0.47556516085834355</v>
      </c>
      <c r="AW67" s="5">
        <f t="shared" si="94"/>
        <v>12.079683950617282</v>
      </c>
      <c r="AX67" s="5">
        <f t="shared" si="79"/>
        <v>17.68987674074074</v>
      </c>
      <c r="AY67" s="5">
        <f t="shared" si="80"/>
        <v>0.85581907298473081</v>
      </c>
      <c r="AZ67" s="5">
        <f t="shared" si="81"/>
        <v>0.98837226399711675</v>
      </c>
      <c r="BA67" s="5">
        <f t="shared" si="82"/>
        <v>1.4559748182418992</v>
      </c>
      <c r="BB67" s="469">
        <f t="shared" si="83"/>
        <v>111.38442715761612</v>
      </c>
      <c r="BC67" s="5"/>
      <c r="BD67" s="177">
        <f t="shared" si="54"/>
        <v>1.1592566461178506</v>
      </c>
      <c r="BE67" s="177">
        <f t="shared" si="84"/>
        <v>1.6352646663949266</v>
      </c>
      <c r="BF67" s="177">
        <f t="shared" si="85"/>
        <v>0.38397670331172007</v>
      </c>
      <c r="BG67" s="177"/>
      <c r="BH67" s="542">
        <f t="shared" si="33"/>
        <v>0.14782635687252482</v>
      </c>
      <c r="BI67" s="542">
        <f t="shared" si="34"/>
        <v>0.19795399820728551</v>
      </c>
      <c r="BJ67" s="542">
        <f t="shared" si="35"/>
        <v>1.7499999999999998E-2</v>
      </c>
      <c r="BK67" s="542">
        <f t="shared" si="36"/>
        <v>0.11885914687500002</v>
      </c>
      <c r="BL67">
        <f t="shared" si="37"/>
        <v>4.3499999999999997E-3</v>
      </c>
      <c r="BM67" s="469">
        <f t="shared" si="55"/>
        <v>486.48950195481041</v>
      </c>
      <c r="BN67" s="177">
        <f t="shared" si="86"/>
        <v>0.55800000000000005</v>
      </c>
      <c r="BO67" s="177">
        <f t="shared" si="87"/>
        <v>0.13950000000000001</v>
      </c>
      <c r="BP67" s="542"/>
      <c r="BR67" s="469">
        <f t="shared" si="56"/>
        <v>697.5</v>
      </c>
      <c r="BS67" s="542">
        <f t="shared" si="40"/>
        <v>0</v>
      </c>
      <c r="BT67" s="542">
        <f t="shared" si="57"/>
        <v>0</v>
      </c>
      <c r="BU67" s="542">
        <f t="shared" si="88"/>
        <v>0</v>
      </c>
      <c r="BV67" s="542">
        <f t="shared" si="42"/>
        <v>0</v>
      </c>
      <c r="BW67" s="647">
        <f t="shared" si="89"/>
        <v>0</v>
      </c>
      <c r="BX67" s="469">
        <f t="shared" si="58"/>
        <v>0</v>
      </c>
      <c r="BY67" s="177">
        <f t="shared" si="59"/>
        <v>1.1839895019548103</v>
      </c>
      <c r="BZ67" s="5">
        <f t="shared" si="60"/>
        <v>10.385000000000002</v>
      </c>
      <c r="CA67" s="177">
        <f t="shared" si="61"/>
        <v>0.89765834762364061</v>
      </c>
      <c r="CB67" s="5">
        <f t="shared" si="62"/>
        <v>89.765834762364065</v>
      </c>
      <c r="CC67">
        <f t="shared" si="95"/>
        <v>62</v>
      </c>
      <c r="CE67" s="576">
        <f t="shared" si="90"/>
        <v>-50</v>
      </c>
      <c r="CF67">
        <f t="shared" si="91"/>
        <v>-50</v>
      </c>
    </row>
    <row r="68" spans="5:84" x14ac:dyDescent="0.25">
      <c r="E68" s="174">
        <v>63</v>
      </c>
      <c r="F68" s="221">
        <f t="shared" si="96"/>
        <v>0.63</v>
      </c>
      <c r="G68" s="221">
        <f t="shared" si="92"/>
        <v>0.1575</v>
      </c>
      <c r="H68" s="221">
        <f t="shared" si="66"/>
        <v>9.4499999999999993</v>
      </c>
      <c r="I68" s="221">
        <f t="shared" si="97"/>
        <v>1.1025</v>
      </c>
      <c r="J68" s="555">
        <f t="shared" si="1"/>
        <v>15</v>
      </c>
      <c r="K68" s="451">
        <f t="shared" si="2"/>
        <v>23.85</v>
      </c>
      <c r="L68" s="451">
        <f t="shared" si="3"/>
        <v>38.85</v>
      </c>
      <c r="M68" s="451"/>
      <c r="N68" s="221">
        <f t="shared" si="4"/>
        <v>0.61389961389961389</v>
      </c>
      <c r="O68" s="176">
        <f t="shared" si="93"/>
        <v>16.05988878003803</v>
      </c>
      <c r="P68" s="176">
        <f t="shared" si="67"/>
        <v>1.873653691004437</v>
      </c>
      <c r="Q68" s="221">
        <f t="shared" si="6"/>
        <v>1.0706592520025353</v>
      </c>
      <c r="R68" s="221">
        <f t="shared" si="68"/>
        <v>2.2942698257197187</v>
      </c>
      <c r="S68" s="451">
        <f t="shared" si="69"/>
        <v>15</v>
      </c>
      <c r="T68" s="221">
        <f t="shared" si="70"/>
        <v>2.4125322740814297</v>
      </c>
      <c r="U68" s="221">
        <f t="shared" si="10"/>
        <v>1.125848394571334</v>
      </c>
      <c r="V68" s="221">
        <f t="shared" si="11"/>
        <v>0.70808075130272563</v>
      </c>
      <c r="W68" s="201">
        <f t="shared" si="12"/>
        <v>350</v>
      </c>
      <c r="X68" s="451">
        <f t="shared" si="48"/>
        <v>350</v>
      </c>
      <c r="Z68" s="221">
        <f t="shared" si="13"/>
        <v>3.7585690646915135</v>
      </c>
      <c r="AA68" s="177">
        <f t="shared" si="14"/>
        <v>1.1031439602868174</v>
      </c>
      <c r="AB68" s="177">
        <f t="shared" si="71"/>
        <v>0.97467647041501804</v>
      </c>
      <c r="AC68" s="177"/>
      <c r="AD68" s="177">
        <f t="shared" si="16"/>
        <v>0.24067085953878403</v>
      </c>
      <c r="AE68" s="559">
        <f t="shared" si="72"/>
        <v>4752.9744199881043</v>
      </c>
      <c r="AF68" s="542">
        <f t="shared" si="73"/>
        <v>4.6392002252886505E-2</v>
      </c>
      <c r="AH68" s="177">
        <f t="shared" si="74"/>
        <v>2.9350103431309593</v>
      </c>
      <c r="AI68" s="177">
        <f t="shared" si="75"/>
        <v>2.9350103431309593</v>
      </c>
      <c r="AJ68" s="177">
        <f t="shared" si="76"/>
        <v>2.7666743282451551</v>
      </c>
      <c r="AL68" s="559">
        <f t="shared" si="77"/>
        <v>630</v>
      </c>
      <c r="AM68" s="469">
        <f t="shared" si="78"/>
        <v>350</v>
      </c>
      <c r="AO68">
        <f t="shared" si="49"/>
        <v>630</v>
      </c>
      <c r="AP68">
        <f t="shared" si="24"/>
        <v>350</v>
      </c>
      <c r="AR68" s="5">
        <f t="shared" si="50"/>
        <v>2.8571428571428572</v>
      </c>
      <c r="AS68" s="5">
        <f t="shared" si="25"/>
        <v>1.3696714934611143</v>
      </c>
      <c r="AT68" s="5">
        <f t="shared" si="51"/>
        <v>1.4874713636817429</v>
      </c>
      <c r="AU68" s="177">
        <f t="shared" si="52"/>
        <v>0.47938502271139</v>
      </c>
      <c r="AW68" s="5">
        <f t="shared" si="94"/>
        <v>12.079683950617282</v>
      </c>
      <c r="AX68" s="5">
        <f t="shared" si="79"/>
        <v>18.234635999999998</v>
      </c>
      <c r="AY68" s="5">
        <f t="shared" si="80"/>
        <v>0.85581907298473081</v>
      </c>
      <c r="AZ68" s="5">
        <f t="shared" si="81"/>
        <v>1.0128913932894268</v>
      </c>
      <c r="BA68" s="5">
        <f t="shared" si="82"/>
        <v>1.4686822517194471</v>
      </c>
      <c r="BB68" s="469">
        <f t="shared" si="83"/>
        <v>112.37274782632694</v>
      </c>
      <c r="BC68" s="5"/>
      <c r="BD68" s="177">
        <f t="shared" si="54"/>
        <v>1.173251827583669</v>
      </c>
      <c r="BE68" s="177">
        <f t="shared" si="84"/>
        <v>1.6423852816083557</v>
      </c>
      <c r="BF68" s="177">
        <f t="shared" si="85"/>
        <v>0.38564869587132899</v>
      </c>
      <c r="BG68" s="177"/>
      <c r="BH68" s="542">
        <f t="shared" si="33"/>
        <v>0.15141718360212614</v>
      </c>
      <c r="BI68" s="542">
        <f t="shared" si="34"/>
        <v>0.1995440157036161</v>
      </c>
      <c r="BJ68" s="542">
        <f t="shared" si="35"/>
        <v>1.7499999999999998E-2</v>
      </c>
      <c r="BK68" s="542">
        <f t="shared" si="36"/>
        <v>0.11885914687500002</v>
      </c>
      <c r="BL68">
        <f t="shared" si="37"/>
        <v>4.3499999999999997E-3</v>
      </c>
      <c r="BM68" s="469">
        <f t="shared" si="55"/>
        <v>491.67034618074229</v>
      </c>
      <c r="BN68" s="177">
        <f t="shared" si="86"/>
        <v>0.56700000000000006</v>
      </c>
      <c r="BO68" s="177">
        <f t="shared" si="87"/>
        <v>0.14175000000000001</v>
      </c>
      <c r="BP68" s="542"/>
      <c r="BR68" s="469">
        <f t="shared" si="56"/>
        <v>708.75000000000011</v>
      </c>
      <c r="BS68" s="542">
        <f t="shared" si="40"/>
        <v>0</v>
      </c>
      <c r="BT68" s="542">
        <f t="shared" si="57"/>
        <v>0</v>
      </c>
      <c r="BU68" s="542">
        <f t="shared" si="88"/>
        <v>0</v>
      </c>
      <c r="BV68" s="542">
        <f t="shared" si="42"/>
        <v>0</v>
      </c>
      <c r="BW68" s="647">
        <f t="shared" si="89"/>
        <v>0</v>
      </c>
      <c r="BX68" s="469">
        <f t="shared" si="58"/>
        <v>0</v>
      </c>
      <c r="BY68" s="177">
        <f t="shared" si="59"/>
        <v>1.2004203461807423</v>
      </c>
      <c r="BZ68" s="5">
        <f t="shared" si="60"/>
        <v>10.552499999999998</v>
      </c>
      <c r="CA68" s="177">
        <f t="shared" si="61"/>
        <v>0.89786195168328242</v>
      </c>
      <c r="CB68" s="5">
        <f t="shared" si="62"/>
        <v>89.786195168328248</v>
      </c>
      <c r="CC68">
        <f t="shared" si="95"/>
        <v>63</v>
      </c>
      <c r="CE68" s="576">
        <f t="shared" si="90"/>
        <v>-50</v>
      </c>
      <c r="CF68">
        <f t="shared" si="91"/>
        <v>-50</v>
      </c>
    </row>
    <row r="69" spans="5:84" x14ac:dyDescent="0.25">
      <c r="E69" s="174">
        <v>64</v>
      </c>
      <c r="F69" s="221">
        <f t="shared" si="96"/>
        <v>0.64</v>
      </c>
      <c r="G69" s="221">
        <f t="shared" si="92"/>
        <v>0.16</v>
      </c>
      <c r="H69" s="221">
        <f t="shared" ref="H69:H105" si="98">F69*Vout</f>
        <v>9.6</v>
      </c>
      <c r="I69" s="221">
        <f t="shared" si="97"/>
        <v>1.1200000000000001</v>
      </c>
      <c r="J69" s="555">
        <f t="shared" ref="J69:J105" si="99">Vin</f>
        <v>15</v>
      </c>
      <c r="K69" s="451">
        <f t="shared" ref="K69:K105" si="100">(S69+Vfwd1)*Nps</f>
        <v>23.85</v>
      </c>
      <c r="L69" s="451">
        <f t="shared" ref="L69:L105" si="101">(Vout+Vfwd1)*Nps+J69</f>
        <v>38.85</v>
      </c>
      <c r="M69" s="451"/>
      <c r="N69" s="221">
        <f t="shared" ref="N69:N105" si="102">(Vout+Vfwd1)*Nps/((Vout+Vfwd1)*Nps+J69)</f>
        <v>0.61389961389961389</v>
      </c>
      <c r="O69" s="176">
        <f t="shared" si="93"/>
        <v>16.05988878003803</v>
      </c>
      <c r="P69" s="176">
        <f t="shared" ref="P69:P105" si="103">N69*J69*Isw_max*0.5*Efficiency*(Pout2/Pout_total)</f>
        <v>1.873653691004437</v>
      </c>
      <c r="Q69" s="221">
        <f t="shared" ref="Q69:Q105" si="104">O69/Vout</f>
        <v>1.0706592520025353</v>
      </c>
      <c r="R69" s="221">
        <f t="shared" ref="R69:R105" si="105">O69/Vout2</f>
        <v>2.2942698257197187</v>
      </c>
      <c r="S69" s="451">
        <f t="shared" ref="S69:S105" si="106">MIN(Vout,O69/F69)</f>
        <v>15</v>
      </c>
      <c r="T69" s="221">
        <f t="shared" ref="T69:T105" si="107">MIN(2*(Vout*F69+Vout2*G69)/(Efficiency*J69*N69), Isw_max)</f>
        <v>2.4508264371620876</v>
      </c>
      <c r="U69" s="221">
        <f t="shared" ref="U69:U105" si="108">L*T69/J69*1000000</f>
        <v>1.1437190040089744</v>
      </c>
      <c r="V69" s="221">
        <f t="shared" ref="V69:V105" si="109">L*T69/K69*1000000</f>
        <v>0.719320128307531</v>
      </c>
      <c r="W69" s="201">
        <f t="shared" ref="W69:W105" si="110">IF(1/((350000*L)*(1/J69+1/K69))&gt;Isw_min, 350, 0.001/((Isw_min*L)*(1/J69+1/K69)))</f>
        <v>350</v>
      </c>
      <c r="X69" s="451">
        <f t="shared" si="48"/>
        <v>350</v>
      </c>
      <c r="Z69" s="221">
        <f t="shared" ref="Z69:Z105" si="111">1/((W69*1000*L)*(1/J69+1/K69))</f>
        <v>3.7585690646915135</v>
      </c>
      <c r="AA69" s="177">
        <f t="shared" ref="AA69:AA105" si="112">L*Z69/K69*1000000</f>
        <v>1.1031439602868174</v>
      </c>
      <c r="AB69" s="177">
        <f t="shared" ref="AB69:AB100" si="113">0.5*AA69*Z69*Nps*W69/1000*(Pout/Pout_total)</f>
        <v>0.97467647041501804</v>
      </c>
      <c r="AC69" s="177"/>
      <c r="AD69" s="177">
        <f t="shared" ref="AD69:AD105" si="114">L*Isw_min/K69*1000000</f>
        <v>0.24067085953878403</v>
      </c>
      <c r="AE69" s="559">
        <f t="shared" ref="AE69:AE100" si="115">MAX(10, F69/(0.5*AD69/1000000*Isw_min*Nps)/1000*Pout_total/Pout)</f>
        <v>4828.4184584006134</v>
      </c>
      <c r="AF69" s="542">
        <f t="shared" ref="AF69:AF105" si="116">0.5*AD69/1000000*Isw_min*Nps*W69*1000*(Pout/Pout_total)</f>
        <v>4.6392002252886505E-2</v>
      </c>
      <c r="AH69" s="177">
        <f t="shared" ref="AH69:AH105" si="117">SQRT((H69+I69)/(0.5*L*Fsw_DCM))</f>
        <v>2.9582123669816647</v>
      </c>
      <c r="AI69" s="177">
        <f t="shared" ref="AI69:AI100" si="118">MAX(IF(F69&gt;AB69,T69,AH69),Isw_min)</f>
        <v>2.9582123669816647</v>
      </c>
      <c r="AJ69" s="177">
        <f t="shared" ref="AJ69:AJ100" si="119">IF(F69&gt;AF69, (AI69-Isw_min)/1.08*0.8+1.2, AE69*0.2/350+1)</f>
        <v>2.7838610125790106</v>
      </c>
      <c r="AL69" s="559">
        <f t="shared" ref="AL69:AL105" si="120">F69*1000</f>
        <v>640</v>
      </c>
      <c r="AM69" s="469">
        <f t="shared" ref="AM69:AM105" si="121">IF(F69&gt;AF69, X69, AE69)</f>
        <v>350</v>
      </c>
      <c r="AO69">
        <f t="shared" si="49"/>
        <v>640</v>
      </c>
      <c r="AP69">
        <f t="shared" ref="AP69:AP105" si="122">IF(H69&gt;O69, "",AM69)</f>
        <v>350</v>
      </c>
      <c r="AR69" s="5">
        <f t="shared" si="50"/>
        <v>2.8571428571428572</v>
      </c>
      <c r="AS69" s="5">
        <f t="shared" ref="AS69:AS105" si="123">L*AI69/J69*1000000</f>
        <v>1.3804991045914436</v>
      </c>
      <c r="AT69" s="5">
        <f t="shared" si="51"/>
        <v>1.4766437525514136</v>
      </c>
      <c r="AU69" s="177">
        <f t="shared" si="52"/>
        <v>0.48317468660700524</v>
      </c>
      <c r="AW69" s="5">
        <f t="shared" si="94"/>
        <v>12.079683950617282</v>
      </c>
      <c r="AX69" s="5">
        <f t="shared" ref="AX69:AX105" si="124">L*F69^2/(2*Cout*Vout*Nps^2)*1000000000*((1+N69)/(1-N69))^2+F69*RCoutEsr</f>
        <v>18.787631407407403</v>
      </c>
      <c r="AY69" s="5">
        <f t="shared" ref="AY69:AY105" si="125">L*Iout2^2/(2*Vripple2_spec*Vout2*Npri_sec2^2)*1000000000*((1+N69)/(1-N69))^2</f>
        <v>0.85581907298473081</v>
      </c>
      <c r="AZ69" s="5">
        <f t="shared" ref="AZ69:AZ105" si="126">L*G69^2/(2*Cout2*Vout2*Npri_sec2^2)*1000000000*((1+N69)/(1-N69))^2+G69*CoutEsr2</f>
        <v>1.0376828286504138</v>
      </c>
      <c r="BA69" s="5">
        <f t="shared" ref="BA69:BA105" si="127">(H69+I69)/Efficiency/J69*AT69/Vinripple1</f>
        <v>1.4811341312141428</v>
      </c>
      <c r="BB69" s="469">
        <f t="shared" ref="BB69:BB105" si="128">((BZ69/J69/Efficiency)*AT69/Cin+(BZ69/J69/Efficiency)*RCinEsr)*1000</f>
        <v>113.34190194632387</v>
      </c>
      <c r="BC69" s="5"/>
      <c r="BD69" s="177">
        <f t="shared" si="54"/>
        <v>1.1871915800473249</v>
      </c>
      <c r="BE69" s="177">
        <f t="shared" ref="BE69:BE105" si="129">AI69*Npri_sec1*SQRT((1-AU69)/3)*(Pout/Pout_total)</f>
        <v>1.6493328768329873</v>
      </c>
      <c r="BF69" s="177">
        <f t="shared" ref="BF69:BF105" si="130">AI69*Npri_sec2*SQRT((1-AU69)/3)*(Pout2/Pout_total)</f>
        <v>0.38728006158546724</v>
      </c>
      <c r="BG69" s="177"/>
      <c r="BH69" s="542">
        <f t="shared" ref="BH69:BH105" si="131">Rdson*BD69^2</f>
        <v>0.15503662325087902</v>
      </c>
      <c r="BI69" s="542">
        <f t="shared" ref="BI69:BI105" si="132">0.5*L69*AI69*AM69*1000*Trise</f>
        <v>0.20112146330016592</v>
      </c>
      <c r="BJ69" s="542">
        <f t="shared" ref="BJ69:BJ105" si="133">Qg*Vdd*AM69*1000</f>
        <v>1.7499999999999998E-2</v>
      </c>
      <c r="BK69" s="542">
        <f t="shared" ref="BK69:BK105" si="134">0.5*(Coss+Csw)*L69^2*AM69*1000</f>
        <v>0.11885914687500002</v>
      </c>
      <c r="BL69">
        <f t="shared" ref="BL69:BL105" si="135">J69*IQ</f>
        <v>4.3499999999999997E-3</v>
      </c>
      <c r="BM69" s="469">
        <f t="shared" si="55"/>
        <v>496.86723342604506</v>
      </c>
      <c r="BN69" s="177">
        <f t="shared" ref="BN69:BN105" si="136">Vfwd2*F69</f>
        <v>0.57600000000000007</v>
      </c>
      <c r="BO69" s="177">
        <f t="shared" ref="BO69:BO105" si="137">Vfwd2*G69</f>
        <v>0.14400000000000002</v>
      </c>
      <c r="BP69" s="542"/>
      <c r="BR69" s="469">
        <f t="shared" si="56"/>
        <v>720.00000000000011</v>
      </c>
      <c r="BS69" s="542">
        <f t="shared" ref="BS69:BS105" si="138">Rdcr_pri*BD69^2</f>
        <v>0</v>
      </c>
      <c r="BT69" s="542">
        <f t="shared" ref="BT69:BT105" si="139">Rdcr_sec*BE69^2</f>
        <v>0</v>
      </c>
      <c r="BU69" s="542">
        <f t="shared" ref="BU69:BU105" si="140">Rdcr_sec2*BF69^2</f>
        <v>0</v>
      </c>
      <c r="BV69" s="542">
        <f t="shared" ref="BV69:BV105" si="141">AI69^2.5*AM69^2.5*k_core</f>
        <v>0</v>
      </c>
      <c r="BW69" s="647">
        <f t="shared" ref="BW69:BW105" si="142">0.5*Lleak*0.000000001*AI69^2*AM69*1000</f>
        <v>0</v>
      </c>
      <c r="BX69" s="469">
        <f t="shared" si="58"/>
        <v>0</v>
      </c>
      <c r="BY69" s="177">
        <f t="shared" si="59"/>
        <v>1.2168672334260453</v>
      </c>
      <c r="BZ69" s="5">
        <f t="shared" si="60"/>
        <v>10.719999999999999</v>
      </c>
      <c r="CA69" s="177">
        <f t="shared" si="61"/>
        <v>0.89805807423085593</v>
      </c>
      <c r="CB69" s="5">
        <f t="shared" si="62"/>
        <v>89.805807423085596</v>
      </c>
      <c r="CC69">
        <f t="shared" si="95"/>
        <v>64</v>
      </c>
      <c r="CE69" s="576">
        <f t="shared" ref="CE69:CE105" si="143">IF(ABS(F69-Ioutmax_Vinnom)&lt;Iout/200, AM69, -50)</f>
        <v>-50</v>
      </c>
      <c r="CF69">
        <f t="shared" ref="CF69:CF105" si="144">IF(ABS(F69-Ioutmax_Vinnom)&lt;Iout/200, (O69+P69)*CA69, -50)</f>
        <v>-50</v>
      </c>
    </row>
    <row r="70" spans="5:84" x14ac:dyDescent="0.25">
      <c r="E70" s="174">
        <v>65</v>
      </c>
      <c r="F70" s="221">
        <f t="shared" si="96"/>
        <v>0.65</v>
      </c>
      <c r="G70" s="221">
        <f t="shared" ref="G70:G105" si="145">IF(PLOT_TYPE=1, E70/100*Iout2, min_I*EXP(Q70*rr/100))</f>
        <v>0.16250000000000001</v>
      </c>
      <c r="H70" s="221">
        <f t="shared" si="98"/>
        <v>9.75</v>
      </c>
      <c r="I70" s="221">
        <f t="shared" si="97"/>
        <v>1.1375</v>
      </c>
      <c r="J70" s="555">
        <f t="shared" si="99"/>
        <v>15</v>
      </c>
      <c r="K70" s="451">
        <f t="shared" si="100"/>
        <v>23.85</v>
      </c>
      <c r="L70" s="451">
        <f t="shared" si="101"/>
        <v>38.85</v>
      </c>
      <c r="M70" s="451"/>
      <c r="N70" s="221">
        <f t="shared" si="102"/>
        <v>0.61389961389961389</v>
      </c>
      <c r="O70" s="176">
        <f t="shared" ref="O70:O101" si="146">N70*J70*Isw_max*0.5*Efficiency*Pout/(Pout+Pout2)</f>
        <v>16.05988878003803</v>
      </c>
      <c r="P70" s="176">
        <f t="shared" si="103"/>
        <v>1.873653691004437</v>
      </c>
      <c r="Q70" s="221">
        <f t="shared" si="104"/>
        <v>1.0706592520025353</v>
      </c>
      <c r="R70" s="221">
        <f t="shared" si="105"/>
        <v>2.2942698257197187</v>
      </c>
      <c r="S70" s="451">
        <f t="shared" si="106"/>
        <v>15</v>
      </c>
      <c r="T70" s="221">
        <f t="shared" si="107"/>
        <v>2.4891206002427451</v>
      </c>
      <c r="U70" s="221">
        <f t="shared" si="108"/>
        <v>1.1615896134466142</v>
      </c>
      <c r="V70" s="221">
        <f t="shared" si="109"/>
        <v>0.73055950531233604</v>
      </c>
      <c r="W70" s="201">
        <f t="shared" si="110"/>
        <v>350</v>
      </c>
      <c r="X70" s="451">
        <f t="shared" ref="X70:X105" si="147">MIN(1/(U70+V70)*1000, 350)</f>
        <v>350</v>
      </c>
      <c r="Z70" s="221">
        <f t="shared" si="111"/>
        <v>3.7585690646915135</v>
      </c>
      <c r="AA70" s="177">
        <f t="shared" si="112"/>
        <v>1.1031439602868174</v>
      </c>
      <c r="AB70" s="177">
        <f t="shared" si="113"/>
        <v>0.97467647041501804</v>
      </c>
      <c r="AC70" s="177"/>
      <c r="AD70" s="177">
        <f t="shared" si="114"/>
        <v>0.24067085953878403</v>
      </c>
      <c r="AE70" s="559">
        <f t="shared" si="115"/>
        <v>4903.8624968131217</v>
      </c>
      <c r="AF70" s="542">
        <f t="shared" si="116"/>
        <v>4.6392002252886505E-2</v>
      </c>
      <c r="AH70" s="177">
        <f t="shared" si="117"/>
        <v>2.981233822101315</v>
      </c>
      <c r="AI70" s="177">
        <f t="shared" si="118"/>
        <v>2.981233822101315</v>
      </c>
      <c r="AJ70" s="177">
        <f t="shared" si="119"/>
        <v>2.8009139422972709</v>
      </c>
      <c r="AL70" s="559">
        <f t="shared" si="120"/>
        <v>650</v>
      </c>
      <c r="AM70" s="469">
        <f t="shared" si="121"/>
        <v>350</v>
      </c>
      <c r="AO70">
        <f t="shared" ref="AO70:AO105" si="148">IF(H70&gt;O70, "",AL70)</f>
        <v>650</v>
      </c>
      <c r="AP70">
        <f t="shared" si="122"/>
        <v>350</v>
      </c>
      <c r="AR70" s="5">
        <f t="shared" ref="AR70:AR133" si="149">1/AM70*1000</f>
        <v>2.8571428571428572</v>
      </c>
      <c r="AS70" s="5">
        <f t="shared" si="123"/>
        <v>1.3912424503139469</v>
      </c>
      <c r="AT70" s="5">
        <f t="shared" ref="AT70:AT105" si="150">AR70-AS70</f>
        <v>1.4659004068289103</v>
      </c>
      <c r="AU70" s="177">
        <f t="shared" ref="AU70:AU105" si="151">AS70/AR70</f>
        <v>0.48693485760988142</v>
      </c>
      <c r="AW70" s="5">
        <f t="shared" ref="AW70:AW105" si="152">L*Iout^2/(2*Vripple1_spec*Vout*Npri_sec1^2)*1000000000*((1+N70)/(1-N70))^2</f>
        <v>12.079683950617282</v>
      </c>
      <c r="AX70" s="5">
        <f t="shared" si="124"/>
        <v>19.348862962962958</v>
      </c>
      <c r="AY70" s="5">
        <f t="shared" si="125"/>
        <v>0.85581907298473081</v>
      </c>
      <c r="AZ70" s="5">
        <f t="shared" si="126"/>
        <v>1.0627465700800776</v>
      </c>
      <c r="BA70" s="5">
        <f t="shared" si="127"/>
        <v>1.4933324612257088</v>
      </c>
      <c r="BB70" s="469">
        <f t="shared" si="128"/>
        <v>114.29203985508607</v>
      </c>
      <c r="BC70" s="5"/>
      <c r="BD70" s="177">
        <f t="shared" ref="BD70:BD105" si="153">AI70*SQRT(AU70/3)</f>
        <v>1.2010769840832771</v>
      </c>
      <c r="BE70" s="177">
        <f t="shared" si="129"/>
        <v>1.656110741093153</v>
      </c>
      <c r="BF70" s="177">
        <f t="shared" si="130"/>
        <v>0.38887157275035422</v>
      </c>
      <c r="BG70" s="177"/>
      <c r="BH70" s="542">
        <f t="shared" si="131"/>
        <v>0.15868445138640389</v>
      </c>
      <c r="BI70" s="542">
        <f t="shared" si="132"/>
        <v>0.20268663448011318</v>
      </c>
      <c r="BJ70" s="542">
        <f t="shared" si="133"/>
        <v>1.7499999999999998E-2</v>
      </c>
      <c r="BK70" s="542">
        <f t="shared" si="134"/>
        <v>0.11885914687500002</v>
      </c>
      <c r="BL70">
        <f t="shared" si="135"/>
        <v>4.3499999999999997E-3</v>
      </c>
      <c r="BM70" s="469">
        <f t="shared" ref="BM70:BM105" si="154">SUM(BH70:BL70)*1000</f>
        <v>502.08023274151702</v>
      </c>
      <c r="BN70" s="177">
        <f t="shared" si="136"/>
        <v>0.58500000000000008</v>
      </c>
      <c r="BO70" s="177">
        <f t="shared" si="137"/>
        <v>0.14625000000000002</v>
      </c>
      <c r="BP70" s="542"/>
      <c r="BR70" s="469">
        <f t="shared" ref="BR70:BR105" si="155">SUM(BN70:BQ70)*1000</f>
        <v>731.25000000000011</v>
      </c>
      <c r="BS70" s="542">
        <f t="shared" si="138"/>
        <v>0</v>
      </c>
      <c r="BT70" s="542">
        <f t="shared" si="139"/>
        <v>0</v>
      </c>
      <c r="BU70" s="542">
        <f t="shared" si="140"/>
        <v>0</v>
      </c>
      <c r="BV70" s="542">
        <f t="shared" si="141"/>
        <v>0</v>
      </c>
      <c r="BW70" s="647">
        <f t="shared" si="142"/>
        <v>0</v>
      </c>
      <c r="BX70" s="469">
        <f t="shared" ref="BX70:BX105" si="156">SUM(BS70:BW70)*1000</f>
        <v>0</v>
      </c>
      <c r="BY70" s="177">
        <f t="shared" ref="BY70:BY105" si="157">SUM(BH70:BL70,BN70:BQ70,BS70:BW70)</f>
        <v>1.233330232741517</v>
      </c>
      <c r="BZ70" s="5">
        <f t="shared" ref="BZ70:BZ105" si="158">MIN(H70+I70,O70+P70)</f>
        <v>10.887499999999999</v>
      </c>
      <c r="CA70" s="177">
        <f t="shared" ref="CA70:CA105" si="159">BZ70/(BZ70+BY70)</f>
        <v>0.89824704999085203</v>
      </c>
      <c r="CB70" s="5">
        <f t="shared" ref="CB70:CB105" si="160">CA70*100</f>
        <v>89.824704999085199</v>
      </c>
      <c r="CC70">
        <f t="shared" ref="CC70:CC105" si="161">F70/Iout*100</f>
        <v>65</v>
      </c>
      <c r="CE70" s="576">
        <f t="shared" si="143"/>
        <v>-50</v>
      </c>
      <c r="CF70">
        <f t="shared" si="144"/>
        <v>-50</v>
      </c>
    </row>
    <row r="71" spans="5:84" x14ac:dyDescent="0.25">
      <c r="E71" s="174">
        <v>66</v>
      </c>
      <c r="F71" s="221">
        <f t="shared" si="96"/>
        <v>0.66</v>
      </c>
      <c r="G71" s="221">
        <f t="shared" si="145"/>
        <v>0.16500000000000001</v>
      </c>
      <c r="H71" s="221">
        <f t="shared" si="98"/>
        <v>9.9</v>
      </c>
      <c r="I71" s="221">
        <f t="shared" si="97"/>
        <v>1.155</v>
      </c>
      <c r="J71" s="555">
        <f t="shared" si="99"/>
        <v>15</v>
      </c>
      <c r="K71" s="451">
        <f t="shared" si="100"/>
        <v>23.85</v>
      </c>
      <c r="L71" s="451">
        <f t="shared" si="101"/>
        <v>38.85</v>
      </c>
      <c r="M71" s="451"/>
      <c r="N71" s="221">
        <f t="shared" si="102"/>
        <v>0.61389961389961389</v>
      </c>
      <c r="O71" s="176">
        <f t="shared" si="146"/>
        <v>16.05988878003803</v>
      </c>
      <c r="P71" s="176">
        <f t="shared" si="103"/>
        <v>1.873653691004437</v>
      </c>
      <c r="Q71" s="221">
        <f t="shared" si="104"/>
        <v>1.0706592520025353</v>
      </c>
      <c r="R71" s="221">
        <f t="shared" si="105"/>
        <v>2.2942698257197187</v>
      </c>
      <c r="S71" s="451">
        <f t="shared" si="106"/>
        <v>15</v>
      </c>
      <c r="T71" s="221">
        <f t="shared" si="107"/>
        <v>2.527414763323403</v>
      </c>
      <c r="U71" s="221">
        <f t="shared" si="108"/>
        <v>1.1794602228842546</v>
      </c>
      <c r="V71" s="221">
        <f t="shared" si="109"/>
        <v>0.74179888231714119</v>
      </c>
      <c r="W71" s="201">
        <f t="shared" si="110"/>
        <v>350</v>
      </c>
      <c r="X71" s="451">
        <f t="shared" si="147"/>
        <v>350</v>
      </c>
      <c r="Z71" s="221">
        <f t="shared" si="111"/>
        <v>3.7585690646915135</v>
      </c>
      <c r="AA71" s="177">
        <f t="shared" si="112"/>
        <v>1.1031439602868174</v>
      </c>
      <c r="AB71" s="177">
        <f t="shared" si="113"/>
        <v>0.97467647041501804</v>
      </c>
      <c r="AC71" s="177"/>
      <c r="AD71" s="177">
        <f t="shared" si="114"/>
        <v>0.24067085953878403</v>
      </c>
      <c r="AE71" s="559">
        <f t="shared" si="115"/>
        <v>4979.3065352256317</v>
      </c>
      <c r="AF71" s="542">
        <f t="shared" si="116"/>
        <v>4.6392002252886505E-2</v>
      </c>
      <c r="AH71" s="177">
        <f t="shared" si="117"/>
        <v>3.0040788598035117</v>
      </c>
      <c r="AI71" s="177">
        <f t="shared" si="118"/>
        <v>3.0040788598035117</v>
      </c>
      <c r="AJ71" s="177">
        <f t="shared" si="119"/>
        <v>2.8178361924470456</v>
      </c>
      <c r="AL71" s="559">
        <f t="shared" si="120"/>
        <v>660</v>
      </c>
      <c r="AM71" s="469">
        <f t="shared" si="121"/>
        <v>350</v>
      </c>
      <c r="AO71">
        <f t="shared" si="148"/>
        <v>660</v>
      </c>
      <c r="AP71">
        <f t="shared" si="122"/>
        <v>350</v>
      </c>
      <c r="AR71" s="5">
        <f t="shared" si="149"/>
        <v>2.8571428571428572</v>
      </c>
      <c r="AS71" s="5">
        <f t="shared" si="123"/>
        <v>1.4019034679083056</v>
      </c>
      <c r="AT71" s="5">
        <f t="shared" si="150"/>
        <v>1.4552393892345517</v>
      </c>
      <c r="AU71" s="177">
        <f t="shared" si="151"/>
        <v>0.49066621376790692</v>
      </c>
      <c r="AW71" s="5">
        <f t="shared" si="152"/>
        <v>12.079683950617282</v>
      </c>
      <c r="AX71" s="5">
        <f t="shared" si="124"/>
        <v>19.918330666666666</v>
      </c>
      <c r="AY71" s="5">
        <f t="shared" si="125"/>
        <v>0.85581907298473081</v>
      </c>
      <c r="AZ71" s="5">
        <f t="shared" si="126"/>
        <v>1.0880826175784186</v>
      </c>
      <c r="BA71" s="5">
        <f t="shared" si="127"/>
        <v>1.5052791998117396</v>
      </c>
      <c r="BB71" s="469">
        <f t="shared" si="128"/>
        <v>115.22330840693314</v>
      </c>
      <c r="BC71" s="5"/>
      <c r="BD71" s="177">
        <f t="shared" si="153"/>
        <v>1.214909082929031</v>
      </c>
      <c r="BE71" s="177">
        <f t="shared" si="129"/>
        <v>1.6627220314777782</v>
      </c>
      <c r="BF71" s="177">
        <f t="shared" si="130"/>
        <v>0.39042397068244028</v>
      </c>
      <c r="BG71" s="177"/>
      <c r="BH71" s="542">
        <f t="shared" si="131"/>
        <v>0.1623604487761805</v>
      </c>
      <c r="BI71" s="542">
        <f t="shared" si="132"/>
        <v>0.20423981148089126</v>
      </c>
      <c r="BJ71" s="542">
        <f t="shared" si="133"/>
        <v>1.7499999999999998E-2</v>
      </c>
      <c r="BK71" s="542">
        <f t="shared" si="134"/>
        <v>0.11885914687500002</v>
      </c>
      <c r="BL71">
        <f t="shared" si="135"/>
        <v>4.3499999999999997E-3</v>
      </c>
      <c r="BM71" s="469">
        <f t="shared" si="154"/>
        <v>507.30940713207173</v>
      </c>
      <c r="BN71" s="177">
        <f t="shared" si="136"/>
        <v>0.59400000000000008</v>
      </c>
      <c r="BO71" s="177">
        <f t="shared" si="137"/>
        <v>0.14850000000000002</v>
      </c>
      <c r="BP71" s="542"/>
      <c r="BR71" s="469">
        <f t="shared" si="155"/>
        <v>742.50000000000011</v>
      </c>
      <c r="BS71" s="542">
        <f t="shared" si="138"/>
        <v>0</v>
      </c>
      <c r="BT71" s="542">
        <f t="shared" si="139"/>
        <v>0</v>
      </c>
      <c r="BU71" s="542">
        <f t="shared" si="140"/>
        <v>0</v>
      </c>
      <c r="BV71" s="542">
        <f t="shared" si="141"/>
        <v>0</v>
      </c>
      <c r="BW71" s="647">
        <f t="shared" si="142"/>
        <v>0</v>
      </c>
      <c r="BX71" s="469">
        <f t="shared" si="156"/>
        <v>0</v>
      </c>
      <c r="BY71" s="177">
        <f t="shared" si="157"/>
        <v>1.2498094071320718</v>
      </c>
      <c r="BZ71" s="5">
        <f t="shared" si="158"/>
        <v>11.055</v>
      </c>
      <c r="CA71" s="177">
        <f t="shared" si="159"/>
        <v>0.89842919416470923</v>
      </c>
      <c r="CB71" s="5">
        <f t="shared" si="160"/>
        <v>89.84291941647092</v>
      </c>
      <c r="CC71">
        <f t="shared" si="161"/>
        <v>66</v>
      </c>
      <c r="CE71" s="576">
        <f t="shared" si="143"/>
        <v>-50</v>
      </c>
      <c r="CF71">
        <f t="shared" si="144"/>
        <v>-50</v>
      </c>
    </row>
    <row r="72" spans="5:84" x14ac:dyDescent="0.25">
      <c r="E72" s="174">
        <v>67</v>
      </c>
      <c r="F72" s="221">
        <f t="shared" ref="F72:F103" si="162">IF(PLOT_TYPE=1, E72/100*Iout_max, min_I*EXP(O72*rr/100))</f>
        <v>0.67</v>
      </c>
      <c r="G72" s="221">
        <f t="shared" si="145"/>
        <v>0.16750000000000001</v>
      </c>
      <c r="H72" s="221">
        <f t="shared" si="98"/>
        <v>10.050000000000001</v>
      </c>
      <c r="I72" s="221">
        <f t="shared" ref="I72:I105" si="163">Vout2*G72</f>
        <v>1.1725000000000001</v>
      </c>
      <c r="J72" s="555">
        <f t="shared" si="99"/>
        <v>15</v>
      </c>
      <c r="K72" s="451">
        <f t="shared" si="100"/>
        <v>23.85</v>
      </c>
      <c r="L72" s="451">
        <f t="shared" si="101"/>
        <v>38.85</v>
      </c>
      <c r="M72" s="451"/>
      <c r="N72" s="221">
        <f t="shared" si="102"/>
        <v>0.61389961389961389</v>
      </c>
      <c r="O72" s="176">
        <f t="shared" si="146"/>
        <v>16.05988878003803</v>
      </c>
      <c r="P72" s="176">
        <f t="shared" si="103"/>
        <v>1.873653691004437</v>
      </c>
      <c r="Q72" s="221">
        <f t="shared" si="104"/>
        <v>1.0706592520025353</v>
      </c>
      <c r="R72" s="221">
        <f t="shared" si="105"/>
        <v>2.2942698257197187</v>
      </c>
      <c r="S72" s="451">
        <f t="shared" si="106"/>
        <v>15</v>
      </c>
      <c r="T72" s="221">
        <f t="shared" si="107"/>
        <v>2.5657089264040605</v>
      </c>
      <c r="U72" s="221">
        <f t="shared" si="108"/>
        <v>1.1973308323218947</v>
      </c>
      <c r="V72" s="221">
        <f t="shared" si="109"/>
        <v>0.75303825932194635</v>
      </c>
      <c r="W72" s="201">
        <f t="shared" si="110"/>
        <v>350</v>
      </c>
      <c r="X72" s="451">
        <f t="shared" si="147"/>
        <v>350</v>
      </c>
      <c r="Z72" s="221">
        <f t="shared" si="111"/>
        <v>3.7585690646915135</v>
      </c>
      <c r="AA72" s="177">
        <f t="shared" si="112"/>
        <v>1.1031439602868174</v>
      </c>
      <c r="AB72" s="177">
        <f t="shared" si="113"/>
        <v>0.97467647041501804</v>
      </c>
      <c r="AC72" s="177"/>
      <c r="AD72" s="177">
        <f t="shared" si="114"/>
        <v>0.24067085953878403</v>
      </c>
      <c r="AE72" s="559">
        <f t="shared" si="115"/>
        <v>5054.7505736381418</v>
      </c>
      <c r="AF72" s="542">
        <f t="shared" si="116"/>
        <v>4.6392002252886505E-2</v>
      </c>
      <c r="AH72" s="177">
        <f t="shared" si="117"/>
        <v>3.0267514747325914</v>
      </c>
      <c r="AI72" s="177">
        <f t="shared" si="118"/>
        <v>3.0267514747325914</v>
      </c>
      <c r="AJ72" s="177">
        <f t="shared" si="119"/>
        <v>2.8346307220241416</v>
      </c>
      <c r="AL72" s="559">
        <f t="shared" si="120"/>
        <v>670</v>
      </c>
      <c r="AM72" s="469">
        <f t="shared" si="121"/>
        <v>350</v>
      </c>
      <c r="AO72">
        <f t="shared" si="148"/>
        <v>670</v>
      </c>
      <c r="AP72">
        <f t="shared" si="122"/>
        <v>350</v>
      </c>
      <c r="AR72" s="5">
        <f t="shared" si="149"/>
        <v>2.8571428571428572</v>
      </c>
      <c r="AS72" s="5">
        <f t="shared" si="123"/>
        <v>1.4124840215418759</v>
      </c>
      <c r="AT72" s="5">
        <f t="shared" si="150"/>
        <v>1.4446588356009813</v>
      </c>
      <c r="AU72" s="177">
        <f t="shared" si="151"/>
        <v>0.49436940753965658</v>
      </c>
      <c r="AW72" s="5">
        <f t="shared" si="152"/>
        <v>12.079683950617282</v>
      </c>
      <c r="AX72" s="5">
        <f t="shared" si="124"/>
        <v>20.496034518518517</v>
      </c>
      <c r="AY72" s="5">
        <f t="shared" si="125"/>
        <v>0.85581907298473081</v>
      </c>
      <c r="AZ72" s="5">
        <f t="shared" si="126"/>
        <v>1.1136909711454364</v>
      </c>
      <c r="BA72" s="5">
        <f t="shared" si="127"/>
        <v>1.5169762603538726</v>
      </c>
      <c r="BB72" s="469">
        <f t="shared" si="128"/>
        <v>116.1358511054878</v>
      </c>
      <c r="BC72" s="5"/>
      <c r="BD72" s="177">
        <f t="shared" si="153"/>
        <v>1.2286888843204913</v>
      </c>
      <c r="BE72" s="177">
        <f t="shared" si="129"/>
        <v>1.6691697799724632</v>
      </c>
      <c r="BF72" s="177">
        <f t="shared" si="130"/>
        <v>0.39193796732264796</v>
      </c>
      <c r="BG72" s="177"/>
      <c r="BH72" s="542">
        <f t="shared" si="131"/>
        <v>0.16606440118980068</v>
      </c>
      <c r="BI72" s="542">
        <f t="shared" si="132"/>
        <v>0.20578126588838208</v>
      </c>
      <c r="BJ72" s="542">
        <f t="shared" si="133"/>
        <v>1.7499999999999998E-2</v>
      </c>
      <c r="BK72" s="542">
        <f t="shared" si="134"/>
        <v>0.11885914687500002</v>
      </c>
      <c r="BL72">
        <f t="shared" si="135"/>
        <v>4.3499999999999997E-3</v>
      </c>
      <c r="BM72" s="469">
        <f t="shared" si="154"/>
        <v>512.55481395318282</v>
      </c>
      <c r="BN72" s="177">
        <f t="shared" si="136"/>
        <v>0.60300000000000009</v>
      </c>
      <c r="BO72" s="177">
        <f t="shared" si="137"/>
        <v>0.15075000000000002</v>
      </c>
      <c r="BP72" s="542"/>
      <c r="BR72" s="469">
        <f t="shared" si="155"/>
        <v>753.75000000000011</v>
      </c>
      <c r="BS72" s="542">
        <f t="shared" si="138"/>
        <v>0</v>
      </c>
      <c r="BT72" s="542">
        <f t="shared" si="139"/>
        <v>0</v>
      </c>
      <c r="BU72" s="542">
        <f t="shared" si="140"/>
        <v>0</v>
      </c>
      <c r="BV72" s="542">
        <f t="shared" si="141"/>
        <v>0</v>
      </c>
      <c r="BW72" s="647">
        <f t="shared" si="142"/>
        <v>0</v>
      </c>
      <c r="BX72" s="469">
        <f t="shared" si="156"/>
        <v>0</v>
      </c>
      <c r="BY72" s="177">
        <f t="shared" si="157"/>
        <v>1.266304813953183</v>
      </c>
      <c r="BZ72" s="5">
        <f t="shared" si="158"/>
        <v>11.2225</v>
      </c>
      <c r="CA72" s="177">
        <f t="shared" si="159"/>
        <v>0.89860480383692132</v>
      </c>
      <c r="CB72" s="5">
        <f t="shared" si="160"/>
        <v>89.860480383692135</v>
      </c>
      <c r="CC72">
        <f t="shared" si="161"/>
        <v>67</v>
      </c>
      <c r="CE72" s="576">
        <f t="shared" si="143"/>
        <v>-50</v>
      </c>
      <c r="CF72">
        <f t="shared" si="144"/>
        <v>-50</v>
      </c>
    </row>
    <row r="73" spans="5:84" x14ac:dyDescent="0.25">
      <c r="E73" s="174">
        <v>68</v>
      </c>
      <c r="F73" s="221">
        <f t="shared" si="162"/>
        <v>0.68</v>
      </c>
      <c r="G73" s="221">
        <f t="shared" si="145"/>
        <v>0.17</v>
      </c>
      <c r="H73" s="221">
        <f t="shared" si="98"/>
        <v>10.200000000000001</v>
      </c>
      <c r="I73" s="221">
        <f t="shared" si="163"/>
        <v>1.1900000000000002</v>
      </c>
      <c r="J73" s="555">
        <f t="shared" si="99"/>
        <v>15</v>
      </c>
      <c r="K73" s="451">
        <f t="shared" si="100"/>
        <v>23.85</v>
      </c>
      <c r="L73" s="451">
        <f t="shared" si="101"/>
        <v>38.85</v>
      </c>
      <c r="M73" s="451"/>
      <c r="N73" s="221">
        <f t="shared" si="102"/>
        <v>0.61389961389961389</v>
      </c>
      <c r="O73" s="176">
        <f t="shared" si="146"/>
        <v>16.05988878003803</v>
      </c>
      <c r="P73" s="176">
        <f t="shared" si="103"/>
        <v>1.873653691004437</v>
      </c>
      <c r="Q73" s="221">
        <f t="shared" si="104"/>
        <v>1.0706592520025353</v>
      </c>
      <c r="R73" s="221">
        <f t="shared" si="105"/>
        <v>2.2942698257197187</v>
      </c>
      <c r="S73" s="451">
        <f t="shared" si="106"/>
        <v>15</v>
      </c>
      <c r="T73" s="221">
        <f t="shared" si="107"/>
        <v>2.6040030894847184</v>
      </c>
      <c r="U73" s="221">
        <f t="shared" si="108"/>
        <v>1.2152014417595352</v>
      </c>
      <c r="V73" s="221">
        <f t="shared" si="109"/>
        <v>0.76427763632675161</v>
      </c>
      <c r="W73" s="201">
        <f t="shared" si="110"/>
        <v>350</v>
      </c>
      <c r="X73" s="451">
        <f t="shared" si="147"/>
        <v>350</v>
      </c>
      <c r="Z73" s="221">
        <f t="shared" si="111"/>
        <v>3.7585690646915135</v>
      </c>
      <c r="AA73" s="177">
        <f t="shared" si="112"/>
        <v>1.1031439602868174</v>
      </c>
      <c r="AB73" s="177">
        <f t="shared" si="113"/>
        <v>0.97467647041501804</v>
      </c>
      <c r="AC73" s="177"/>
      <c r="AD73" s="177">
        <f t="shared" si="114"/>
        <v>0.24067085953878403</v>
      </c>
      <c r="AE73" s="559">
        <f t="shared" si="115"/>
        <v>5130.1946120506509</v>
      </c>
      <c r="AF73" s="542">
        <f t="shared" si="116"/>
        <v>4.6392002252886505E-2</v>
      </c>
      <c r="AH73" s="177">
        <f t="shared" si="117"/>
        <v>3.0492555130184598</v>
      </c>
      <c r="AI73" s="177">
        <f t="shared" si="118"/>
        <v>3.0492555130184598</v>
      </c>
      <c r="AJ73" s="177">
        <f t="shared" si="119"/>
        <v>2.851300380013674</v>
      </c>
      <c r="AL73" s="559">
        <f t="shared" si="120"/>
        <v>680</v>
      </c>
      <c r="AM73" s="469">
        <f t="shared" si="121"/>
        <v>350</v>
      </c>
      <c r="AO73">
        <f t="shared" si="148"/>
        <v>680</v>
      </c>
      <c r="AP73">
        <f t="shared" si="122"/>
        <v>350</v>
      </c>
      <c r="AR73" s="5">
        <f t="shared" si="149"/>
        <v>2.8571428571428572</v>
      </c>
      <c r="AS73" s="5">
        <f t="shared" si="123"/>
        <v>1.4229859060752812</v>
      </c>
      <c r="AT73" s="5">
        <f t="shared" si="150"/>
        <v>1.434156951067576</v>
      </c>
      <c r="AU73" s="177">
        <f t="shared" si="151"/>
        <v>0.49804506712634838</v>
      </c>
      <c r="AW73" s="5">
        <f t="shared" si="152"/>
        <v>12.079683950617282</v>
      </c>
      <c r="AX73" s="5">
        <f t="shared" si="124"/>
        <v>21.081974518518518</v>
      </c>
      <c r="AY73" s="5">
        <f t="shared" si="125"/>
        <v>0.85581907298473081</v>
      </c>
      <c r="AZ73" s="5">
        <f t="shared" si="126"/>
        <v>1.1395716307811312</v>
      </c>
      <c r="BA73" s="5">
        <f t="shared" si="127"/>
        <v>1.5284255132313163</v>
      </c>
      <c r="BB73" s="469">
        <f t="shared" si="128"/>
        <v>117.02980822919082</v>
      </c>
      <c r="BC73" s="5"/>
      <c r="BD73" s="177">
        <f t="shared" si="153"/>
        <v>1.2424173622110917</v>
      </c>
      <c r="BE73" s="177">
        <f t="shared" si="129"/>
        <v>1.6754568998331079</v>
      </c>
      <c r="BF73" s="177">
        <f t="shared" si="130"/>
        <v>0.39341424673296393</v>
      </c>
      <c r="BG73" s="177"/>
      <c r="BH73" s="542">
        <f t="shared" si="131"/>
        <v>0.16979609921159236</v>
      </c>
      <c r="BI73" s="542">
        <f t="shared" si="132"/>
        <v>0.20731125919134255</v>
      </c>
      <c r="BJ73" s="542">
        <f t="shared" si="133"/>
        <v>1.7499999999999998E-2</v>
      </c>
      <c r="BK73" s="542">
        <f t="shared" si="134"/>
        <v>0.11885914687500002</v>
      </c>
      <c r="BL73">
        <f t="shared" si="135"/>
        <v>4.3499999999999997E-3</v>
      </c>
      <c r="BM73" s="469">
        <f t="shared" si="154"/>
        <v>517.81650527793488</v>
      </c>
      <c r="BN73" s="177">
        <f t="shared" si="136"/>
        <v>0.6120000000000001</v>
      </c>
      <c r="BO73" s="177">
        <f t="shared" si="137"/>
        <v>0.15300000000000002</v>
      </c>
      <c r="BP73" s="542"/>
      <c r="BR73" s="469">
        <f t="shared" si="155"/>
        <v>765.00000000000011</v>
      </c>
      <c r="BS73" s="542">
        <f t="shared" si="138"/>
        <v>0</v>
      </c>
      <c r="BT73" s="542">
        <f t="shared" si="139"/>
        <v>0</v>
      </c>
      <c r="BU73" s="542">
        <f t="shared" si="140"/>
        <v>0</v>
      </c>
      <c r="BV73" s="542">
        <f t="shared" si="141"/>
        <v>0</v>
      </c>
      <c r="BW73" s="647">
        <f t="shared" si="142"/>
        <v>0</v>
      </c>
      <c r="BX73" s="469">
        <f t="shared" si="156"/>
        <v>0</v>
      </c>
      <c r="BY73" s="177">
        <f t="shared" si="157"/>
        <v>1.282816505277935</v>
      </c>
      <c r="BZ73" s="5">
        <f t="shared" si="158"/>
        <v>11.39</v>
      </c>
      <c r="CA73" s="177">
        <f t="shared" si="159"/>
        <v>0.89877415926099202</v>
      </c>
      <c r="CB73" s="5">
        <f t="shared" si="160"/>
        <v>89.877415926099204</v>
      </c>
      <c r="CC73">
        <f t="shared" si="161"/>
        <v>68</v>
      </c>
      <c r="CE73" s="576">
        <f t="shared" si="143"/>
        <v>-50</v>
      </c>
      <c r="CF73">
        <f t="shared" si="144"/>
        <v>-50</v>
      </c>
    </row>
    <row r="74" spans="5:84" x14ac:dyDescent="0.25">
      <c r="E74" s="174">
        <v>69</v>
      </c>
      <c r="F74" s="221">
        <f t="shared" si="162"/>
        <v>0.69</v>
      </c>
      <c r="G74" s="221">
        <f t="shared" si="145"/>
        <v>0.17249999999999999</v>
      </c>
      <c r="H74" s="221">
        <f t="shared" si="98"/>
        <v>10.35</v>
      </c>
      <c r="I74" s="221">
        <f t="shared" si="163"/>
        <v>1.2075</v>
      </c>
      <c r="J74" s="555">
        <f t="shared" si="99"/>
        <v>15</v>
      </c>
      <c r="K74" s="451">
        <f t="shared" si="100"/>
        <v>23.85</v>
      </c>
      <c r="L74" s="451">
        <f t="shared" si="101"/>
        <v>38.85</v>
      </c>
      <c r="M74" s="451"/>
      <c r="N74" s="221">
        <f t="shared" si="102"/>
        <v>0.61389961389961389</v>
      </c>
      <c r="O74" s="176">
        <f t="shared" si="146"/>
        <v>16.05988878003803</v>
      </c>
      <c r="P74" s="176">
        <f t="shared" si="103"/>
        <v>1.873653691004437</v>
      </c>
      <c r="Q74" s="221">
        <f t="shared" si="104"/>
        <v>1.0706592520025353</v>
      </c>
      <c r="R74" s="221">
        <f t="shared" si="105"/>
        <v>2.2942698257197187</v>
      </c>
      <c r="S74" s="451">
        <f t="shared" si="106"/>
        <v>15</v>
      </c>
      <c r="T74" s="221">
        <f t="shared" si="107"/>
        <v>2.6422972525653758</v>
      </c>
      <c r="U74" s="221">
        <f t="shared" si="108"/>
        <v>1.2330720511971753</v>
      </c>
      <c r="V74" s="221">
        <f t="shared" si="109"/>
        <v>0.77551701333155676</v>
      </c>
      <c r="W74" s="201">
        <f t="shared" si="110"/>
        <v>350</v>
      </c>
      <c r="X74" s="451">
        <f t="shared" si="147"/>
        <v>350</v>
      </c>
      <c r="Z74" s="221">
        <f t="shared" si="111"/>
        <v>3.7585690646915135</v>
      </c>
      <c r="AA74" s="177">
        <f t="shared" si="112"/>
        <v>1.1031439602868174</v>
      </c>
      <c r="AB74" s="177">
        <f t="shared" si="113"/>
        <v>0.97467647041501804</v>
      </c>
      <c r="AC74" s="177"/>
      <c r="AD74" s="177">
        <f t="shared" si="114"/>
        <v>0.24067085953878403</v>
      </c>
      <c r="AE74" s="559">
        <f t="shared" si="115"/>
        <v>5205.63865046316</v>
      </c>
      <c r="AF74" s="542">
        <f t="shared" si="116"/>
        <v>4.6392002252886505E-2</v>
      </c>
      <c r="AH74" s="177">
        <f t="shared" si="117"/>
        <v>3.0715946798936575</v>
      </c>
      <c r="AI74" s="177">
        <f t="shared" si="118"/>
        <v>3.0715946798936575</v>
      </c>
      <c r="AJ74" s="177">
        <f t="shared" si="119"/>
        <v>2.8678479110323392</v>
      </c>
      <c r="AL74" s="559">
        <f t="shared" si="120"/>
        <v>690</v>
      </c>
      <c r="AM74" s="469">
        <f t="shared" si="121"/>
        <v>350</v>
      </c>
      <c r="AO74">
        <f t="shared" si="148"/>
        <v>690</v>
      </c>
      <c r="AP74">
        <f t="shared" si="122"/>
        <v>350</v>
      </c>
      <c r="AR74" s="5">
        <f t="shared" si="149"/>
        <v>2.8571428571428572</v>
      </c>
      <c r="AS74" s="5">
        <f t="shared" si="123"/>
        <v>1.4334108506170402</v>
      </c>
      <c r="AT74" s="5">
        <f t="shared" si="150"/>
        <v>1.423732006525817</v>
      </c>
      <c r="AU74" s="177">
        <f t="shared" si="151"/>
        <v>0.50169379771596401</v>
      </c>
      <c r="AW74" s="5">
        <f t="shared" si="152"/>
        <v>12.079683950617282</v>
      </c>
      <c r="AX74" s="5">
        <f t="shared" si="124"/>
        <v>21.676150666666658</v>
      </c>
      <c r="AY74" s="5">
        <f t="shared" si="125"/>
        <v>0.85581907298473081</v>
      </c>
      <c r="AZ74" s="5">
        <f t="shared" si="126"/>
        <v>1.1657245964855028</v>
      </c>
      <c r="BA74" s="5">
        <f t="shared" si="127"/>
        <v>1.5396287874079186</v>
      </c>
      <c r="BB74" s="469">
        <f t="shared" si="128"/>
        <v>117.90531695033074</v>
      </c>
      <c r="BC74" s="5"/>
      <c r="BD74" s="177">
        <f t="shared" si="153"/>
        <v>1.2560954583836539</v>
      </c>
      <c r="BE74" s="177">
        <f t="shared" si="129"/>
        <v>1.681586191537918</v>
      </c>
      <c r="BF74" s="177">
        <f t="shared" si="130"/>
        <v>0.39485346649403008</v>
      </c>
      <c r="BG74" s="177"/>
      <c r="BH74" s="542">
        <f t="shared" si="131"/>
        <v>0.17355533806292456</v>
      </c>
      <c r="BI74" s="542">
        <f t="shared" si="132"/>
        <v>0.20883004329927005</v>
      </c>
      <c r="BJ74" s="542">
        <f t="shared" si="133"/>
        <v>1.7499999999999998E-2</v>
      </c>
      <c r="BK74" s="542">
        <f t="shared" si="134"/>
        <v>0.11885914687500002</v>
      </c>
      <c r="BL74">
        <f t="shared" si="135"/>
        <v>4.3499999999999997E-3</v>
      </c>
      <c r="BM74" s="469">
        <f t="shared" si="154"/>
        <v>523.0945282371946</v>
      </c>
      <c r="BN74" s="177">
        <f t="shared" si="136"/>
        <v>0.621</v>
      </c>
      <c r="BO74" s="177">
        <f t="shared" si="137"/>
        <v>0.15525</v>
      </c>
      <c r="BP74" s="542"/>
      <c r="BR74" s="469">
        <f t="shared" si="155"/>
        <v>776.25</v>
      </c>
      <c r="BS74" s="542">
        <f t="shared" si="138"/>
        <v>0</v>
      </c>
      <c r="BT74" s="542">
        <f t="shared" si="139"/>
        <v>0</v>
      </c>
      <c r="BU74" s="542">
        <f t="shared" si="140"/>
        <v>0</v>
      </c>
      <c r="BV74" s="542">
        <f t="shared" si="141"/>
        <v>0</v>
      </c>
      <c r="BW74" s="647">
        <f t="shared" si="142"/>
        <v>0</v>
      </c>
      <c r="BX74" s="469">
        <f t="shared" si="156"/>
        <v>0</v>
      </c>
      <c r="BY74" s="177">
        <f t="shared" si="157"/>
        <v>1.2993445282371945</v>
      </c>
      <c r="BZ74" s="5">
        <f t="shared" si="158"/>
        <v>11.557499999999999</v>
      </c>
      <c r="CA74" s="177">
        <f t="shared" si="159"/>
        <v>0.89893752503707469</v>
      </c>
      <c r="CB74" s="5">
        <f t="shared" si="160"/>
        <v>89.893752503707475</v>
      </c>
      <c r="CC74">
        <f t="shared" si="161"/>
        <v>69</v>
      </c>
      <c r="CE74" s="576">
        <f t="shared" si="143"/>
        <v>-50</v>
      </c>
      <c r="CF74">
        <f t="shared" si="144"/>
        <v>-50</v>
      </c>
    </row>
    <row r="75" spans="5:84" x14ac:dyDescent="0.25">
      <c r="E75" s="174">
        <v>70</v>
      </c>
      <c r="F75" s="221">
        <f t="shared" si="162"/>
        <v>0.7</v>
      </c>
      <c r="G75" s="221">
        <f t="shared" si="145"/>
        <v>0.17499999999999999</v>
      </c>
      <c r="H75" s="221">
        <f t="shared" si="98"/>
        <v>10.5</v>
      </c>
      <c r="I75" s="221">
        <f t="shared" si="163"/>
        <v>1.2249999999999999</v>
      </c>
      <c r="J75" s="555">
        <f t="shared" si="99"/>
        <v>15</v>
      </c>
      <c r="K75" s="451">
        <f t="shared" si="100"/>
        <v>23.85</v>
      </c>
      <c r="L75" s="451">
        <f t="shared" si="101"/>
        <v>38.85</v>
      </c>
      <c r="M75" s="451"/>
      <c r="N75" s="221">
        <f t="shared" si="102"/>
        <v>0.61389961389961389</v>
      </c>
      <c r="O75" s="176">
        <f t="shared" si="146"/>
        <v>16.05988878003803</v>
      </c>
      <c r="P75" s="176">
        <f t="shared" si="103"/>
        <v>1.873653691004437</v>
      </c>
      <c r="Q75" s="221">
        <f t="shared" si="104"/>
        <v>1.0706592520025353</v>
      </c>
      <c r="R75" s="221">
        <f t="shared" si="105"/>
        <v>2.2942698257197187</v>
      </c>
      <c r="S75" s="451">
        <f t="shared" si="106"/>
        <v>15</v>
      </c>
      <c r="T75" s="221">
        <f t="shared" si="107"/>
        <v>2.6805914156460333</v>
      </c>
      <c r="U75" s="221">
        <f t="shared" si="108"/>
        <v>1.2509426606348155</v>
      </c>
      <c r="V75" s="221">
        <f t="shared" si="109"/>
        <v>0.78675639033636191</v>
      </c>
      <c r="W75" s="201">
        <f t="shared" si="110"/>
        <v>350</v>
      </c>
      <c r="X75" s="451">
        <f t="shared" si="147"/>
        <v>350</v>
      </c>
      <c r="Z75" s="221">
        <f t="shared" si="111"/>
        <v>3.7585690646915135</v>
      </c>
      <c r="AA75" s="177">
        <f t="shared" si="112"/>
        <v>1.1031439602868174</v>
      </c>
      <c r="AB75" s="177">
        <f t="shared" si="113"/>
        <v>0.97467647041501804</v>
      </c>
      <c r="AC75" s="177"/>
      <c r="AD75" s="177">
        <f t="shared" si="114"/>
        <v>0.24067085953878403</v>
      </c>
      <c r="AE75" s="559">
        <f t="shared" si="115"/>
        <v>5281.0826888756701</v>
      </c>
      <c r="AF75" s="542">
        <f t="shared" si="116"/>
        <v>4.6392002252886505E-2</v>
      </c>
      <c r="AH75" s="177">
        <f t="shared" si="117"/>
        <v>3.093772546815388</v>
      </c>
      <c r="AI75" s="177">
        <f t="shared" si="118"/>
        <v>3.093772546815388</v>
      </c>
      <c r="AJ75" s="177">
        <f t="shared" si="119"/>
        <v>2.8842759606039916</v>
      </c>
      <c r="AL75" s="559">
        <f t="shared" si="120"/>
        <v>700</v>
      </c>
      <c r="AM75" s="469">
        <f t="shared" si="121"/>
        <v>350</v>
      </c>
      <c r="AO75">
        <f t="shared" si="148"/>
        <v>700</v>
      </c>
      <c r="AP75">
        <f t="shared" si="122"/>
        <v>350</v>
      </c>
      <c r="AR75" s="5">
        <f t="shared" si="149"/>
        <v>2.8571428571428572</v>
      </c>
      <c r="AS75" s="5">
        <f t="shared" si="123"/>
        <v>1.443760521847181</v>
      </c>
      <c r="AT75" s="5">
        <f t="shared" si="150"/>
        <v>1.4133823352956763</v>
      </c>
      <c r="AU75" s="177">
        <f t="shared" si="151"/>
        <v>0.50531618264651335</v>
      </c>
      <c r="AW75" s="5">
        <f t="shared" si="152"/>
        <v>12.079683950617282</v>
      </c>
      <c r="AX75" s="5">
        <f t="shared" si="124"/>
        <v>22.278562962962951</v>
      </c>
      <c r="AY75" s="5">
        <f t="shared" si="125"/>
        <v>0.85581907298473081</v>
      </c>
      <c r="AZ75" s="5">
        <f t="shared" si="126"/>
        <v>1.1921498682585514</v>
      </c>
      <c r="BA75" s="5">
        <f t="shared" si="127"/>
        <v>1.5505878719384143</v>
      </c>
      <c r="BB75" s="469">
        <f t="shared" si="128"/>
        <v>118.76251144801266</v>
      </c>
      <c r="BC75" s="5"/>
      <c r="BD75" s="177">
        <f t="shared" si="153"/>
        <v>1.2697240839631336</v>
      </c>
      <c r="BE75" s="177">
        <f t="shared" si="129"/>
        <v>1.6875603483511663</v>
      </c>
      <c r="BF75" s="177">
        <f t="shared" si="130"/>
        <v>0.39625625901157124</v>
      </c>
      <c r="BG75" s="177"/>
      <c r="BH75" s="542">
        <f t="shared" si="131"/>
        <v>0.17734191743356209</v>
      </c>
      <c r="BI75" s="542">
        <f t="shared" si="132"/>
        <v>0.21033786102661123</v>
      </c>
      <c r="BJ75" s="542">
        <f t="shared" si="133"/>
        <v>1.7499999999999998E-2</v>
      </c>
      <c r="BK75" s="542">
        <f t="shared" si="134"/>
        <v>0.11885914687500002</v>
      </c>
      <c r="BL75">
        <f t="shared" si="135"/>
        <v>4.3499999999999997E-3</v>
      </c>
      <c r="BM75" s="469">
        <f t="shared" si="154"/>
        <v>528.38892533517333</v>
      </c>
      <c r="BN75" s="177">
        <f t="shared" si="136"/>
        <v>0.63</v>
      </c>
      <c r="BO75" s="177">
        <f t="shared" si="137"/>
        <v>0.1575</v>
      </c>
      <c r="BP75" s="542"/>
      <c r="BR75" s="469">
        <f t="shared" si="155"/>
        <v>787.5</v>
      </c>
      <c r="BS75" s="542">
        <f t="shared" si="138"/>
        <v>0</v>
      </c>
      <c r="BT75" s="542">
        <f t="shared" si="139"/>
        <v>0</v>
      </c>
      <c r="BU75" s="542">
        <f t="shared" si="140"/>
        <v>0</v>
      </c>
      <c r="BV75" s="542">
        <f t="shared" si="141"/>
        <v>0</v>
      </c>
      <c r="BW75" s="647">
        <f t="shared" si="142"/>
        <v>0</v>
      </c>
      <c r="BX75" s="469">
        <f t="shared" si="156"/>
        <v>0</v>
      </c>
      <c r="BY75" s="177">
        <f t="shared" si="157"/>
        <v>1.3158889253351733</v>
      </c>
      <c r="BZ75" s="5">
        <f t="shared" si="158"/>
        <v>11.725</v>
      </c>
      <c r="CA75" s="177">
        <f t="shared" si="159"/>
        <v>0.89909515119182315</v>
      </c>
      <c r="CB75" s="5">
        <f t="shared" si="160"/>
        <v>89.909515119182316</v>
      </c>
      <c r="CC75">
        <f t="shared" si="161"/>
        <v>70</v>
      </c>
      <c r="CE75" s="576">
        <f t="shared" si="143"/>
        <v>-50</v>
      </c>
      <c r="CF75">
        <f t="shared" si="144"/>
        <v>-50</v>
      </c>
    </row>
    <row r="76" spans="5:84" x14ac:dyDescent="0.25">
      <c r="E76" s="174">
        <v>71</v>
      </c>
      <c r="F76" s="221">
        <f t="shared" si="162"/>
        <v>0.71</v>
      </c>
      <c r="G76" s="221">
        <f t="shared" si="145"/>
        <v>0.17749999999999999</v>
      </c>
      <c r="H76" s="221">
        <f t="shared" si="98"/>
        <v>10.649999999999999</v>
      </c>
      <c r="I76" s="221">
        <f t="shared" si="163"/>
        <v>1.2424999999999999</v>
      </c>
      <c r="J76" s="555">
        <f t="shared" si="99"/>
        <v>15</v>
      </c>
      <c r="K76" s="451">
        <f t="shared" si="100"/>
        <v>23.85</v>
      </c>
      <c r="L76" s="451">
        <f t="shared" si="101"/>
        <v>38.85</v>
      </c>
      <c r="M76" s="451"/>
      <c r="N76" s="221">
        <f t="shared" si="102"/>
        <v>0.61389961389961389</v>
      </c>
      <c r="O76" s="176">
        <f t="shared" si="146"/>
        <v>16.05988878003803</v>
      </c>
      <c r="P76" s="176">
        <f t="shared" si="103"/>
        <v>1.873653691004437</v>
      </c>
      <c r="Q76" s="221">
        <f t="shared" si="104"/>
        <v>1.0706592520025353</v>
      </c>
      <c r="R76" s="221">
        <f t="shared" si="105"/>
        <v>2.2942698257197187</v>
      </c>
      <c r="S76" s="451">
        <f t="shared" si="106"/>
        <v>15</v>
      </c>
      <c r="T76" s="221">
        <f t="shared" si="107"/>
        <v>2.7188855787266908</v>
      </c>
      <c r="U76" s="221">
        <f t="shared" si="108"/>
        <v>1.2688132700724557</v>
      </c>
      <c r="V76" s="221">
        <f t="shared" si="109"/>
        <v>0.79799576734116695</v>
      </c>
      <c r="W76" s="201">
        <f t="shared" si="110"/>
        <v>350</v>
      </c>
      <c r="X76" s="451">
        <f t="shared" si="147"/>
        <v>350</v>
      </c>
      <c r="Z76" s="221">
        <f t="shared" si="111"/>
        <v>3.7585690646915135</v>
      </c>
      <c r="AA76" s="177">
        <f t="shared" si="112"/>
        <v>1.1031439602868174</v>
      </c>
      <c r="AB76" s="177">
        <f t="shared" si="113"/>
        <v>0.97467647041501804</v>
      </c>
      <c r="AC76" s="177"/>
      <c r="AD76" s="177">
        <f t="shared" si="114"/>
        <v>0.24067085953878403</v>
      </c>
      <c r="AE76" s="559">
        <f t="shared" si="115"/>
        <v>5356.5267272881792</v>
      </c>
      <c r="AF76" s="542">
        <f t="shared" si="116"/>
        <v>4.6392002252886505E-2</v>
      </c>
      <c r="AH76" s="177">
        <f t="shared" si="117"/>
        <v>3.1157925581312567</v>
      </c>
      <c r="AI76" s="177">
        <f t="shared" si="118"/>
        <v>3.1157925581312567</v>
      </c>
      <c r="AJ76" s="177">
        <f t="shared" si="119"/>
        <v>2.9005870800972273</v>
      </c>
      <c r="AL76" s="559">
        <f t="shared" si="120"/>
        <v>710</v>
      </c>
      <c r="AM76" s="469">
        <f t="shared" si="121"/>
        <v>350</v>
      </c>
      <c r="AO76">
        <f t="shared" si="148"/>
        <v>710</v>
      </c>
      <c r="AP76">
        <f t="shared" si="122"/>
        <v>350</v>
      </c>
      <c r="AR76" s="5">
        <f t="shared" si="149"/>
        <v>2.8571428571428572</v>
      </c>
      <c r="AS76" s="5">
        <f t="shared" si="123"/>
        <v>1.4540365271279199</v>
      </c>
      <c r="AT76" s="5">
        <f t="shared" si="150"/>
        <v>1.4031063300149373</v>
      </c>
      <c r="AU76" s="177">
        <f t="shared" si="151"/>
        <v>0.50891278449477195</v>
      </c>
      <c r="AW76" s="5">
        <f t="shared" si="152"/>
        <v>12.079683950617282</v>
      </c>
      <c r="AX76" s="5">
        <f t="shared" si="124"/>
        <v>22.889211407407402</v>
      </c>
      <c r="AY76" s="5">
        <f t="shared" si="125"/>
        <v>0.85581907298473081</v>
      </c>
      <c r="AZ76" s="5">
        <f t="shared" si="126"/>
        <v>1.218847446100277</v>
      </c>
      <c r="BA76" s="5">
        <f t="shared" si="127"/>
        <v>1.5613045173990774</v>
      </c>
      <c r="BB76" s="469">
        <f t="shared" si="128"/>
        <v>119.60152301545712</v>
      </c>
      <c r="BC76" s="5"/>
      <c r="BD76" s="177">
        <f t="shared" si="153"/>
        <v>1.2833041208376648</v>
      </c>
      <c r="BE76" s="177">
        <f t="shared" si="129"/>
        <v>1.6933819615290007</v>
      </c>
      <c r="BF76" s="177">
        <f t="shared" si="130"/>
        <v>0.3976232327387717</v>
      </c>
      <c r="BG76" s="177"/>
      <c r="BH76" s="542">
        <f t="shared" si="131"/>
        <v>0.18115564132148249</v>
      </c>
      <c r="BI76" s="542">
        <f t="shared" si="132"/>
        <v>0.21183494654594881</v>
      </c>
      <c r="BJ76" s="542">
        <f t="shared" si="133"/>
        <v>1.7499999999999998E-2</v>
      </c>
      <c r="BK76" s="542">
        <f t="shared" si="134"/>
        <v>0.11885914687500002</v>
      </c>
      <c r="BL76">
        <f t="shared" si="135"/>
        <v>4.3499999999999997E-3</v>
      </c>
      <c r="BM76" s="469">
        <f t="shared" si="154"/>
        <v>533.69973474243125</v>
      </c>
      <c r="BN76" s="177">
        <f t="shared" si="136"/>
        <v>0.63900000000000001</v>
      </c>
      <c r="BO76" s="177">
        <f t="shared" si="137"/>
        <v>0.15975</v>
      </c>
      <c r="BP76" s="542"/>
      <c r="BR76" s="469">
        <f t="shared" si="155"/>
        <v>798.75000000000011</v>
      </c>
      <c r="BS76" s="542">
        <f t="shared" si="138"/>
        <v>0</v>
      </c>
      <c r="BT76" s="542">
        <f t="shared" si="139"/>
        <v>0</v>
      </c>
      <c r="BU76" s="542">
        <f t="shared" si="140"/>
        <v>0</v>
      </c>
      <c r="BV76" s="542">
        <f t="shared" si="141"/>
        <v>0</v>
      </c>
      <c r="BW76" s="647">
        <f t="shared" si="142"/>
        <v>0</v>
      </c>
      <c r="BX76" s="469">
        <f t="shared" si="156"/>
        <v>0</v>
      </c>
      <c r="BY76" s="177">
        <f t="shared" si="157"/>
        <v>1.3324497347424313</v>
      </c>
      <c r="BZ76" s="5">
        <f t="shared" si="158"/>
        <v>11.892499999999998</v>
      </c>
      <c r="CA76" s="177">
        <f t="shared" si="159"/>
        <v>0.89924727416981887</v>
      </c>
      <c r="CB76" s="5">
        <f t="shared" si="160"/>
        <v>89.924727416981881</v>
      </c>
      <c r="CC76">
        <f t="shared" si="161"/>
        <v>71</v>
      </c>
      <c r="CE76" s="576">
        <f t="shared" si="143"/>
        <v>-50</v>
      </c>
      <c r="CF76">
        <f t="shared" si="144"/>
        <v>-50</v>
      </c>
    </row>
    <row r="77" spans="5:84" x14ac:dyDescent="0.25">
      <c r="E77" s="174">
        <v>72</v>
      </c>
      <c r="F77" s="221">
        <f t="shared" si="162"/>
        <v>0.72</v>
      </c>
      <c r="G77" s="221">
        <f t="shared" si="145"/>
        <v>0.18</v>
      </c>
      <c r="H77" s="221">
        <f t="shared" si="98"/>
        <v>10.799999999999999</v>
      </c>
      <c r="I77" s="221">
        <f t="shared" si="163"/>
        <v>1.26</v>
      </c>
      <c r="J77" s="555">
        <f t="shared" si="99"/>
        <v>15</v>
      </c>
      <c r="K77" s="451">
        <f t="shared" si="100"/>
        <v>23.85</v>
      </c>
      <c r="L77" s="451">
        <f t="shared" si="101"/>
        <v>38.85</v>
      </c>
      <c r="M77" s="451"/>
      <c r="N77" s="221">
        <f t="shared" si="102"/>
        <v>0.61389961389961389</v>
      </c>
      <c r="O77" s="176">
        <f t="shared" si="146"/>
        <v>16.05988878003803</v>
      </c>
      <c r="P77" s="176">
        <f t="shared" si="103"/>
        <v>1.873653691004437</v>
      </c>
      <c r="Q77" s="221">
        <f t="shared" si="104"/>
        <v>1.0706592520025353</v>
      </c>
      <c r="R77" s="221">
        <f t="shared" si="105"/>
        <v>2.2942698257197187</v>
      </c>
      <c r="S77" s="451">
        <f t="shared" si="106"/>
        <v>15</v>
      </c>
      <c r="T77" s="221">
        <f t="shared" si="107"/>
        <v>2.7571797418073483</v>
      </c>
      <c r="U77" s="221">
        <f t="shared" si="108"/>
        <v>1.2866838795100959</v>
      </c>
      <c r="V77" s="221">
        <f t="shared" si="109"/>
        <v>0.80923514434597221</v>
      </c>
      <c r="W77" s="201">
        <f t="shared" si="110"/>
        <v>350</v>
      </c>
      <c r="X77" s="451">
        <f t="shared" si="147"/>
        <v>350</v>
      </c>
      <c r="Z77" s="221">
        <f t="shared" si="111"/>
        <v>3.7585690646915135</v>
      </c>
      <c r="AA77" s="177">
        <f t="shared" si="112"/>
        <v>1.1031439602868174</v>
      </c>
      <c r="AB77" s="177">
        <f t="shared" si="113"/>
        <v>0.97467647041501804</v>
      </c>
      <c r="AC77" s="177"/>
      <c r="AD77" s="177">
        <f t="shared" si="114"/>
        <v>0.24067085953878403</v>
      </c>
      <c r="AE77" s="559">
        <f t="shared" si="115"/>
        <v>5431.9707657006902</v>
      </c>
      <c r="AF77" s="542">
        <f t="shared" si="116"/>
        <v>4.6392002252886505E-2</v>
      </c>
      <c r="AH77" s="177">
        <f t="shared" si="117"/>
        <v>3.1376580373239644</v>
      </c>
      <c r="AI77" s="177">
        <f t="shared" si="118"/>
        <v>3.1376580373239644</v>
      </c>
      <c r="AJ77" s="177">
        <f t="shared" si="119"/>
        <v>2.9167837313510852</v>
      </c>
      <c r="AL77" s="559">
        <f t="shared" si="120"/>
        <v>720</v>
      </c>
      <c r="AM77" s="469">
        <f t="shared" si="121"/>
        <v>350</v>
      </c>
      <c r="AO77">
        <f t="shared" si="148"/>
        <v>720</v>
      </c>
      <c r="AP77">
        <f t="shared" si="122"/>
        <v>350</v>
      </c>
      <c r="AR77" s="5">
        <f t="shared" si="149"/>
        <v>2.8571428571428572</v>
      </c>
      <c r="AS77" s="5">
        <f t="shared" si="123"/>
        <v>1.46424041741785</v>
      </c>
      <c r="AT77" s="5">
        <f t="shared" si="150"/>
        <v>1.3929024397250072</v>
      </c>
      <c r="AU77" s="177">
        <f t="shared" si="151"/>
        <v>0.51248414609624748</v>
      </c>
      <c r="AW77" s="5">
        <f t="shared" si="152"/>
        <v>12.079683950617282</v>
      </c>
      <c r="AX77" s="5">
        <f t="shared" si="124"/>
        <v>23.508095999999998</v>
      </c>
      <c r="AY77" s="5">
        <f t="shared" si="125"/>
        <v>0.85581907298473081</v>
      </c>
      <c r="AZ77" s="5">
        <f t="shared" si="126"/>
        <v>1.2458173300106798</v>
      </c>
      <c r="BA77" s="5">
        <f t="shared" si="127"/>
        <v>1.571780437247587</v>
      </c>
      <c r="BB77" s="469">
        <f t="shared" si="128"/>
        <v>120.42248016199008</v>
      </c>
      <c r="BC77" s="5"/>
      <c r="BD77" s="177">
        <f t="shared" si="153"/>
        <v>1.2968364229946829</v>
      </c>
      <c r="BE77" s="177">
        <f t="shared" si="129"/>
        <v>1.6990535251948324</v>
      </c>
      <c r="BF77" s="177">
        <f t="shared" si="130"/>
        <v>0.39895497332106505</v>
      </c>
      <c r="BG77" s="177"/>
      <c r="BH77" s="542">
        <f t="shared" si="131"/>
        <v>0.18499631788062088</v>
      </c>
      <c r="BI77" s="542">
        <f t="shared" si="132"/>
        <v>0.21332152581256306</v>
      </c>
      <c r="BJ77" s="542">
        <f t="shared" si="133"/>
        <v>1.7499999999999998E-2</v>
      </c>
      <c r="BK77" s="542">
        <f t="shared" si="134"/>
        <v>0.11885914687500002</v>
      </c>
      <c r="BL77">
        <f t="shared" si="135"/>
        <v>4.3499999999999997E-3</v>
      </c>
      <c r="BM77" s="469">
        <f t="shared" si="154"/>
        <v>539.02699056818392</v>
      </c>
      <c r="BN77" s="177">
        <f t="shared" si="136"/>
        <v>0.64800000000000002</v>
      </c>
      <c r="BO77" s="177">
        <f t="shared" si="137"/>
        <v>0.16200000000000001</v>
      </c>
      <c r="BP77" s="542"/>
      <c r="BR77" s="469">
        <f t="shared" si="155"/>
        <v>810</v>
      </c>
      <c r="BS77" s="542">
        <f t="shared" si="138"/>
        <v>0</v>
      </c>
      <c r="BT77" s="542">
        <f t="shared" si="139"/>
        <v>0</v>
      </c>
      <c r="BU77" s="542">
        <f t="shared" si="140"/>
        <v>0</v>
      </c>
      <c r="BV77" s="542">
        <f t="shared" si="141"/>
        <v>0</v>
      </c>
      <c r="BW77" s="647">
        <f t="shared" si="142"/>
        <v>0</v>
      </c>
      <c r="BX77" s="469">
        <f t="shared" si="156"/>
        <v>0</v>
      </c>
      <c r="BY77" s="177">
        <f t="shared" si="157"/>
        <v>1.3490269905681838</v>
      </c>
      <c r="BZ77" s="5">
        <f t="shared" si="158"/>
        <v>12.059999999999999</v>
      </c>
      <c r="CA77" s="177">
        <f t="shared" si="159"/>
        <v>0.89939411774492806</v>
      </c>
      <c r="CB77" s="5">
        <f t="shared" si="160"/>
        <v>89.939411774492811</v>
      </c>
      <c r="CC77">
        <f t="shared" si="161"/>
        <v>72</v>
      </c>
      <c r="CE77" s="576">
        <f t="shared" si="143"/>
        <v>-50</v>
      </c>
      <c r="CF77">
        <f t="shared" si="144"/>
        <v>-50</v>
      </c>
    </row>
    <row r="78" spans="5:84" x14ac:dyDescent="0.25">
      <c r="E78" s="174">
        <v>73</v>
      </c>
      <c r="F78" s="221">
        <f t="shared" si="162"/>
        <v>0.73</v>
      </c>
      <c r="G78" s="221">
        <f t="shared" si="145"/>
        <v>0.1825</v>
      </c>
      <c r="H78" s="221">
        <f t="shared" si="98"/>
        <v>10.95</v>
      </c>
      <c r="I78" s="221">
        <f t="shared" si="163"/>
        <v>1.2774999999999999</v>
      </c>
      <c r="J78" s="555">
        <f t="shared" si="99"/>
        <v>15</v>
      </c>
      <c r="K78" s="451">
        <f t="shared" si="100"/>
        <v>23.85</v>
      </c>
      <c r="L78" s="451">
        <f t="shared" si="101"/>
        <v>38.85</v>
      </c>
      <c r="M78" s="451"/>
      <c r="N78" s="221">
        <f t="shared" si="102"/>
        <v>0.61389961389961389</v>
      </c>
      <c r="O78" s="176">
        <f t="shared" si="146"/>
        <v>16.05988878003803</v>
      </c>
      <c r="P78" s="176">
        <f t="shared" si="103"/>
        <v>1.873653691004437</v>
      </c>
      <c r="Q78" s="221">
        <f t="shared" si="104"/>
        <v>1.0706592520025353</v>
      </c>
      <c r="R78" s="221">
        <f t="shared" si="105"/>
        <v>2.2942698257197187</v>
      </c>
      <c r="S78" s="451">
        <f t="shared" si="106"/>
        <v>15</v>
      </c>
      <c r="T78" s="221">
        <f t="shared" si="107"/>
        <v>2.7954739048880062</v>
      </c>
      <c r="U78" s="221">
        <f t="shared" si="108"/>
        <v>1.3045544889477363</v>
      </c>
      <c r="V78" s="221">
        <f t="shared" si="109"/>
        <v>0.82047452135077747</v>
      </c>
      <c r="W78" s="201">
        <f t="shared" si="110"/>
        <v>350</v>
      </c>
      <c r="X78" s="451">
        <f t="shared" si="147"/>
        <v>350</v>
      </c>
      <c r="Z78" s="221">
        <f t="shared" si="111"/>
        <v>3.7585690646915135</v>
      </c>
      <c r="AA78" s="177">
        <f t="shared" si="112"/>
        <v>1.1031439602868174</v>
      </c>
      <c r="AB78" s="177">
        <f t="shared" si="113"/>
        <v>0.97467647041501804</v>
      </c>
      <c r="AC78" s="177"/>
      <c r="AD78" s="177">
        <f t="shared" si="114"/>
        <v>0.24067085953878403</v>
      </c>
      <c r="AE78" s="559">
        <f t="shared" si="115"/>
        <v>5507.4148041131984</v>
      </c>
      <c r="AF78" s="542">
        <f t="shared" si="116"/>
        <v>4.6392002252886505E-2</v>
      </c>
      <c r="AH78" s="177">
        <f t="shared" si="117"/>
        <v>3.1593721928669978</v>
      </c>
      <c r="AI78" s="177">
        <f t="shared" si="118"/>
        <v>3.1593721928669978</v>
      </c>
      <c r="AJ78" s="177">
        <f t="shared" si="119"/>
        <v>2.9328682910125909</v>
      </c>
      <c r="AL78" s="559">
        <f t="shared" si="120"/>
        <v>730</v>
      </c>
      <c r="AM78" s="469">
        <f t="shared" si="121"/>
        <v>350</v>
      </c>
      <c r="AO78">
        <f t="shared" si="148"/>
        <v>730</v>
      </c>
      <c r="AP78">
        <f t="shared" si="122"/>
        <v>350</v>
      </c>
      <c r="AR78" s="5">
        <f t="shared" si="149"/>
        <v>2.8571428571428572</v>
      </c>
      <c r="AS78" s="5">
        <f t="shared" si="123"/>
        <v>1.4743736900045989</v>
      </c>
      <c r="AT78" s="5">
        <f t="shared" si="150"/>
        <v>1.3827691671382583</v>
      </c>
      <c r="AU78" s="177">
        <f t="shared" si="151"/>
        <v>0.51603079150160958</v>
      </c>
      <c r="AW78" s="5">
        <f t="shared" si="152"/>
        <v>12.079683950617282</v>
      </c>
      <c r="AX78" s="5">
        <f t="shared" si="124"/>
        <v>24.135216740740734</v>
      </c>
      <c r="AY78" s="5">
        <f t="shared" si="125"/>
        <v>0.85581907298473081</v>
      </c>
      <c r="AZ78" s="5">
        <f t="shared" si="126"/>
        <v>1.2730595199897592</v>
      </c>
      <c r="BA78" s="5">
        <f t="shared" si="127"/>
        <v>1.5820173091165428</v>
      </c>
      <c r="BB78" s="469">
        <f t="shared" si="128"/>
        <v>121.22550871005652</v>
      </c>
      <c r="BC78" s="5"/>
      <c r="BD78" s="177">
        <f t="shared" si="153"/>
        <v>1.3103218177783011</v>
      </c>
      <c r="BE78" s="177">
        <f t="shared" si="129"/>
        <v>1.7045774409093426</v>
      </c>
      <c r="BF78" s="177">
        <f t="shared" si="130"/>
        <v>0.40025204466921904</v>
      </c>
      <c r="BG78" s="177"/>
      <c r="BH78" s="542">
        <f t="shared" si="131"/>
        <v>0.18886375927604146</v>
      </c>
      <c r="BI78" s="542">
        <f t="shared" si="132"/>
        <v>0.21479781696254505</v>
      </c>
      <c r="BJ78" s="542">
        <f t="shared" si="133"/>
        <v>1.7499999999999998E-2</v>
      </c>
      <c r="BK78" s="542">
        <f t="shared" si="134"/>
        <v>0.11885914687500002</v>
      </c>
      <c r="BL78">
        <f t="shared" si="135"/>
        <v>4.3499999999999997E-3</v>
      </c>
      <c r="BM78" s="469">
        <f t="shared" si="154"/>
        <v>544.37072311358645</v>
      </c>
      <c r="BN78" s="177">
        <f t="shared" si="136"/>
        <v>0.65700000000000003</v>
      </c>
      <c r="BO78" s="177">
        <f t="shared" si="137"/>
        <v>0.16425000000000001</v>
      </c>
      <c r="BP78" s="542"/>
      <c r="BR78" s="469">
        <f t="shared" si="155"/>
        <v>821.25</v>
      </c>
      <c r="BS78" s="542">
        <f t="shared" si="138"/>
        <v>0</v>
      </c>
      <c r="BT78" s="542">
        <f t="shared" si="139"/>
        <v>0</v>
      </c>
      <c r="BU78" s="542">
        <f t="shared" si="140"/>
        <v>0</v>
      </c>
      <c r="BV78" s="542">
        <f t="shared" si="141"/>
        <v>0</v>
      </c>
      <c r="BW78" s="647">
        <f t="shared" si="142"/>
        <v>0</v>
      </c>
      <c r="BX78" s="469">
        <f t="shared" si="156"/>
        <v>0</v>
      </c>
      <c r="BY78" s="177">
        <f t="shared" si="157"/>
        <v>1.3656207231135866</v>
      </c>
      <c r="BZ78" s="5">
        <f t="shared" si="158"/>
        <v>12.227499999999999</v>
      </c>
      <c r="CA78" s="177">
        <f t="shared" si="159"/>
        <v>0.89953589385905319</v>
      </c>
      <c r="CB78" s="5">
        <f t="shared" si="160"/>
        <v>89.953589385905317</v>
      </c>
      <c r="CC78">
        <f t="shared" si="161"/>
        <v>73</v>
      </c>
      <c r="CE78" s="576">
        <f t="shared" si="143"/>
        <v>-50</v>
      </c>
      <c r="CF78">
        <f t="shared" si="144"/>
        <v>-50</v>
      </c>
    </row>
    <row r="79" spans="5:84" x14ac:dyDescent="0.25">
      <c r="E79" s="174">
        <v>74</v>
      </c>
      <c r="F79" s="221">
        <f t="shared" si="162"/>
        <v>0.74</v>
      </c>
      <c r="G79" s="221">
        <f t="shared" si="145"/>
        <v>0.185</v>
      </c>
      <c r="H79" s="221">
        <f t="shared" si="98"/>
        <v>11.1</v>
      </c>
      <c r="I79" s="221">
        <f t="shared" si="163"/>
        <v>1.2949999999999999</v>
      </c>
      <c r="J79" s="555">
        <f t="shared" si="99"/>
        <v>15</v>
      </c>
      <c r="K79" s="451">
        <f t="shared" si="100"/>
        <v>23.85</v>
      </c>
      <c r="L79" s="451">
        <f t="shared" si="101"/>
        <v>38.85</v>
      </c>
      <c r="M79" s="451"/>
      <c r="N79" s="221">
        <f t="shared" si="102"/>
        <v>0.61389961389961389</v>
      </c>
      <c r="O79" s="176">
        <f t="shared" si="146"/>
        <v>16.05988878003803</v>
      </c>
      <c r="P79" s="176">
        <f t="shared" si="103"/>
        <v>1.873653691004437</v>
      </c>
      <c r="Q79" s="221">
        <f t="shared" si="104"/>
        <v>1.0706592520025353</v>
      </c>
      <c r="R79" s="221">
        <f t="shared" si="105"/>
        <v>2.2942698257197187</v>
      </c>
      <c r="S79" s="451">
        <f t="shared" si="106"/>
        <v>15</v>
      </c>
      <c r="T79" s="221">
        <f t="shared" si="107"/>
        <v>2.8337680679686637</v>
      </c>
      <c r="U79" s="221">
        <f t="shared" si="108"/>
        <v>1.3224250983853763</v>
      </c>
      <c r="V79" s="221">
        <f t="shared" si="109"/>
        <v>0.83171389835558251</v>
      </c>
      <c r="W79" s="201">
        <f t="shared" si="110"/>
        <v>350</v>
      </c>
      <c r="X79" s="451">
        <f t="shared" si="147"/>
        <v>350</v>
      </c>
      <c r="Z79" s="221">
        <f t="shared" si="111"/>
        <v>3.7585690646915135</v>
      </c>
      <c r="AA79" s="177">
        <f t="shared" si="112"/>
        <v>1.1031439602868174</v>
      </c>
      <c r="AB79" s="177">
        <f t="shared" si="113"/>
        <v>0.97467647041501804</v>
      </c>
      <c r="AC79" s="177"/>
      <c r="AD79" s="177">
        <f t="shared" si="114"/>
        <v>0.24067085953878403</v>
      </c>
      <c r="AE79" s="559">
        <f t="shared" si="115"/>
        <v>5582.8588425257085</v>
      </c>
      <c r="AF79" s="542">
        <f t="shared" si="116"/>
        <v>4.6392002252886505E-2</v>
      </c>
      <c r="AH79" s="177">
        <f t="shared" si="117"/>
        <v>3.1809381237205439</v>
      </c>
      <c r="AI79" s="177">
        <f t="shared" si="118"/>
        <v>3.1809381237205439</v>
      </c>
      <c r="AJ79" s="177">
        <f t="shared" si="119"/>
        <v>2.9488430546078104</v>
      </c>
      <c r="AL79" s="559">
        <f t="shared" si="120"/>
        <v>740</v>
      </c>
      <c r="AM79" s="469">
        <f t="shared" si="121"/>
        <v>350</v>
      </c>
      <c r="AO79">
        <f t="shared" si="148"/>
        <v>740</v>
      </c>
      <c r="AP79">
        <f t="shared" si="122"/>
        <v>350</v>
      </c>
      <c r="AR79" s="5">
        <f t="shared" si="149"/>
        <v>2.8571428571428572</v>
      </c>
      <c r="AS79" s="5">
        <f t="shared" si="123"/>
        <v>1.484437791069587</v>
      </c>
      <c r="AT79" s="5">
        <f t="shared" si="150"/>
        <v>1.3727050660732703</v>
      </c>
      <c r="AU79" s="177">
        <f t="shared" si="151"/>
        <v>0.51955322687435546</v>
      </c>
      <c r="AW79" s="5">
        <f t="shared" si="152"/>
        <v>12.079683950617282</v>
      </c>
      <c r="AX79" s="5">
        <f t="shared" si="124"/>
        <v>24.770573629629624</v>
      </c>
      <c r="AY79" s="5">
        <f t="shared" si="125"/>
        <v>0.85581907298473081</v>
      </c>
      <c r="AZ79" s="5">
        <f t="shared" si="126"/>
        <v>1.3005740160375159</v>
      </c>
      <c r="BA79" s="5">
        <f t="shared" si="127"/>
        <v>1.5920167760447423</v>
      </c>
      <c r="BB79" s="469">
        <f t="shared" si="128"/>
        <v>122.01073188756619</v>
      </c>
      <c r="BC79" s="5"/>
      <c r="BD79" s="177">
        <f t="shared" si="153"/>
        <v>1.3237611070735977</v>
      </c>
      <c r="BE79" s="177">
        <f t="shared" si="129"/>
        <v>1.7099560219579535</v>
      </c>
      <c r="BF79" s="177">
        <f t="shared" si="130"/>
        <v>0.40151498996607649</v>
      </c>
      <c r="BG79" s="177"/>
      <c r="BH79" s="542">
        <f t="shared" si="131"/>
        <v>0.19275778154607889</v>
      </c>
      <c r="BI79" s="542">
        <f t="shared" si="132"/>
        <v>0.2162640306864505</v>
      </c>
      <c r="BJ79" s="542">
        <f t="shared" si="133"/>
        <v>1.7499999999999998E-2</v>
      </c>
      <c r="BK79" s="542">
        <f t="shared" si="134"/>
        <v>0.11885914687500002</v>
      </c>
      <c r="BL79">
        <f t="shared" si="135"/>
        <v>4.3499999999999997E-3</v>
      </c>
      <c r="BM79" s="469">
        <f t="shared" si="154"/>
        <v>549.73095910752943</v>
      </c>
      <c r="BN79" s="177">
        <f t="shared" si="136"/>
        <v>0.66600000000000004</v>
      </c>
      <c r="BO79" s="177">
        <f t="shared" si="137"/>
        <v>0.16650000000000001</v>
      </c>
      <c r="BP79" s="542"/>
      <c r="BR79" s="469">
        <f t="shared" si="155"/>
        <v>832.5</v>
      </c>
      <c r="BS79" s="542">
        <f t="shared" si="138"/>
        <v>0</v>
      </c>
      <c r="BT79" s="542">
        <f t="shared" si="139"/>
        <v>0</v>
      </c>
      <c r="BU79" s="542">
        <f t="shared" si="140"/>
        <v>0</v>
      </c>
      <c r="BV79" s="542">
        <f t="shared" si="141"/>
        <v>0</v>
      </c>
      <c r="BW79" s="647">
        <f t="shared" si="142"/>
        <v>0</v>
      </c>
      <c r="BX79" s="469">
        <f t="shared" si="156"/>
        <v>0</v>
      </c>
      <c r="BY79" s="177">
        <f t="shared" si="157"/>
        <v>1.3822309591075297</v>
      </c>
      <c r="BZ79" s="5">
        <f t="shared" si="158"/>
        <v>12.395</v>
      </c>
      <c r="CA79" s="177">
        <f t="shared" si="159"/>
        <v>0.89967280339495237</v>
      </c>
      <c r="CB79" s="5">
        <f t="shared" si="160"/>
        <v>89.967280339495233</v>
      </c>
      <c r="CC79">
        <f t="shared" si="161"/>
        <v>74</v>
      </c>
      <c r="CE79" s="576">
        <f t="shared" si="143"/>
        <v>-50</v>
      </c>
      <c r="CF79">
        <f t="shared" si="144"/>
        <v>-50</v>
      </c>
    </row>
    <row r="80" spans="5:84" x14ac:dyDescent="0.25">
      <c r="E80" s="174">
        <v>75</v>
      </c>
      <c r="F80" s="221">
        <f t="shared" si="162"/>
        <v>0.75</v>
      </c>
      <c r="G80" s="221">
        <f t="shared" si="145"/>
        <v>0.1875</v>
      </c>
      <c r="H80" s="221">
        <f t="shared" si="98"/>
        <v>11.25</v>
      </c>
      <c r="I80" s="221">
        <f t="shared" si="163"/>
        <v>1.3125</v>
      </c>
      <c r="J80" s="555">
        <f t="shared" si="99"/>
        <v>15</v>
      </c>
      <c r="K80" s="451">
        <f t="shared" si="100"/>
        <v>23.85</v>
      </c>
      <c r="L80" s="451">
        <f t="shared" si="101"/>
        <v>38.85</v>
      </c>
      <c r="M80" s="451"/>
      <c r="N80" s="221">
        <f t="shared" si="102"/>
        <v>0.61389961389961389</v>
      </c>
      <c r="O80" s="176">
        <f t="shared" si="146"/>
        <v>16.05988878003803</v>
      </c>
      <c r="P80" s="176">
        <f t="shared" si="103"/>
        <v>1.873653691004437</v>
      </c>
      <c r="Q80" s="221">
        <f t="shared" si="104"/>
        <v>1.0706592520025353</v>
      </c>
      <c r="R80" s="221">
        <f t="shared" si="105"/>
        <v>2.2942698257197187</v>
      </c>
      <c r="S80" s="451">
        <f t="shared" si="106"/>
        <v>15</v>
      </c>
      <c r="T80" s="221">
        <f t="shared" si="107"/>
        <v>2.8720622310493216</v>
      </c>
      <c r="U80" s="221">
        <f t="shared" si="108"/>
        <v>1.3402957078230167</v>
      </c>
      <c r="V80" s="221">
        <f t="shared" si="109"/>
        <v>0.84295327536038789</v>
      </c>
      <c r="W80" s="201">
        <f t="shared" si="110"/>
        <v>350</v>
      </c>
      <c r="X80" s="451">
        <f t="shared" si="147"/>
        <v>350</v>
      </c>
      <c r="Z80" s="221">
        <f t="shared" si="111"/>
        <v>3.7585690646915135</v>
      </c>
      <c r="AA80" s="177">
        <f t="shared" si="112"/>
        <v>1.1031439602868174</v>
      </c>
      <c r="AB80" s="177">
        <f t="shared" si="113"/>
        <v>0.97467647041501804</v>
      </c>
      <c r="AC80" s="177"/>
      <c r="AD80" s="177">
        <f t="shared" si="114"/>
        <v>0.24067085953878403</v>
      </c>
      <c r="AE80" s="559">
        <f t="shared" si="115"/>
        <v>5658.3028809382185</v>
      </c>
      <c r="AF80" s="542">
        <f t="shared" si="116"/>
        <v>4.6392002252886505E-2</v>
      </c>
      <c r="AH80" s="177">
        <f t="shared" si="117"/>
        <v>3.2023588244942705</v>
      </c>
      <c r="AI80" s="177">
        <f t="shared" si="118"/>
        <v>3.2023588244942705</v>
      </c>
      <c r="AJ80" s="177">
        <f t="shared" si="119"/>
        <v>2.9647102403661263</v>
      </c>
      <c r="AL80" s="559">
        <f t="shared" si="120"/>
        <v>750</v>
      </c>
      <c r="AM80" s="469">
        <f t="shared" si="121"/>
        <v>350</v>
      </c>
      <c r="AO80">
        <f t="shared" si="148"/>
        <v>750</v>
      </c>
      <c r="AP80">
        <f t="shared" si="122"/>
        <v>350</v>
      </c>
      <c r="AR80" s="5">
        <f t="shared" si="149"/>
        <v>2.8571428571428572</v>
      </c>
      <c r="AS80" s="5">
        <f t="shared" si="123"/>
        <v>1.4944341180973262</v>
      </c>
      <c r="AT80" s="5">
        <f t="shared" si="150"/>
        <v>1.362708739045531</v>
      </c>
      <c r="AU80" s="177">
        <f t="shared" si="151"/>
        <v>0.52305194133406419</v>
      </c>
      <c r="AW80" s="5">
        <f t="shared" si="152"/>
        <v>12.079683950617282</v>
      </c>
      <c r="AX80" s="5">
        <f t="shared" si="124"/>
        <v>25.414166666666663</v>
      </c>
      <c r="AY80" s="5">
        <f t="shared" si="125"/>
        <v>0.85581907298473081</v>
      </c>
      <c r="AZ80" s="5">
        <f t="shared" si="126"/>
        <v>1.3283608181539495</v>
      </c>
      <c r="BA80" s="5">
        <f t="shared" si="127"/>
        <v>1.6017804476500102</v>
      </c>
      <c r="BB80" s="469">
        <f t="shared" si="128"/>
        <v>122.77827041585603</v>
      </c>
      <c r="BC80" s="5"/>
      <c r="BD80" s="177">
        <f t="shared" si="153"/>
        <v>1.3371550684229936</v>
      </c>
      <c r="BE80" s="177">
        <f t="shared" si="129"/>
        <v>1.7151914973765821</v>
      </c>
      <c r="BF80" s="177">
        <f t="shared" si="130"/>
        <v>0.40274433261184295</v>
      </c>
      <c r="BG80" s="177"/>
      <c r="BH80" s="542">
        <f t="shared" si="131"/>
        <v>0.19667820447102308</v>
      </c>
      <c r="BI80" s="542">
        <f t="shared" si="132"/>
        <v>0.21772037058030425</v>
      </c>
      <c r="BJ80" s="542">
        <f t="shared" si="133"/>
        <v>1.7499999999999998E-2</v>
      </c>
      <c r="BK80" s="542">
        <f t="shared" si="134"/>
        <v>0.11885914687500002</v>
      </c>
      <c r="BL80">
        <f t="shared" si="135"/>
        <v>4.3499999999999997E-3</v>
      </c>
      <c r="BM80" s="469">
        <f t="shared" si="154"/>
        <v>555.10772192632726</v>
      </c>
      <c r="BN80" s="177">
        <f t="shared" si="136"/>
        <v>0.67500000000000004</v>
      </c>
      <c r="BO80" s="177">
        <f t="shared" si="137"/>
        <v>0.16875000000000001</v>
      </c>
      <c r="BP80" s="542"/>
      <c r="BR80" s="469">
        <f t="shared" si="155"/>
        <v>843.75</v>
      </c>
      <c r="BS80" s="542">
        <f t="shared" si="138"/>
        <v>0</v>
      </c>
      <c r="BT80" s="542">
        <f t="shared" si="139"/>
        <v>0</v>
      </c>
      <c r="BU80" s="542">
        <f t="shared" si="140"/>
        <v>0</v>
      </c>
      <c r="BV80" s="542">
        <f t="shared" si="141"/>
        <v>0</v>
      </c>
      <c r="BW80" s="647">
        <f t="shared" si="142"/>
        <v>0</v>
      </c>
      <c r="BX80" s="469">
        <f t="shared" si="156"/>
        <v>0</v>
      </c>
      <c r="BY80" s="177">
        <f t="shared" si="157"/>
        <v>1.3988577219263274</v>
      </c>
      <c r="BZ80" s="5">
        <f t="shared" si="158"/>
        <v>12.5625</v>
      </c>
      <c r="CA80" s="177">
        <f t="shared" si="159"/>
        <v>0.8998050368891114</v>
      </c>
      <c r="CB80" s="5">
        <f t="shared" si="160"/>
        <v>89.980503688911142</v>
      </c>
      <c r="CC80">
        <f t="shared" si="161"/>
        <v>75</v>
      </c>
      <c r="CE80" s="576">
        <f t="shared" si="143"/>
        <v>-50</v>
      </c>
      <c r="CF80">
        <f t="shared" si="144"/>
        <v>-50</v>
      </c>
    </row>
    <row r="81" spans="5:84" x14ac:dyDescent="0.25">
      <c r="E81" s="174">
        <v>76</v>
      </c>
      <c r="F81" s="221">
        <f t="shared" si="162"/>
        <v>0.76</v>
      </c>
      <c r="G81" s="221">
        <f t="shared" si="145"/>
        <v>0.19</v>
      </c>
      <c r="H81" s="221">
        <f t="shared" si="98"/>
        <v>11.4</v>
      </c>
      <c r="I81" s="221">
        <f t="shared" si="163"/>
        <v>1.33</v>
      </c>
      <c r="J81" s="555">
        <f t="shared" si="99"/>
        <v>15</v>
      </c>
      <c r="K81" s="451">
        <f t="shared" si="100"/>
        <v>23.85</v>
      </c>
      <c r="L81" s="451">
        <f t="shared" si="101"/>
        <v>38.85</v>
      </c>
      <c r="M81" s="451"/>
      <c r="N81" s="221">
        <f t="shared" si="102"/>
        <v>0.61389961389961389</v>
      </c>
      <c r="O81" s="176">
        <f t="shared" si="146"/>
        <v>16.05988878003803</v>
      </c>
      <c r="P81" s="176">
        <f t="shared" si="103"/>
        <v>1.873653691004437</v>
      </c>
      <c r="Q81" s="221">
        <f t="shared" si="104"/>
        <v>1.0706592520025353</v>
      </c>
      <c r="R81" s="221">
        <f t="shared" si="105"/>
        <v>2.2942698257197187</v>
      </c>
      <c r="S81" s="451">
        <f t="shared" si="106"/>
        <v>15</v>
      </c>
      <c r="T81" s="221">
        <f t="shared" si="107"/>
        <v>2.910356394129979</v>
      </c>
      <c r="U81" s="221">
        <f t="shared" si="108"/>
        <v>1.3581663172606568</v>
      </c>
      <c r="V81" s="221">
        <f t="shared" si="109"/>
        <v>0.85419265236519304</v>
      </c>
      <c r="W81" s="201">
        <f t="shared" si="110"/>
        <v>350</v>
      </c>
      <c r="X81" s="451">
        <f t="shared" si="147"/>
        <v>350</v>
      </c>
      <c r="Z81" s="221">
        <f t="shared" si="111"/>
        <v>3.7585690646915135</v>
      </c>
      <c r="AA81" s="177">
        <f t="shared" si="112"/>
        <v>1.1031439602868174</v>
      </c>
      <c r="AB81" s="177">
        <f t="shared" si="113"/>
        <v>0.97467647041501804</v>
      </c>
      <c r="AC81" s="177"/>
      <c r="AD81" s="177">
        <f t="shared" si="114"/>
        <v>0.24067085953878403</v>
      </c>
      <c r="AE81" s="559">
        <f t="shared" si="115"/>
        <v>5733.7469193507286</v>
      </c>
      <c r="AF81" s="542">
        <f t="shared" si="116"/>
        <v>4.6392002252886505E-2</v>
      </c>
      <c r="AH81" s="177">
        <f t="shared" si="117"/>
        <v>3.2236371903013334</v>
      </c>
      <c r="AI81" s="177">
        <f t="shared" si="118"/>
        <v>3.2236371903013334</v>
      </c>
      <c r="AJ81" s="177">
        <f t="shared" si="119"/>
        <v>2.9804719928158026</v>
      </c>
      <c r="AL81" s="559">
        <f t="shared" si="120"/>
        <v>760</v>
      </c>
      <c r="AM81" s="469">
        <f t="shared" si="121"/>
        <v>350</v>
      </c>
      <c r="AO81">
        <f t="shared" si="148"/>
        <v>760</v>
      </c>
      <c r="AP81">
        <f t="shared" si="122"/>
        <v>350</v>
      </c>
      <c r="AR81" s="5">
        <f t="shared" si="149"/>
        <v>2.8571428571428572</v>
      </c>
      <c r="AS81" s="5">
        <f t="shared" si="123"/>
        <v>1.5043640221406223</v>
      </c>
      <c r="AT81" s="5">
        <f t="shared" si="150"/>
        <v>1.3527788350022349</v>
      </c>
      <c r="AU81" s="177">
        <f t="shared" si="151"/>
        <v>0.5265274077492178</v>
      </c>
      <c r="AW81" s="5">
        <f t="shared" si="152"/>
        <v>12.079683950617282</v>
      </c>
      <c r="AX81" s="5">
        <f t="shared" si="124"/>
        <v>26.065995851851849</v>
      </c>
      <c r="AY81" s="5">
        <f t="shared" si="125"/>
        <v>0.85581907298473081</v>
      </c>
      <c r="AZ81" s="5">
        <f t="shared" si="126"/>
        <v>1.3564199263390599</v>
      </c>
      <c r="BA81" s="5">
        <f t="shared" si="127"/>
        <v>1.6113099012471066</v>
      </c>
      <c r="BB81" s="469">
        <f t="shared" si="128"/>
        <v>123.52824259353299</v>
      </c>
      <c r="BC81" s="5"/>
      <c r="BD81" s="177">
        <f t="shared" si="153"/>
        <v>1.3505044560794635</v>
      </c>
      <c r="BE81" s="177">
        <f t="shared" si="129"/>
        <v>1.7202860157347075</v>
      </c>
      <c r="BF81" s="177">
        <f t="shared" si="130"/>
        <v>0.40394057711239018</v>
      </c>
      <c r="BG81" s="177"/>
      <c r="BH81" s="542">
        <f t="shared" si="131"/>
        <v>0.20062485144795361</v>
      </c>
      <c r="BI81" s="542">
        <f t="shared" si="132"/>
        <v>0.21916703347561189</v>
      </c>
      <c r="BJ81" s="542">
        <f t="shared" si="133"/>
        <v>1.7499999999999998E-2</v>
      </c>
      <c r="BK81" s="542">
        <f t="shared" si="134"/>
        <v>0.11885914687500002</v>
      </c>
      <c r="BL81">
        <f t="shared" si="135"/>
        <v>4.3499999999999997E-3</v>
      </c>
      <c r="BM81" s="469">
        <f t="shared" si="154"/>
        <v>560.50103179856546</v>
      </c>
      <c r="BN81" s="177">
        <f t="shared" si="136"/>
        <v>0.68400000000000005</v>
      </c>
      <c r="BO81" s="177">
        <f t="shared" si="137"/>
        <v>0.17100000000000001</v>
      </c>
      <c r="BP81" s="542"/>
      <c r="BR81" s="469">
        <f t="shared" si="155"/>
        <v>855.00000000000011</v>
      </c>
      <c r="BS81" s="542">
        <f t="shared" si="138"/>
        <v>0</v>
      </c>
      <c r="BT81" s="542">
        <f t="shared" si="139"/>
        <v>0</v>
      </c>
      <c r="BU81" s="542">
        <f t="shared" si="140"/>
        <v>0</v>
      </c>
      <c r="BV81" s="542">
        <f t="shared" si="141"/>
        <v>0</v>
      </c>
      <c r="BW81" s="647">
        <f t="shared" si="142"/>
        <v>0</v>
      </c>
      <c r="BX81" s="469">
        <f t="shared" si="156"/>
        <v>0</v>
      </c>
      <c r="BY81" s="177">
        <f t="shared" si="157"/>
        <v>1.4155010317985657</v>
      </c>
      <c r="BZ81" s="5">
        <f t="shared" si="158"/>
        <v>12.73</v>
      </c>
      <c r="CA81" s="177">
        <f t="shared" si="159"/>
        <v>0.89993277519003589</v>
      </c>
      <c r="CB81" s="5">
        <f t="shared" si="160"/>
        <v>89.993277519003584</v>
      </c>
      <c r="CC81">
        <f t="shared" si="161"/>
        <v>76</v>
      </c>
      <c r="CE81" s="576">
        <f t="shared" si="143"/>
        <v>-50</v>
      </c>
      <c r="CF81">
        <f t="shared" si="144"/>
        <v>-50</v>
      </c>
    </row>
    <row r="82" spans="5:84" x14ac:dyDescent="0.25">
      <c r="E82" s="174">
        <v>77</v>
      </c>
      <c r="F82" s="221">
        <f t="shared" si="162"/>
        <v>0.77</v>
      </c>
      <c r="G82" s="221">
        <f t="shared" si="145"/>
        <v>0.1925</v>
      </c>
      <c r="H82" s="221">
        <f t="shared" si="98"/>
        <v>11.55</v>
      </c>
      <c r="I82" s="221">
        <f t="shared" si="163"/>
        <v>1.3475000000000001</v>
      </c>
      <c r="J82" s="555">
        <f t="shared" si="99"/>
        <v>15</v>
      </c>
      <c r="K82" s="451">
        <f t="shared" si="100"/>
        <v>23.85</v>
      </c>
      <c r="L82" s="451">
        <f t="shared" si="101"/>
        <v>38.85</v>
      </c>
      <c r="M82" s="451"/>
      <c r="N82" s="221">
        <f t="shared" si="102"/>
        <v>0.61389961389961389</v>
      </c>
      <c r="O82" s="176">
        <f t="shared" si="146"/>
        <v>16.05988878003803</v>
      </c>
      <c r="P82" s="176">
        <f t="shared" si="103"/>
        <v>1.873653691004437</v>
      </c>
      <c r="Q82" s="221">
        <f t="shared" si="104"/>
        <v>1.0706592520025353</v>
      </c>
      <c r="R82" s="221">
        <f t="shared" si="105"/>
        <v>2.2942698257197187</v>
      </c>
      <c r="S82" s="451">
        <f t="shared" si="106"/>
        <v>15</v>
      </c>
      <c r="T82" s="221">
        <f t="shared" si="107"/>
        <v>2.948650557210637</v>
      </c>
      <c r="U82" s="221">
        <f t="shared" si="108"/>
        <v>1.3760369266982972</v>
      </c>
      <c r="V82" s="221">
        <f t="shared" si="109"/>
        <v>0.86543202936999819</v>
      </c>
      <c r="W82" s="201">
        <f t="shared" si="110"/>
        <v>350</v>
      </c>
      <c r="X82" s="451">
        <f t="shared" si="147"/>
        <v>350</v>
      </c>
      <c r="Z82" s="221">
        <f t="shared" si="111"/>
        <v>3.7585690646915135</v>
      </c>
      <c r="AA82" s="177">
        <f t="shared" si="112"/>
        <v>1.1031439602868174</v>
      </c>
      <c r="AB82" s="177">
        <f t="shared" si="113"/>
        <v>0.97467647041501804</v>
      </c>
      <c r="AC82" s="177"/>
      <c r="AD82" s="177">
        <f t="shared" si="114"/>
        <v>0.24067085953878403</v>
      </c>
      <c r="AE82" s="559">
        <f t="shared" si="115"/>
        <v>5809.1909577632368</v>
      </c>
      <c r="AF82" s="542">
        <f t="shared" si="116"/>
        <v>4.6392002252886505E-2</v>
      </c>
      <c r="AH82" s="177">
        <f t="shared" si="117"/>
        <v>3.2447760213258832</v>
      </c>
      <c r="AI82" s="177">
        <f t="shared" si="118"/>
        <v>3.2447760213258832</v>
      </c>
      <c r="AJ82" s="177">
        <f t="shared" si="119"/>
        <v>2.9961303861673212</v>
      </c>
      <c r="AL82" s="559">
        <f t="shared" si="120"/>
        <v>770</v>
      </c>
      <c r="AM82" s="469">
        <f t="shared" si="121"/>
        <v>350</v>
      </c>
      <c r="AO82">
        <f t="shared" si="148"/>
        <v>770</v>
      </c>
      <c r="AP82">
        <f t="shared" si="122"/>
        <v>350</v>
      </c>
      <c r="AR82" s="5">
        <f t="shared" si="149"/>
        <v>2.8571428571428572</v>
      </c>
      <c r="AS82" s="5">
        <f t="shared" si="123"/>
        <v>1.5142288099520786</v>
      </c>
      <c r="AT82" s="5">
        <f t="shared" si="150"/>
        <v>1.3429140471907786</v>
      </c>
      <c r="AU82" s="177">
        <f t="shared" si="151"/>
        <v>0.52998008348322756</v>
      </c>
      <c r="AW82" s="5">
        <f t="shared" si="152"/>
        <v>12.079683950617282</v>
      </c>
      <c r="AX82" s="5">
        <f t="shared" si="124"/>
        <v>26.726061185185181</v>
      </c>
      <c r="AY82" s="5">
        <f t="shared" si="125"/>
        <v>0.85581907298473081</v>
      </c>
      <c r="AZ82" s="5">
        <f t="shared" si="126"/>
        <v>1.3847513405928473</v>
      </c>
      <c r="BA82" s="5">
        <f t="shared" si="127"/>
        <v>1.6206066829139714</v>
      </c>
      <c r="BB82" s="469">
        <f t="shared" si="128"/>
        <v>124.26076437644257</v>
      </c>
      <c r="BC82" s="5"/>
      <c r="BD82" s="177">
        <f t="shared" si="153"/>
        <v>1.3638100020009396</v>
      </c>
      <c r="BE82" s="177">
        <f t="shared" si="129"/>
        <v>1.725241648693171</v>
      </c>
      <c r="BF82" s="177">
        <f t="shared" si="130"/>
        <v>0.40510420991466234</v>
      </c>
      <c r="BG82" s="177"/>
      <c r="BH82" s="542">
        <f t="shared" si="131"/>
        <v>0.20459754937135832</v>
      </c>
      <c r="BI82" s="542">
        <f t="shared" si="132"/>
        <v>0.22060420974989348</v>
      </c>
      <c r="BJ82" s="542">
        <f t="shared" si="133"/>
        <v>1.7499999999999998E-2</v>
      </c>
      <c r="BK82" s="542">
        <f t="shared" si="134"/>
        <v>0.11885914687500002</v>
      </c>
      <c r="BL82">
        <f t="shared" si="135"/>
        <v>4.3499999999999997E-3</v>
      </c>
      <c r="BM82" s="469">
        <f t="shared" si="154"/>
        <v>565.91090599625181</v>
      </c>
      <c r="BN82" s="177">
        <f t="shared" si="136"/>
        <v>0.69300000000000006</v>
      </c>
      <c r="BO82" s="177">
        <f t="shared" si="137"/>
        <v>0.17325000000000002</v>
      </c>
      <c r="BP82" s="542"/>
      <c r="BR82" s="469">
        <f t="shared" si="155"/>
        <v>866.25000000000011</v>
      </c>
      <c r="BS82" s="542">
        <f t="shared" si="138"/>
        <v>0</v>
      </c>
      <c r="BT82" s="542">
        <f t="shared" si="139"/>
        <v>0</v>
      </c>
      <c r="BU82" s="542">
        <f t="shared" si="140"/>
        <v>0</v>
      </c>
      <c r="BV82" s="542">
        <f t="shared" si="141"/>
        <v>0</v>
      </c>
      <c r="BW82" s="647">
        <f t="shared" si="142"/>
        <v>0</v>
      </c>
      <c r="BX82" s="469">
        <f t="shared" si="156"/>
        <v>0</v>
      </c>
      <c r="BY82" s="177">
        <f t="shared" si="157"/>
        <v>1.4321609059962519</v>
      </c>
      <c r="BZ82" s="5">
        <f t="shared" si="158"/>
        <v>12.897500000000001</v>
      </c>
      <c r="CA82" s="177">
        <f t="shared" si="159"/>
        <v>0.90005619006678916</v>
      </c>
      <c r="CB82" s="5">
        <f t="shared" si="160"/>
        <v>90.005619006678913</v>
      </c>
      <c r="CC82">
        <f t="shared" si="161"/>
        <v>77</v>
      </c>
      <c r="CE82" s="576">
        <f t="shared" si="143"/>
        <v>-50</v>
      </c>
      <c r="CF82">
        <f t="shared" si="144"/>
        <v>-50</v>
      </c>
    </row>
    <row r="83" spans="5:84" x14ac:dyDescent="0.25">
      <c r="E83" s="174">
        <v>78</v>
      </c>
      <c r="F83" s="221">
        <f t="shared" si="162"/>
        <v>0.78</v>
      </c>
      <c r="G83" s="221">
        <f t="shared" si="145"/>
        <v>0.19500000000000001</v>
      </c>
      <c r="H83" s="221">
        <f t="shared" si="98"/>
        <v>11.700000000000001</v>
      </c>
      <c r="I83" s="221">
        <f t="shared" si="163"/>
        <v>1.365</v>
      </c>
      <c r="J83" s="555">
        <f t="shared" si="99"/>
        <v>15</v>
      </c>
      <c r="K83" s="451">
        <f t="shared" si="100"/>
        <v>23.85</v>
      </c>
      <c r="L83" s="451">
        <f t="shared" si="101"/>
        <v>38.85</v>
      </c>
      <c r="M83" s="451"/>
      <c r="N83" s="221">
        <f t="shared" si="102"/>
        <v>0.61389961389961389</v>
      </c>
      <c r="O83" s="176">
        <f t="shared" si="146"/>
        <v>16.05988878003803</v>
      </c>
      <c r="P83" s="176">
        <f t="shared" si="103"/>
        <v>1.873653691004437</v>
      </c>
      <c r="Q83" s="221">
        <f t="shared" si="104"/>
        <v>1.0706592520025353</v>
      </c>
      <c r="R83" s="221">
        <f t="shared" si="105"/>
        <v>2.2942698257197187</v>
      </c>
      <c r="S83" s="451">
        <f t="shared" si="106"/>
        <v>15</v>
      </c>
      <c r="T83" s="221">
        <f t="shared" si="107"/>
        <v>2.9869447202912949</v>
      </c>
      <c r="U83" s="221">
        <f t="shared" si="108"/>
        <v>1.3939075361359374</v>
      </c>
      <c r="V83" s="221">
        <f t="shared" si="109"/>
        <v>0.87667140637480345</v>
      </c>
      <c r="W83" s="201">
        <f t="shared" si="110"/>
        <v>350</v>
      </c>
      <c r="X83" s="451">
        <f t="shared" si="147"/>
        <v>350</v>
      </c>
      <c r="Z83" s="221">
        <f t="shared" si="111"/>
        <v>3.7585690646915135</v>
      </c>
      <c r="AA83" s="177">
        <f t="shared" si="112"/>
        <v>1.1031439602868174</v>
      </c>
      <c r="AB83" s="177">
        <f t="shared" si="113"/>
        <v>0.97467647041501804</v>
      </c>
      <c r="AC83" s="177"/>
      <c r="AD83" s="177">
        <f t="shared" si="114"/>
        <v>0.24067085953878403</v>
      </c>
      <c r="AE83" s="559">
        <f t="shared" si="115"/>
        <v>5884.6349961757478</v>
      </c>
      <c r="AF83" s="542">
        <f t="shared" si="116"/>
        <v>4.6392002252886505E-2</v>
      </c>
      <c r="AH83" s="177">
        <f t="shared" si="117"/>
        <v>3.2657780271244676</v>
      </c>
      <c r="AI83" s="177">
        <f t="shared" si="118"/>
        <v>3.2657780271244676</v>
      </c>
      <c r="AJ83" s="177">
        <f t="shared" si="119"/>
        <v>3.0116874274996057</v>
      </c>
      <c r="AL83" s="559">
        <f t="shared" si="120"/>
        <v>780</v>
      </c>
      <c r="AM83" s="469">
        <f t="shared" si="121"/>
        <v>350</v>
      </c>
      <c r="AO83">
        <f t="shared" si="148"/>
        <v>780</v>
      </c>
      <c r="AP83">
        <f t="shared" si="122"/>
        <v>350</v>
      </c>
      <c r="AR83" s="5">
        <f t="shared" si="149"/>
        <v>2.8571428571428572</v>
      </c>
      <c r="AS83" s="5">
        <f t="shared" si="123"/>
        <v>1.5240297459914181</v>
      </c>
      <c r="AT83" s="5">
        <f t="shared" si="150"/>
        <v>1.3331131111514392</v>
      </c>
      <c r="AU83" s="177">
        <f t="shared" si="151"/>
        <v>0.53341041109699627</v>
      </c>
      <c r="AW83" s="5">
        <f t="shared" si="152"/>
        <v>12.079683950617282</v>
      </c>
      <c r="AX83" s="5">
        <f t="shared" si="124"/>
        <v>27.39436266666667</v>
      </c>
      <c r="AY83" s="5">
        <f t="shared" si="125"/>
        <v>0.85581907298473081</v>
      </c>
      <c r="AZ83" s="5">
        <f t="shared" si="126"/>
        <v>1.4133550609153118</v>
      </c>
      <c r="BA83" s="5">
        <f t="shared" si="127"/>
        <v>1.6296723085093385</v>
      </c>
      <c r="BB83" s="469">
        <f t="shared" si="128"/>
        <v>124.97594945398987</v>
      </c>
      <c r="BC83" s="5"/>
      <c r="BD83" s="177">
        <f t="shared" si="153"/>
        <v>1.3770724167899113</v>
      </c>
      <c r="BE83" s="177">
        <f t="shared" si="129"/>
        <v>1.7300603943526374</v>
      </c>
      <c r="BF83" s="177">
        <f t="shared" si="130"/>
        <v>0.40623570019292937</v>
      </c>
      <c r="BG83" s="177"/>
      <c r="BH83" s="542">
        <f t="shared" si="131"/>
        <v>0.20859612851919679</v>
      </c>
      <c r="BI83" s="542">
        <f t="shared" si="132"/>
        <v>0.22203208361912474</v>
      </c>
      <c r="BJ83" s="542">
        <f t="shared" si="133"/>
        <v>1.7499999999999998E-2</v>
      </c>
      <c r="BK83" s="542">
        <f t="shared" si="134"/>
        <v>0.11885914687500002</v>
      </c>
      <c r="BL83">
        <f t="shared" si="135"/>
        <v>4.3499999999999997E-3</v>
      </c>
      <c r="BM83" s="469">
        <f t="shared" si="154"/>
        <v>571.33735901332147</v>
      </c>
      <c r="BN83" s="177">
        <f t="shared" si="136"/>
        <v>0.70200000000000007</v>
      </c>
      <c r="BO83" s="177">
        <f t="shared" si="137"/>
        <v>0.17550000000000002</v>
      </c>
      <c r="BP83" s="542"/>
      <c r="BR83" s="469">
        <f t="shared" si="155"/>
        <v>877.50000000000011</v>
      </c>
      <c r="BS83" s="542">
        <f t="shared" si="138"/>
        <v>0</v>
      </c>
      <c r="BT83" s="542">
        <f t="shared" si="139"/>
        <v>0</v>
      </c>
      <c r="BU83" s="542">
        <f t="shared" si="140"/>
        <v>0</v>
      </c>
      <c r="BV83" s="542">
        <f t="shared" si="141"/>
        <v>0</v>
      </c>
      <c r="BW83" s="647">
        <f t="shared" si="142"/>
        <v>0</v>
      </c>
      <c r="BX83" s="469">
        <f t="shared" si="156"/>
        <v>0</v>
      </c>
      <c r="BY83" s="177">
        <f t="shared" si="157"/>
        <v>1.4488373590133214</v>
      </c>
      <c r="BZ83" s="5">
        <f t="shared" si="158"/>
        <v>13.065000000000001</v>
      </c>
      <c r="CA83" s="177">
        <f t="shared" si="159"/>
        <v>0.90017544477211808</v>
      </c>
      <c r="CB83" s="5">
        <f t="shared" si="160"/>
        <v>90.017544477211814</v>
      </c>
      <c r="CC83">
        <f t="shared" si="161"/>
        <v>78</v>
      </c>
      <c r="CE83" s="576">
        <f t="shared" si="143"/>
        <v>-50</v>
      </c>
      <c r="CF83">
        <f t="shared" si="144"/>
        <v>-50</v>
      </c>
    </row>
    <row r="84" spans="5:84" x14ac:dyDescent="0.25">
      <c r="E84" s="174">
        <v>79</v>
      </c>
      <c r="F84" s="221">
        <f t="shared" si="162"/>
        <v>0.79</v>
      </c>
      <c r="G84" s="221">
        <f t="shared" si="145"/>
        <v>0.19750000000000001</v>
      </c>
      <c r="H84" s="221">
        <f t="shared" si="98"/>
        <v>11.850000000000001</v>
      </c>
      <c r="I84" s="221">
        <f t="shared" si="163"/>
        <v>1.3825000000000001</v>
      </c>
      <c r="J84" s="555">
        <f t="shared" si="99"/>
        <v>15</v>
      </c>
      <c r="K84" s="451">
        <f t="shared" si="100"/>
        <v>23.85</v>
      </c>
      <c r="L84" s="451">
        <f t="shared" si="101"/>
        <v>38.85</v>
      </c>
      <c r="M84" s="451"/>
      <c r="N84" s="221">
        <f t="shared" si="102"/>
        <v>0.61389961389961389</v>
      </c>
      <c r="O84" s="176">
        <f t="shared" si="146"/>
        <v>16.05988878003803</v>
      </c>
      <c r="P84" s="176">
        <f t="shared" si="103"/>
        <v>1.873653691004437</v>
      </c>
      <c r="Q84" s="221">
        <f t="shared" si="104"/>
        <v>1.0706592520025353</v>
      </c>
      <c r="R84" s="221">
        <f t="shared" si="105"/>
        <v>2.2942698257197187</v>
      </c>
      <c r="S84" s="451">
        <f t="shared" si="106"/>
        <v>15</v>
      </c>
      <c r="T84" s="221">
        <f t="shared" si="107"/>
        <v>3.0252388833719523</v>
      </c>
      <c r="U84" s="221">
        <f t="shared" si="108"/>
        <v>1.4117781455735776</v>
      </c>
      <c r="V84" s="221">
        <f t="shared" si="109"/>
        <v>0.8879107833796086</v>
      </c>
      <c r="W84" s="201">
        <f t="shared" si="110"/>
        <v>350</v>
      </c>
      <c r="X84" s="451">
        <f t="shared" si="147"/>
        <v>350</v>
      </c>
      <c r="Z84" s="221">
        <f t="shared" si="111"/>
        <v>3.7585690646915135</v>
      </c>
      <c r="AA84" s="177">
        <f t="shared" si="112"/>
        <v>1.1031439602868174</v>
      </c>
      <c r="AB84" s="177">
        <f t="shared" si="113"/>
        <v>0.97467647041501804</v>
      </c>
      <c r="AC84" s="177"/>
      <c r="AD84" s="177">
        <f t="shared" si="114"/>
        <v>0.24067085953878403</v>
      </c>
      <c r="AE84" s="559">
        <f t="shared" si="115"/>
        <v>5960.0790345882569</v>
      </c>
      <c r="AF84" s="542">
        <f t="shared" si="116"/>
        <v>4.6392002252886505E-2</v>
      </c>
      <c r="AH84" s="177">
        <f t="shared" si="117"/>
        <v>3.2866458306800461</v>
      </c>
      <c r="AI84" s="177">
        <f t="shared" si="118"/>
        <v>3.2866458306800461</v>
      </c>
      <c r="AJ84" s="177">
        <f t="shared" si="119"/>
        <v>3.0271450597629972</v>
      </c>
      <c r="AL84" s="559">
        <f t="shared" si="120"/>
        <v>790</v>
      </c>
      <c r="AM84" s="469">
        <f t="shared" si="121"/>
        <v>350</v>
      </c>
      <c r="AO84">
        <f t="shared" si="148"/>
        <v>790</v>
      </c>
      <c r="AP84">
        <f t="shared" si="122"/>
        <v>350</v>
      </c>
      <c r="AR84" s="5">
        <f t="shared" si="149"/>
        <v>2.8571428571428572</v>
      </c>
      <c r="AS84" s="5">
        <f t="shared" si="123"/>
        <v>1.5337680543173549</v>
      </c>
      <c r="AT84" s="5">
        <f t="shared" si="150"/>
        <v>1.3233748028255023</v>
      </c>
      <c r="AU84" s="177">
        <f t="shared" si="151"/>
        <v>0.5368188190110742</v>
      </c>
      <c r="AW84" s="5">
        <f t="shared" si="152"/>
        <v>12.079683950617282</v>
      </c>
      <c r="AX84" s="5">
        <f t="shared" si="124"/>
        <v>28.070900296296298</v>
      </c>
      <c r="AY84" s="5">
        <f t="shared" si="125"/>
        <v>0.85581907298473081</v>
      </c>
      <c r="AZ84" s="5">
        <f t="shared" si="126"/>
        <v>1.4422310873064532</v>
      </c>
      <c r="BA84" s="5">
        <f t="shared" si="127"/>
        <v>1.6385082646445346</v>
      </c>
      <c r="BB84" s="469">
        <f t="shared" si="128"/>
        <v>125.6739093220243</v>
      </c>
      <c r="BC84" s="5"/>
      <c r="BD84" s="177">
        <f t="shared" si="153"/>
        <v>1.3902923905819029</v>
      </c>
      <c r="BE84" s="177">
        <f t="shared" si="129"/>
        <v>1.7347441804073416</v>
      </c>
      <c r="BF84" s="177">
        <f t="shared" si="130"/>
        <v>0.40733550058931878</v>
      </c>
      <c r="BG84" s="177"/>
      <c r="BH84" s="542">
        <f t="shared" si="131"/>
        <v>0.21262042244409368</v>
      </c>
      <c r="BI84" s="542">
        <f t="shared" si="132"/>
        <v>0.22345083341335964</v>
      </c>
      <c r="BJ84" s="542">
        <f t="shared" si="133"/>
        <v>1.7499999999999998E-2</v>
      </c>
      <c r="BK84" s="542">
        <f t="shared" si="134"/>
        <v>0.11885914687500002</v>
      </c>
      <c r="BL84">
        <f t="shared" si="135"/>
        <v>4.3499999999999997E-3</v>
      </c>
      <c r="BM84" s="469">
        <f t="shared" si="154"/>
        <v>576.78040273245335</v>
      </c>
      <c r="BN84" s="177">
        <f t="shared" si="136"/>
        <v>0.71100000000000008</v>
      </c>
      <c r="BO84" s="177">
        <f t="shared" si="137"/>
        <v>0.17775000000000002</v>
      </c>
      <c r="BP84" s="542"/>
      <c r="BR84" s="469">
        <f t="shared" si="155"/>
        <v>888.75000000000011</v>
      </c>
      <c r="BS84" s="542">
        <f t="shared" si="138"/>
        <v>0</v>
      </c>
      <c r="BT84" s="542">
        <f t="shared" si="139"/>
        <v>0</v>
      </c>
      <c r="BU84" s="542">
        <f t="shared" si="140"/>
        <v>0</v>
      </c>
      <c r="BV84" s="542">
        <f t="shared" si="141"/>
        <v>0</v>
      </c>
      <c r="BW84" s="647">
        <f t="shared" si="142"/>
        <v>0</v>
      </c>
      <c r="BX84" s="469">
        <f t="shared" si="156"/>
        <v>0</v>
      </c>
      <c r="BY84" s="177">
        <f t="shared" si="157"/>
        <v>1.4655304027324534</v>
      </c>
      <c r="BZ84" s="5">
        <f t="shared" si="158"/>
        <v>13.232500000000002</v>
      </c>
      <c r="CA84" s="177">
        <f t="shared" si="159"/>
        <v>0.90029069456408239</v>
      </c>
      <c r="CB84" s="5">
        <f t="shared" si="160"/>
        <v>90.029069456408237</v>
      </c>
      <c r="CC84">
        <f t="shared" si="161"/>
        <v>79</v>
      </c>
      <c r="CE84" s="576">
        <f t="shared" si="143"/>
        <v>-50</v>
      </c>
      <c r="CF84">
        <f t="shared" si="144"/>
        <v>-50</v>
      </c>
    </row>
    <row r="85" spans="5:84" x14ac:dyDescent="0.25">
      <c r="E85" s="174">
        <v>80</v>
      </c>
      <c r="F85" s="221">
        <f t="shared" si="162"/>
        <v>0.8</v>
      </c>
      <c r="G85" s="221">
        <f t="shared" si="145"/>
        <v>0.2</v>
      </c>
      <c r="H85" s="221">
        <f t="shared" si="98"/>
        <v>12</v>
      </c>
      <c r="I85" s="221">
        <f t="shared" si="163"/>
        <v>1.4000000000000001</v>
      </c>
      <c r="J85" s="555">
        <f t="shared" si="99"/>
        <v>15</v>
      </c>
      <c r="K85" s="451">
        <f t="shared" si="100"/>
        <v>23.85</v>
      </c>
      <c r="L85" s="451">
        <f t="shared" si="101"/>
        <v>38.85</v>
      </c>
      <c r="M85" s="451"/>
      <c r="N85" s="221">
        <f t="shared" si="102"/>
        <v>0.61389961389961389</v>
      </c>
      <c r="O85" s="176">
        <f t="shared" si="146"/>
        <v>16.05988878003803</v>
      </c>
      <c r="P85" s="176">
        <f t="shared" si="103"/>
        <v>1.873653691004437</v>
      </c>
      <c r="Q85" s="221">
        <f t="shared" si="104"/>
        <v>1.0706592520025353</v>
      </c>
      <c r="R85" s="221">
        <f t="shared" si="105"/>
        <v>2.2942698257197187</v>
      </c>
      <c r="S85" s="451">
        <f t="shared" si="106"/>
        <v>15</v>
      </c>
      <c r="T85" s="221">
        <f t="shared" si="107"/>
        <v>3.0635330464526098</v>
      </c>
      <c r="U85" s="221">
        <f t="shared" si="108"/>
        <v>1.4296487550112178</v>
      </c>
      <c r="V85" s="221">
        <f t="shared" si="109"/>
        <v>0.89915016038441364</v>
      </c>
      <c r="W85" s="201">
        <f t="shared" si="110"/>
        <v>350</v>
      </c>
      <c r="X85" s="451">
        <f t="shared" si="147"/>
        <v>350</v>
      </c>
      <c r="Z85" s="221">
        <f t="shared" si="111"/>
        <v>3.7585690646915135</v>
      </c>
      <c r="AA85" s="177">
        <f t="shared" si="112"/>
        <v>1.1031439602868174</v>
      </c>
      <c r="AB85" s="177">
        <f t="shared" si="113"/>
        <v>0.97467647041501804</v>
      </c>
      <c r="AC85" s="177"/>
      <c r="AD85" s="177">
        <f t="shared" si="114"/>
        <v>0.24067085953878403</v>
      </c>
      <c r="AE85" s="559">
        <f t="shared" si="115"/>
        <v>6035.523073000767</v>
      </c>
      <c r="AF85" s="542">
        <f t="shared" si="116"/>
        <v>4.6392002252886505E-2</v>
      </c>
      <c r="AH85" s="177">
        <f t="shared" si="117"/>
        <v>3.3073819722257785</v>
      </c>
      <c r="AI85" s="177">
        <f t="shared" si="118"/>
        <v>3.3073819722257785</v>
      </c>
      <c r="AJ85" s="177">
        <f t="shared" si="119"/>
        <v>3.0425051646116881</v>
      </c>
      <c r="AL85" s="559">
        <f t="shared" si="120"/>
        <v>800</v>
      </c>
      <c r="AM85" s="469">
        <f t="shared" si="121"/>
        <v>350</v>
      </c>
      <c r="AO85">
        <f t="shared" si="148"/>
        <v>800</v>
      </c>
      <c r="AP85">
        <f t="shared" si="122"/>
        <v>350</v>
      </c>
      <c r="AR85" s="5">
        <f t="shared" si="149"/>
        <v>2.8571428571428572</v>
      </c>
      <c r="AS85" s="5">
        <f t="shared" si="123"/>
        <v>1.54344492037203</v>
      </c>
      <c r="AT85" s="5">
        <f t="shared" si="150"/>
        <v>1.3136979367708272</v>
      </c>
      <c r="AU85" s="177">
        <f t="shared" si="151"/>
        <v>0.54020572213021045</v>
      </c>
      <c r="AW85" s="5">
        <f t="shared" si="152"/>
        <v>12.079683950617282</v>
      </c>
      <c r="AX85" s="5">
        <f t="shared" si="124"/>
        <v>28.755674074074079</v>
      </c>
      <c r="AY85" s="5">
        <f t="shared" si="125"/>
        <v>0.85581907298473081</v>
      </c>
      <c r="AZ85" s="5">
        <f t="shared" si="126"/>
        <v>1.4713794197662717</v>
      </c>
      <c r="BA85" s="5">
        <f t="shared" si="127"/>
        <v>1.647116009612078</v>
      </c>
      <c r="BB85" s="469">
        <f t="shared" si="128"/>
        <v>126.35475335248481</v>
      </c>
      <c r="BC85" s="5"/>
      <c r="BD85" s="177">
        <f t="shared" si="153"/>
        <v>1.4034705938862246</v>
      </c>
      <c r="BE85" s="177">
        <f t="shared" si="129"/>
        <v>1.7392948671175443</v>
      </c>
      <c r="BF85" s="177">
        <f t="shared" si="130"/>
        <v>0.40840404791177776</v>
      </c>
      <c r="BG85" s="177"/>
      <c r="BH85" s="542">
        <f t="shared" si="131"/>
        <v>0.21667026786936872</v>
      </c>
      <c r="BI85" s="542">
        <f t="shared" si="132"/>
        <v>0.2248606318367001</v>
      </c>
      <c r="BJ85" s="542">
        <f t="shared" si="133"/>
        <v>1.7499999999999998E-2</v>
      </c>
      <c r="BK85" s="542">
        <f t="shared" si="134"/>
        <v>0.11885914687500002</v>
      </c>
      <c r="BL85">
        <f t="shared" si="135"/>
        <v>4.3499999999999997E-3</v>
      </c>
      <c r="BM85" s="469">
        <f t="shared" si="154"/>
        <v>582.2400465810689</v>
      </c>
      <c r="BN85" s="177">
        <f t="shared" si="136"/>
        <v>0.72000000000000008</v>
      </c>
      <c r="BO85" s="177">
        <f t="shared" si="137"/>
        <v>0.18000000000000002</v>
      </c>
      <c r="BP85" s="542"/>
      <c r="BR85" s="469">
        <f t="shared" si="155"/>
        <v>900.00000000000011</v>
      </c>
      <c r="BS85" s="542">
        <f t="shared" si="138"/>
        <v>0</v>
      </c>
      <c r="BT85" s="542">
        <f t="shared" si="139"/>
        <v>0</v>
      </c>
      <c r="BU85" s="542">
        <f t="shared" si="140"/>
        <v>0</v>
      </c>
      <c r="BV85" s="542">
        <f t="shared" si="141"/>
        <v>0</v>
      </c>
      <c r="BW85" s="647">
        <f t="shared" si="142"/>
        <v>0</v>
      </c>
      <c r="BX85" s="469">
        <f t="shared" si="156"/>
        <v>0</v>
      </c>
      <c r="BY85" s="177">
        <f t="shared" si="157"/>
        <v>1.482240046581069</v>
      </c>
      <c r="BZ85" s="5">
        <f t="shared" si="158"/>
        <v>13.4</v>
      </c>
      <c r="CA85" s="177">
        <f t="shared" si="159"/>
        <v>0.90040208718971793</v>
      </c>
      <c r="CB85" s="5">
        <f t="shared" si="160"/>
        <v>90.040208718971797</v>
      </c>
      <c r="CC85">
        <f t="shared" si="161"/>
        <v>80</v>
      </c>
      <c r="CE85" s="576">
        <f t="shared" si="143"/>
        <v>-50</v>
      </c>
      <c r="CF85">
        <f t="shared" si="144"/>
        <v>-50</v>
      </c>
    </row>
    <row r="86" spans="5:84" x14ac:dyDescent="0.25">
      <c r="E86" s="174">
        <v>81</v>
      </c>
      <c r="F86" s="221">
        <f t="shared" si="162"/>
        <v>0.81</v>
      </c>
      <c r="G86" s="221">
        <f t="shared" si="145"/>
        <v>0.20250000000000001</v>
      </c>
      <c r="H86" s="221">
        <f t="shared" si="98"/>
        <v>12.15</v>
      </c>
      <c r="I86" s="221">
        <f t="shared" si="163"/>
        <v>1.4175</v>
      </c>
      <c r="J86" s="555">
        <f t="shared" si="99"/>
        <v>15</v>
      </c>
      <c r="K86" s="451">
        <f t="shared" si="100"/>
        <v>23.85</v>
      </c>
      <c r="L86" s="451">
        <f t="shared" si="101"/>
        <v>38.85</v>
      </c>
      <c r="M86" s="451"/>
      <c r="N86" s="221">
        <f t="shared" si="102"/>
        <v>0.61389961389961389</v>
      </c>
      <c r="O86" s="176">
        <f t="shared" si="146"/>
        <v>16.05988878003803</v>
      </c>
      <c r="P86" s="176">
        <f t="shared" si="103"/>
        <v>1.873653691004437</v>
      </c>
      <c r="Q86" s="221">
        <f t="shared" si="104"/>
        <v>1.0706592520025353</v>
      </c>
      <c r="R86" s="221">
        <f t="shared" si="105"/>
        <v>2.2942698257197187</v>
      </c>
      <c r="S86" s="451">
        <f t="shared" si="106"/>
        <v>15</v>
      </c>
      <c r="T86" s="221">
        <f t="shared" si="107"/>
        <v>3.1018272095332673</v>
      </c>
      <c r="U86" s="221">
        <f t="shared" si="108"/>
        <v>1.447519364448858</v>
      </c>
      <c r="V86" s="221">
        <f t="shared" si="109"/>
        <v>0.91038953738921879</v>
      </c>
      <c r="W86" s="201">
        <f t="shared" si="110"/>
        <v>350</v>
      </c>
      <c r="X86" s="451">
        <f t="shared" si="147"/>
        <v>350</v>
      </c>
      <c r="Z86" s="221">
        <f t="shared" si="111"/>
        <v>3.7585690646915135</v>
      </c>
      <c r="AA86" s="177">
        <f t="shared" si="112"/>
        <v>1.1031439602868174</v>
      </c>
      <c r="AB86" s="177">
        <f t="shared" si="113"/>
        <v>0.97467647041501804</v>
      </c>
      <c r="AC86" s="177"/>
      <c r="AD86" s="177">
        <f t="shared" si="114"/>
        <v>0.24067085953878403</v>
      </c>
      <c r="AE86" s="559">
        <f t="shared" si="115"/>
        <v>6110.9671114132761</v>
      </c>
      <c r="AF86" s="542">
        <f t="shared" si="116"/>
        <v>4.6392002252886505E-2</v>
      </c>
      <c r="AH86" s="177">
        <f t="shared" si="117"/>
        <v>3.3279889128543734</v>
      </c>
      <c r="AI86" s="177">
        <f t="shared" si="118"/>
        <v>3.3279889128543734</v>
      </c>
      <c r="AJ86" s="177">
        <f t="shared" si="119"/>
        <v>3.0577695650773138</v>
      </c>
      <c r="AL86" s="559">
        <f t="shared" si="120"/>
        <v>810</v>
      </c>
      <c r="AM86" s="469">
        <f t="shared" si="121"/>
        <v>350</v>
      </c>
      <c r="AO86">
        <f t="shared" si="148"/>
        <v>810</v>
      </c>
      <c r="AP86">
        <f t="shared" si="122"/>
        <v>350</v>
      </c>
      <c r="AR86" s="5">
        <f t="shared" si="149"/>
        <v>2.8571428571428572</v>
      </c>
      <c r="AS86" s="5">
        <f t="shared" si="123"/>
        <v>1.5530614926653743</v>
      </c>
      <c r="AT86" s="5">
        <f t="shared" si="150"/>
        <v>1.3040813644774829</v>
      </c>
      <c r="AU86" s="177">
        <f t="shared" si="151"/>
        <v>0.54357152243288098</v>
      </c>
      <c r="AW86" s="5">
        <f t="shared" si="152"/>
        <v>12.079683950617282</v>
      </c>
      <c r="AX86" s="5">
        <f t="shared" si="124"/>
        <v>29.448684</v>
      </c>
      <c r="AY86" s="5">
        <f t="shared" si="125"/>
        <v>0.85581907298473081</v>
      </c>
      <c r="AZ86" s="5">
        <f t="shared" si="126"/>
        <v>1.5008000582947669</v>
      </c>
      <c r="BA86" s="5">
        <f t="shared" si="127"/>
        <v>1.6554969742735208</v>
      </c>
      <c r="BB86" s="469">
        <f t="shared" si="128"/>
        <v>127.01858885998773</v>
      </c>
      <c r="BC86" s="5"/>
      <c r="BD86" s="177">
        <f t="shared" si="153"/>
        <v>1.4166076783821226</v>
      </c>
      <c r="BE86" s="177">
        <f t="shared" si="129"/>
        <v>1.7437142501130114</v>
      </c>
      <c r="BF86" s="177">
        <f t="shared" si="130"/>
        <v>0.40944176379235897</v>
      </c>
      <c r="BG86" s="177"/>
      <c r="BH86" s="542">
        <f t="shared" si="131"/>
        <v>0.2207455045896306</v>
      </c>
      <c r="BI86" s="542">
        <f t="shared" si="132"/>
        <v>0.22626164621268671</v>
      </c>
      <c r="BJ86" s="542">
        <f t="shared" si="133"/>
        <v>1.7499999999999998E-2</v>
      </c>
      <c r="BK86" s="542">
        <f t="shared" si="134"/>
        <v>0.11885914687500002</v>
      </c>
      <c r="BL86">
        <f t="shared" si="135"/>
        <v>4.3499999999999997E-3</v>
      </c>
      <c r="BM86" s="469">
        <f t="shared" si="154"/>
        <v>587.71629767731736</v>
      </c>
      <c r="BN86" s="177">
        <f t="shared" si="136"/>
        <v>0.72900000000000009</v>
      </c>
      <c r="BO86" s="177">
        <f t="shared" si="137"/>
        <v>0.18225000000000002</v>
      </c>
      <c r="BP86" s="542"/>
      <c r="BR86" s="469">
        <f t="shared" si="155"/>
        <v>911.25000000000011</v>
      </c>
      <c r="BS86" s="542">
        <f t="shared" si="138"/>
        <v>0</v>
      </c>
      <c r="BT86" s="542">
        <f t="shared" si="139"/>
        <v>0</v>
      </c>
      <c r="BU86" s="542">
        <f t="shared" si="140"/>
        <v>0</v>
      </c>
      <c r="BV86" s="542">
        <f t="shared" si="141"/>
        <v>0</v>
      </c>
      <c r="BW86" s="647">
        <f t="shared" si="142"/>
        <v>0</v>
      </c>
      <c r="BX86" s="469">
        <f t="shared" si="156"/>
        <v>0</v>
      </c>
      <c r="BY86" s="177">
        <f t="shared" si="157"/>
        <v>1.4989662976773175</v>
      </c>
      <c r="BZ86" s="5">
        <f t="shared" si="158"/>
        <v>13.567500000000001</v>
      </c>
      <c r="CA86" s="177">
        <f t="shared" si="159"/>
        <v>0.90050976333392785</v>
      </c>
      <c r="CB86" s="5">
        <f t="shared" si="160"/>
        <v>90.050976333392782</v>
      </c>
      <c r="CC86">
        <f t="shared" si="161"/>
        <v>81</v>
      </c>
      <c r="CE86" s="576">
        <f t="shared" si="143"/>
        <v>-50</v>
      </c>
      <c r="CF86">
        <f t="shared" si="144"/>
        <v>-50</v>
      </c>
    </row>
    <row r="87" spans="5:84" x14ac:dyDescent="0.25">
      <c r="E87" s="174">
        <v>82</v>
      </c>
      <c r="F87" s="221">
        <f t="shared" si="162"/>
        <v>0.82</v>
      </c>
      <c r="G87" s="221">
        <f t="shared" si="145"/>
        <v>0.20499999999999999</v>
      </c>
      <c r="H87" s="221">
        <f t="shared" si="98"/>
        <v>12.299999999999999</v>
      </c>
      <c r="I87" s="221">
        <f t="shared" si="163"/>
        <v>1.4349999999999998</v>
      </c>
      <c r="J87" s="555">
        <f t="shared" si="99"/>
        <v>15</v>
      </c>
      <c r="K87" s="451">
        <f t="shared" si="100"/>
        <v>23.85</v>
      </c>
      <c r="L87" s="451">
        <f t="shared" si="101"/>
        <v>38.85</v>
      </c>
      <c r="M87" s="451"/>
      <c r="N87" s="221">
        <f t="shared" si="102"/>
        <v>0.61389961389961389</v>
      </c>
      <c r="O87" s="176">
        <f t="shared" si="146"/>
        <v>16.05988878003803</v>
      </c>
      <c r="P87" s="176">
        <f t="shared" si="103"/>
        <v>1.873653691004437</v>
      </c>
      <c r="Q87" s="221">
        <f t="shared" si="104"/>
        <v>1.0706592520025353</v>
      </c>
      <c r="R87" s="221">
        <f t="shared" si="105"/>
        <v>2.2942698257197187</v>
      </c>
      <c r="S87" s="451">
        <f t="shared" si="106"/>
        <v>15</v>
      </c>
      <c r="T87" s="221">
        <f t="shared" si="107"/>
        <v>3.1401213726139248</v>
      </c>
      <c r="U87" s="221">
        <f t="shared" si="108"/>
        <v>1.4653899738864979</v>
      </c>
      <c r="V87" s="221">
        <f t="shared" si="109"/>
        <v>0.92162891439402395</v>
      </c>
      <c r="W87" s="201">
        <f t="shared" si="110"/>
        <v>350</v>
      </c>
      <c r="X87" s="451">
        <f t="shared" si="147"/>
        <v>350</v>
      </c>
      <c r="Z87" s="221">
        <f t="shared" si="111"/>
        <v>3.7585690646915135</v>
      </c>
      <c r="AA87" s="177">
        <f t="shared" si="112"/>
        <v>1.1031439602868174</v>
      </c>
      <c r="AB87" s="177">
        <f t="shared" si="113"/>
        <v>0.97467647041501804</v>
      </c>
      <c r="AC87" s="177"/>
      <c r="AD87" s="177">
        <f t="shared" si="114"/>
        <v>0.24067085953878403</v>
      </c>
      <c r="AE87" s="559">
        <f t="shared" si="115"/>
        <v>6186.4111498257844</v>
      </c>
      <c r="AF87" s="542">
        <f t="shared" si="116"/>
        <v>4.6392002252886505E-2</v>
      </c>
      <c r="AH87" s="177">
        <f t="shared" si="117"/>
        <v>3.3484690379275097</v>
      </c>
      <c r="AI87" s="177">
        <f t="shared" si="118"/>
        <v>3.3484690379275097</v>
      </c>
      <c r="AJ87" s="177">
        <f t="shared" si="119"/>
        <v>3.0729400280944521</v>
      </c>
      <c r="AL87" s="559">
        <f t="shared" si="120"/>
        <v>820</v>
      </c>
      <c r="AM87" s="469">
        <f t="shared" si="121"/>
        <v>350</v>
      </c>
      <c r="AO87">
        <f t="shared" si="148"/>
        <v>820</v>
      </c>
      <c r="AP87">
        <f t="shared" si="122"/>
        <v>350</v>
      </c>
      <c r="AR87" s="5">
        <f t="shared" si="149"/>
        <v>2.8571428571428572</v>
      </c>
      <c r="AS87" s="5">
        <f t="shared" si="123"/>
        <v>1.5626188843661712</v>
      </c>
      <c r="AT87" s="5">
        <f t="shared" si="150"/>
        <v>1.294523972776686</v>
      </c>
      <c r="AU87" s="177">
        <f t="shared" si="151"/>
        <v>0.5469166095281599</v>
      </c>
      <c r="AW87" s="5">
        <f t="shared" si="152"/>
        <v>12.079683950617282</v>
      </c>
      <c r="AX87" s="5">
        <f t="shared" si="124"/>
        <v>30.149930074074067</v>
      </c>
      <c r="AY87" s="5">
        <f t="shared" si="125"/>
        <v>0.85581907298473081</v>
      </c>
      <c r="AZ87" s="5">
        <f t="shared" si="126"/>
        <v>1.5304930028919388</v>
      </c>
      <c r="BA87" s="5">
        <f t="shared" si="127"/>
        <v>1.6636525629087984</v>
      </c>
      <c r="BB87" s="469">
        <f t="shared" si="128"/>
        <v>127.66552116552829</v>
      </c>
      <c r="BC87" s="5"/>
      <c r="BD87" s="177">
        <f t="shared" si="153"/>
        <v>1.4297042776732123</v>
      </c>
      <c r="BE87" s="177">
        <f t="shared" si="129"/>
        <v>1.7480040630388731</v>
      </c>
      <c r="BF87" s="177">
        <f t="shared" si="130"/>
        <v>0.41044905530849485</v>
      </c>
      <c r="BG87" s="177"/>
      <c r="BH87" s="542">
        <f t="shared" si="131"/>
        <v>0.22484597537567902</v>
      </c>
      <c r="BI87" s="542">
        <f t="shared" si="132"/>
        <v>0.22765403871609657</v>
      </c>
      <c r="BJ87" s="542">
        <f t="shared" si="133"/>
        <v>1.7499999999999998E-2</v>
      </c>
      <c r="BK87" s="542">
        <f t="shared" si="134"/>
        <v>0.11885914687500002</v>
      </c>
      <c r="BL87">
        <f t="shared" si="135"/>
        <v>4.3499999999999997E-3</v>
      </c>
      <c r="BM87" s="469">
        <f t="shared" si="154"/>
        <v>593.20916096677558</v>
      </c>
      <c r="BN87" s="177">
        <f t="shared" si="136"/>
        <v>0.73799999999999999</v>
      </c>
      <c r="BO87" s="177">
        <f t="shared" si="137"/>
        <v>0.1845</v>
      </c>
      <c r="BP87" s="542"/>
      <c r="BR87" s="469">
        <f t="shared" si="155"/>
        <v>922.5</v>
      </c>
      <c r="BS87" s="542">
        <f t="shared" si="138"/>
        <v>0</v>
      </c>
      <c r="BT87" s="542">
        <f t="shared" si="139"/>
        <v>0</v>
      </c>
      <c r="BU87" s="542">
        <f t="shared" si="140"/>
        <v>0</v>
      </c>
      <c r="BV87" s="542">
        <f t="shared" si="141"/>
        <v>0</v>
      </c>
      <c r="BW87" s="647">
        <f t="shared" si="142"/>
        <v>0</v>
      </c>
      <c r="BX87" s="469">
        <f t="shared" si="156"/>
        <v>0</v>
      </c>
      <c r="BY87" s="177">
        <f t="shared" si="157"/>
        <v>1.5157091609667757</v>
      </c>
      <c r="BZ87" s="5">
        <f t="shared" si="158"/>
        <v>13.734999999999999</v>
      </c>
      <c r="CA87" s="177">
        <f t="shared" si="159"/>
        <v>0.90061385703648866</v>
      </c>
      <c r="CB87" s="5">
        <f t="shared" si="160"/>
        <v>90.061385703648867</v>
      </c>
      <c r="CC87">
        <f t="shared" si="161"/>
        <v>82</v>
      </c>
      <c r="CE87" s="576">
        <f t="shared" si="143"/>
        <v>-50</v>
      </c>
      <c r="CF87">
        <f t="shared" si="144"/>
        <v>-50</v>
      </c>
    </row>
    <row r="88" spans="5:84" x14ac:dyDescent="0.25">
      <c r="E88" s="174">
        <v>83</v>
      </c>
      <c r="F88" s="221">
        <f t="shared" si="162"/>
        <v>0.83</v>
      </c>
      <c r="G88" s="221">
        <f t="shared" si="145"/>
        <v>0.20749999999999999</v>
      </c>
      <c r="H88" s="221">
        <f t="shared" si="98"/>
        <v>12.45</v>
      </c>
      <c r="I88" s="221">
        <f t="shared" si="163"/>
        <v>1.4524999999999999</v>
      </c>
      <c r="J88" s="555">
        <f t="shared" si="99"/>
        <v>15</v>
      </c>
      <c r="K88" s="451">
        <f t="shared" si="100"/>
        <v>23.85</v>
      </c>
      <c r="L88" s="451">
        <f t="shared" si="101"/>
        <v>38.85</v>
      </c>
      <c r="M88" s="451"/>
      <c r="N88" s="221">
        <f t="shared" si="102"/>
        <v>0.61389961389961389</v>
      </c>
      <c r="O88" s="176">
        <f t="shared" si="146"/>
        <v>16.05988878003803</v>
      </c>
      <c r="P88" s="176">
        <f t="shared" si="103"/>
        <v>1.873653691004437</v>
      </c>
      <c r="Q88" s="221">
        <f t="shared" si="104"/>
        <v>1.0706592520025353</v>
      </c>
      <c r="R88" s="221">
        <f t="shared" si="105"/>
        <v>2.2942698257197187</v>
      </c>
      <c r="S88" s="451">
        <f t="shared" si="106"/>
        <v>15</v>
      </c>
      <c r="T88" s="221">
        <f t="shared" si="107"/>
        <v>3.1784155356945822</v>
      </c>
      <c r="U88" s="221">
        <f t="shared" si="108"/>
        <v>1.4832605833241381</v>
      </c>
      <c r="V88" s="221">
        <f t="shared" si="109"/>
        <v>0.93286829139882899</v>
      </c>
      <c r="W88" s="201">
        <f t="shared" si="110"/>
        <v>350</v>
      </c>
      <c r="X88" s="451">
        <f t="shared" si="147"/>
        <v>350</v>
      </c>
      <c r="Z88" s="221">
        <f t="shared" si="111"/>
        <v>3.7585690646915135</v>
      </c>
      <c r="AA88" s="177">
        <f t="shared" si="112"/>
        <v>1.1031439602868174</v>
      </c>
      <c r="AB88" s="177">
        <f t="shared" si="113"/>
        <v>0.97467647041501804</v>
      </c>
      <c r="AC88" s="177"/>
      <c r="AD88" s="177">
        <f t="shared" si="114"/>
        <v>0.24067085953878403</v>
      </c>
      <c r="AE88" s="559">
        <f t="shared" si="115"/>
        <v>6261.8551882382935</v>
      </c>
      <c r="AF88" s="542">
        <f t="shared" si="116"/>
        <v>4.6392002252886505E-2</v>
      </c>
      <c r="AH88" s="177">
        <f t="shared" si="117"/>
        <v>3.3688246602987122</v>
      </c>
      <c r="AI88" s="177">
        <f t="shared" si="118"/>
        <v>3.3688246602987122</v>
      </c>
      <c r="AJ88" s="177">
        <f t="shared" si="119"/>
        <v>3.0880182668879348</v>
      </c>
      <c r="AL88" s="559">
        <f t="shared" si="120"/>
        <v>830</v>
      </c>
      <c r="AM88" s="469">
        <f t="shared" si="121"/>
        <v>350</v>
      </c>
      <c r="AO88">
        <f t="shared" si="148"/>
        <v>830</v>
      </c>
      <c r="AP88">
        <f t="shared" si="122"/>
        <v>350</v>
      </c>
      <c r="AR88" s="5">
        <f t="shared" si="149"/>
        <v>2.8571428571428572</v>
      </c>
      <c r="AS88" s="5">
        <f t="shared" si="123"/>
        <v>1.5721181748060655</v>
      </c>
      <c r="AT88" s="5">
        <f t="shared" si="150"/>
        <v>1.2850246823367917</v>
      </c>
      <c r="AU88" s="177">
        <f t="shared" si="151"/>
        <v>0.55024136118212297</v>
      </c>
      <c r="AW88" s="5">
        <f t="shared" si="152"/>
        <v>12.079683950617282</v>
      </c>
      <c r="AX88" s="5">
        <f t="shared" si="124"/>
        <v>30.859412296296284</v>
      </c>
      <c r="AY88" s="5">
        <f t="shared" si="125"/>
        <v>0.85581907298473081</v>
      </c>
      <c r="AZ88" s="5">
        <f t="shared" si="126"/>
        <v>1.5604582535577878</v>
      </c>
      <c r="BA88" s="5">
        <f t="shared" si="127"/>
        <v>1.6715841540292162</v>
      </c>
      <c r="BB88" s="469">
        <f t="shared" si="128"/>
        <v>128.29565365745435</v>
      </c>
      <c r="BC88" s="5"/>
      <c r="BD88" s="177">
        <f t="shared" si="153"/>
        <v>1.4427610080028708</v>
      </c>
      <c r="BE88" s="177">
        <f t="shared" si="129"/>
        <v>1.752165980054301</v>
      </c>
      <c r="BF88" s="177">
        <f t="shared" si="130"/>
        <v>0.41142631556971238</v>
      </c>
      <c r="BG88" s="177"/>
      <c r="BH88" s="542">
        <f t="shared" si="131"/>
        <v>0.22897152588348058</v>
      </c>
      <c r="BI88" s="542">
        <f t="shared" si="132"/>
        <v>0.22903796659205869</v>
      </c>
      <c r="BJ88" s="542">
        <f t="shared" si="133"/>
        <v>1.7499999999999998E-2</v>
      </c>
      <c r="BK88" s="542">
        <f t="shared" si="134"/>
        <v>0.11885914687500002</v>
      </c>
      <c r="BL88">
        <f t="shared" si="135"/>
        <v>4.3499999999999997E-3</v>
      </c>
      <c r="BM88" s="469">
        <f t="shared" si="154"/>
        <v>598.71863935053921</v>
      </c>
      <c r="BN88" s="177">
        <f t="shared" si="136"/>
        <v>0.747</v>
      </c>
      <c r="BO88" s="177">
        <f t="shared" si="137"/>
        <v>0.18675</v>
      </c>
      <c r="BP88" s="542"/>
      <c r="BR88" s="469">
        <f t="shared" si="155"/>
        <v>933.75</v>
      </c>
      <c r="BS88" s="542">
        <f t="shared" si="138"/>
        <v>0</v>
      </c>
      <c r="BT88" s="542">
        <f t="shared" si="139"/>
        <v>0</v>
      </c>
      <c r="BU88" s="542">
        <f t="shared" si="140"/>
        <v>0</v>
      </c>
      <c r="BV88" s="542">
        <f t="shared" si="141"/>
        <v>0</v>
      </c>
      <c r="BW88" s="647">
        <f t="shared" si="142"/>
        <v>0</v>
      </c>
      <c r="BX88" s="469">
        <f t="shared" si="156"/>
        <v>0</v>
      </c>
      <c r="BY88" s="177">
        <f t="shared" si="157"/>
        <v>1.5324686393505393</v>
      </c>
      <c r="BZ88" s="5">
        <f t="shared" si="158"/>
        <v>13.9025</v>
      </c>
      <c r="CA88" s="177">
        <f t="shared" si="159"/>
        <v>0.90071449607979104</v>
      </c>
      <c r="CB88" s="5">
        <f t="shared" si="160"/>
        <v>90.071449607979105</v>
      </c>
      <c r="CC88">
        <f t="shared" si="161"/>
        <v>83</v>
      </c>
      <c r="CE88" s="576">
        <f t="shared" si="143"/>
        <v>-50</v>
      </c>
      <c r="CF88">
        <f t="shared" si="144"/>
        <v>-50</v>
      </c>
    </row>
    <row r="89" spans="5:84" x14ac:dyDescent="0.25">
      <c r="E89" s="174">
        <v>84</v>
      </c>
      <c r="F89" s="221">
        <f t="shared" si="162"/>
        <v>0.84</v>
      </c>
      <c r="G89" s="221">
        <f t="shared" si="145"/>
        <v>0.21</v>
      </c>
      <c r="H89" s="221">
        <f t="shared" si="98"/>
        <v>12.6</v>
      </c>
      <c r="I89" s="221">
        <f t="shared" si="163"/>
        <v>1.47</v>
      </c>
      <c r="J89" s="555">
        <f t="shared" si="99"/>
        <v>15</v>
      </c>
      <c r="K89" s="451">
        <f t="shared" si="100"/>
        <v>23.85</v>
      </c>
      <c r="L89" s="451">
        <f t="shared" si="101"/>
        <v>38.85</v>
      </c>
      <c r="M89" s="451"/>
      <c r="N89" s="221">
        <f t="shared" si="102"/>
        <v>0.61389961389961389</v>
      </c>
      <c r="O89" s="176">
        <f t="shared" si="146"/>
        <v>16.05988878003803</v>
      </c>
      <c r="P89" s="176">
        <f t="shared" si="103"/>
        <v>1.873653691004437</v>
      </c>
      <c r="Q89" s="221">
        <f t="shared" si="104"/>
        <v>1.0706592520025353</v>
      </c>
      <c r="R89" s="221">
        <f t="shared" si="105"/>
        <v>2.2942698257197187</v>
      </c>
      <c r="S89" s="451">
        <f t="shared" si="106"/>
        <v>15</v>
      </c>
      <c r="T89" s="221">
        <f t="shared" si="107"/>
        <v>3.2167096987752402</v>
      </c>
      <c r="U89" s="221">
        <f t="shared" si="108"/>
        <v>1.5011311927617785</v>
      </c>
      <c r="V89" s="221">
        <f t="shared" si="109"/>
        <v>0.94410766840363436</v>
      </c>
      <c r="W89" s="201">
        <f t="shared" si="110"/>
        <v>350</v>
      </c>
      <c r="X89" s="451">
        <f t="shared" si="147"/>
        <v>350</v>
      </c>
      <c r="Z89" s="221">
        <f t="shared" si="111"/>
        <v>3.7585690646915135</v>
      </c>
      <c r="AA89" s="177">
        <f t="shared" si="112"/>
        <v>1.1031439602868174</v>
      </c>
      <c r="AB89" s="177">
        <f t="shared" si="113"/>
        <v>0.97467647041501804</v>
      </c>
      <c r="AC89" s="177"/>
      <c r="AD89" s="177">
        <f t="shared" si="114"/>
        <v>0.24067085953878403</v>
      </c>
      <c r="AE89" s="559">
        <f t="shared" si="115"/>
        <v>6337.2992266508045</v>
      </c>
      <c r="AF89" s="542">
        <f t="shared" si="116"/>
        <v>4.6392002252886505E-2</v>
      </c>
      <c r="AH89" s="177">
        <f t="shared" si="117"/>
        <v>3.3890580233619909</v>
      </c>
      <c r="AI89" s="177">
        <f t="shared" si="118"/>
        <v>3.3890580233619909</v>
      </c>
      <c r="AJ89" s="177">
        <f t="shared" si="119"/>
        <v>3.1030059432311043</v>
      </c>
      <c r="AL89" s="559">
        <f t="shared" si="120"/>
        <v>840</v>
      </c>
      <c r="AM89" s="469">
        <f t="shared" si="121"/>
        <v>350</v>
      </c>
      <c r="AO89">
        <f t="shared" si="148"/>
        <v>840</v>
      </c>
      <c r="AP89">
        <f t="shared" si="122"/>
        <v>350</v>
      </c>
      <c r="AR89" s="5">
        <f t="shared" si="149"/>
        <v>2.8571428571428572</v>
      </c>
      <c r="AS89" s="5">
        <f t="shared" si="123"/>
        <v>1.5815604109022625</v>
      </c>
      <c r="AT89" s="5">
        <f t="shared" si="150"/>
        <v>1.2755824462405947</v>
      </c>
      <c r="AU89" s="177">
        <f t="shared" si="151"/>
        <v>0.55354614381579181</v>
      </c>
      <c r="AW89" s="5">
        <f t="shared" si="152"/>
        <v>12.079683950617282</v>
      </c>
      <c r="AX89" s="5">
        <f t="shared" si="124"/>
        <v>31.577130666666658</v>
      </c>
      <c r="AY89" s="5">
        <f t="shared" si="125"/>
        <v>0.85581907298473081</v>
      </c>
      <c r="AZ89" s="5">
        <f t="shared" si="126"/>
        <v>1.5906958102923141</v>
      </c>
      <c r="BA89" s="5">
        <f t="shared" si="127"/>
        <v>1.6792931011560388</v>
      </c>
      <c r="BB89" s="469">
        <f t="shared" si="128"/>
        <v>128.90908784986087</v>
      </c>
      <c r="BC89" s="5"/>
      <c r="BD89" s="177">
        <f t="shared" si="153"/>
        <v>1.4557784689330417</v>
      </c>
      <c r="BE89" s="177">
        <f t="shared" si="129"/>
        <v>1.7562016181936275</v>
      </c>
      <c r="BF89" s="177">
        <f t="shared" si="130"/>
        <v>0.41237392427204794</v>
      </c>
      <c r="BG89" s="177"/>
      <c r="BH89" s="542">
        <f t="shared" si="131"/>
        <v>0.23312200456699345</v>
      </c>
      <c r="BI89" s="542">
        <f t="shared" si="132"/>
        <v>0.23041358236332338</v>
      </c>
      <c r="BJ89" s="542">
        <f t="shared" si="133"/>
        <v>1.7499999999999998E-2</v>
      </c>
      <c r="BK89" s="542">
        <f t="shared" si="134"/>
        <v>0.11885914687500002</v>
      </c>
      <c r="BL89">
        <f t="shared" si="135"/>
        <v>4.3499999999999997E-3</v>
      </c>
      <c r="BM89" s="469">
        <f t="shared" si="154"/>
        <v>604.24473380531686</v>
      </c>
      <c r="BN89" s="177">
        <f t="shared" si="136"/>
        <v>0.75600000000000001</v>
      </c>
      <c r="BO89" s="177">
        <f t="shared" si="137"/>
        <v>0.189</v>
      </c>
      <c r="BP89" s="542"/>
      <c r="BR89" s="469">
        <f t="shared" si="155"/>
        <v>945.00000000000011</v>
      </c>
      <c r="BS89" s="542">
        <f t="shared" si="138"/>
        <v>0</v>
      </c>
      <c r="BT89" s="542">
        <f t="shared" si="139"/>
        <v>0</v>
      </c>
      <c r="BU89" s="542">
        <f t="shared" si="140"/>
        <v>0</v>
      </c>
      <c r="BV89" s="542">
        <f t="shared" si="141"/>
        <v>0</v>
      </c>
      <c r="BW89" s="647">
        <f t="shared" si="142"/>
        <v>0</v>
      </c>
      <c r="BX89" s="469">
        <f t="shared" si="156"/>
        <v>0</v>
      </c>
      <c r="BY89" s="177">
        <f t="shared" si="157"/>
        <v>1.5492447338053168</v>
      </c>
      <c r="BZ89" s="5">
        <f t="shared" si="158"/>
        <v>14.07</v>
      </c>
      <c r="CA89" s="177">
        <f t="shared" si="159"/>
        <v>0.90081180234968539</v>
      </c>
      <c r="CB89" s="5">
        <f t="shared" si="160"/>
        <v>90.081180234968542</v>
      </c>
      <c r="CC89">
        <f t="shared" si="161"/>
        <v>84</v>
      </c>
      <c r="CE89" s="576">
        <f t="shared" si="143"/>
        <v>-50</v>
      </c>
      <c r="CF89">
        <f t="shared" si="144"/>
        <v>-50</v>
      </c>
    </row>
    <row r="90" spans="5:84" x14ac:dyDescent="0.25">
      <c r="E90" s="174">
        <v>85</v>
      </c>
      <c r="F90" s="221">
        <f t="shared" si="162"/>
        <v>0.85</v>
      </c>
      <c r="G90" s="221">
        <f t="shared" si="145"/>
        <v>0.21249999999999999</v>
      </c>
      <c r="H90" s="221">
        <f t="shared" si="98"/>
        <v>12.75</v>
      </c>
      <c r="I90" s="221">
        <f t="shared" si="163"/>
        <v>1.4875</v>
      </c>
      <c r="J90" s="555">
        <f t="shared" si="99"/>
        <v>15</v>
      </c>
      <c r="K90" s="451">
        <f t="shared" si="100"/>
        <v>23.85</v>
      </c>
      <c r="L90" s="451">
        <f t="shared" si="101"/>
        <v>38.85</v>
      </c>
      <c r="M90" s="451"/>
      <c r="N90" s="221">
        <f t="shared" si="102"/>
        <v>0.61389961389961389</v>
      </c>
      <c r="O90" s="176">
        <f t="shared" si="146"/>
        <v>16.05988878003803</v>
      </c>
      <c r="P90" s="176">
        <f t="shared" si="103"/>
        <v>1.873653691004437</v>
      </c>
      <c r="Q90" s="221">
        <f t="shared" si="104"/>
        <v>1.0706592520025353</v>
      </c>
      <c r="R90" s="221">
        <f t="shared" si="105"/>
        <v>2.2942698257197187</v>
      </c>
      <c r="S90" s="451">
        <f t="shared" si="106"/>
        <v>15</v>
      </c>
      <c r="T90" s="221">
        <f t="shared" si="107"/>
        <v>3.2550038618558981</v>
      </c>
      <c r="U90" s="221">
        <f t="shared" si="108"/>
        <v>1.5190018021994189</v>
      </c>
      <c r="V90" s="221">
        <f t="shared" si="109"/>
        <v>0.95534704540843962</v>
      </c>
      <c r="W90" s="201">
        <f t="shared" si="110"/>
        <v>350</v>
      </c>
      <c r="X90" s="451">
        <f t="shared" si="147"/>
        <v>350</v>
      </c>
      <c r="Z90" s="221">
        <f t="shared" si="111"/>
        <v>3.7585690646915135</v>
      </c>
      <c r="AA90" s="177">
        <f t="shared" si="112"/>
        <v>1.1031439602868174</v>
      </c>
      <c r="AB90" s="177">
        <f t="shared" si="113"/>
        <v>0.97467647041501804</v>
      </c>
      <c r="AC90" s="177"/>
      <c r="AD90" s="177">
        <f t="shared" si="114"/>
        <v>0.24067085953878403</v>
      </c>
      <c r="AE90" s="559">
        <f t="shared" si="115"/>
        <v>6412.7432650633136</v>
      </c>
      <c r="AF90" s="542">
        <f t="shared" si="116"/>
        <v>4.6392002252886505E-2</v>
      </c>
      <c r="AH90" s="177">
        <f t="shared" si="117"/>
        <v>3.4091713039376352</v>
      </c>
      <c r="AI90" s="177">
        <f t="shared" si="118"/>
        <v>3.4091713039376352</v>
      </c>
      <c r="AJ90" s="177">
        <f t="shared" si="119"/>
        <v>3.1179046695834334</v>
      </c>
      <c r="AL90" s="559">
        <f t="shared" si="120"/>
        <v>850</v>
      </c>
      <c r="AM90" s="469">
        <f t="shared" si="121"/>
        <v>350</v>
      </c>
      <c r="AO90">
        <f t="shared" si="148"/>
        <v>850</v>
      </c>
      <c r="AP90">
        <f t="shared" si="122"/>
        <v>350</v>
      </c>
      <c r="AR90" s="5">
        <f t="shared" si="149"/>
        <v>2.8571428571428572</v>
      </c>
      <c r="AS90" s="5">
        <f t="shared" si="123"/>
        <v>1.5909466085042296</v>
      </c>
      <c r="AT90" s="5">
        <f t="shared" si="150"/>
        <v>1.2661962486386276</v>
      </c>
      <c r="AU90" s="177">
        <f t="shared" si="151"/>
        <v>0.55683131297648036</v>
      </c>
      <c r="AW90" s="5">
        <f t="shared" si="152"/>
        <v>12.079683950617282</v>
      </c>
      <c r="AX90" s="5">
        <f t="shared" si="124"/>
        <v>32.303085185185175</v>
      </c>
      <c r="AY90" s="5">
        <f t="shared" si="125"/>
        <v>0.85581907298473081</v>
      </c>
      <c r="AZ90" s="5">
        <f t="shared" si="126"/>
        <v>1.6212056730955173</v>
      </c>
      <c r="BA90" s="5">
        <f t="shared" si="127"/>
        <v>1.6867807335665461</v>
      </c>
      <c r="BB90" s="469">
        <f t="shared" si="128"/>
        <v>129.50592343854362</v>
      </c>
      <c r="BC90" s="5"/>
      <c r="BD90" s="177">
        <f t="shared" si="153"/>
        <v>1.4687572439887491</v>
      </c>
      <c r="BE90" s="177">
        <f t="shared" si="129"/>
        <v>1.7601125395987984</v>
      </c>
      <c r="BF90" s="177">
        <f t="shared" si="130"/>
        <v>0.41329224822224953</v>
      </c>
      <c r="BG90" s="177"/>
      <c r="BH90" s="542">
        <f t="shared" si="131"/>
        <v>0.23729726259463682</v>
      </c>
      <c r="BI90" s="542">
        <f t="shared" si="132"/>
        <v>0.23178103402645997</v>
      </c>
      <c r="BJ90" s="542">
        <f t="shared" si="133"/>
        <v>1.7499999999999998E-2</v>
      </c>
      <c r="BK90" s="542">
        <f t="shared" si="134"/>
        <v>0.11885914687500002</v>
      </c>
      <c r="BL90">
        <f t="shared" si="135"/>
        <v>4.3499999999999997E-3</v>
      </c>
      <c r="BM90" s="469">
        <f t="shared" si="154"/>
        <v>609.78744349609678</v>
      </c>
      <c r="BN90" s="177">
        <f t="shared" si="136"/>
        <v>0.76500000000000001</v>
      </c>
      <c r="BO90" s="177">
        <f t="shared" si="137"/>
        <v>0.19125</v>
      </c>
      <c r="BP90" s="542"/>
      <c r="BR90" s="469">
        <f t="shared" si="155"/>
        <v>956.25</v>
      </c>
      <c r="BS90" s="542">
        <f t="shared" si="138"/>
        <v>0</v>
      </c>
      <c r="BT90" s="542">
        <f t="shared" si="139"/>
        <v>0</v>
      </c>
      <c r="BU90" s="542">
        <f t="shared" si="140"/>
        <v>0</v>
      </c>
      <c r="BV90" s="542">
        <f t="shared" si="141"/>
        <v>0</v>
      </c>
      <c r="BW90" s="647">
        <f t="shared" si="142"/>
        <v>0</v>
      </c>
      <c r="BX90" s="469">
        <f t="shared" si="156"/>
        <v>0</v>
      </c>
      <c r="BY90" s="177">
        <f t="shared" si="157"/>
        <v>1.5660374434960966</v>
      </c>
      <c r="BZ90" s="5">
        <f t="shared" si="158"/>
        <v>14.237500000000001</v>
      </c>
      <c r="CA90" s="177">
        <f t="shared" si="159"/>
        <v>0.90090589217159134</v>
      </c>
      <c r="CB90" s="5">
        <f t="shared" si="160"/>
        <v>90.090589217159135</v>
      </c>
      <c r="CC90">
        <f t="shared" si="161"/>
        <v>85</v>
      </c>
      <c r="CE90" s="576">
        <f t="shared" si="143"/>
        <v>-50</v>
      </c>
      <c r="CF90">
        <f t="shared" si="144"/>
        <v>-50</v>
      </c>
    </row>
    <row r="91" spans="5:84" x14ac:dyDescent="0.25">
      <c r="E91" s="174">
        <v>86</v>
      </c>
      <c r="F91" s="221">
        <f t="shared" si="162"/>
        <v>0.86</v>
      </c>
      <c r="G91" s="221">
        <f t="shared" si="145"/>
        <v>0.215</v>
      </c>
      <c r="H91" s="221">
        <f t="shared" si="98"/>
        <v>12.9</v>
      </c>
      <c r="I91" s="221">
        <f t="shared" si="163"/>
        <v>1.5049999999999999</v>
      </c>
      <c r="J91" s="555">
        <f t="shared" si="99"/>
        <v>15</v>
      </c>
      <c r="K91" s="451">
        <f t="shared" si="100"/>
        <v>23.85</v>
      </c>
      <c r="L91" s="451">
        <f t="shared" si="101"/>
        <v>38.85</v>
      </c>
      <c r="M91" s="451"/>
      <c r="N91" s="221">
        <f t="shared" si="102"/>
        <v>0.61389961389961389</v>
      </c>
      <c r="O91" s="176">
        <f t="shared" si="146"/>
        <v>16.05988878003803</v>
      </c>
      <c r="P91" s="176">
        <f t="shared" si="103"/>
        <v>1.873653691004437</v>
      </c>
      <c r="Q91" s="221">
        <f t="shared" si="104"/>
        <v>1.0706592520025353</v>
      </c>
      <c r="R91" s="221">
        <f t="shared" si="105"/>
        <v>2.2942698257197187</v>
      </c>
      <c r="S91" s="451">
        <f t="shared" si="106"/>
        <v>15</v>
      </c>
      <c r="T91" s="221">
        <f t="shared" si="107"/>
        <v>3.2932980249365555</v>
      </c>
      <c r="U91" s="221">
        <f t="shared" si="108"/>
        <v>1.5368724116370591</v>
      </c>
      <c r="V91" s="221">
        <f t="shared" si="109"/>
        <v>0.96658642241324477</v>
      </c>
      <c r="W91" s="201">
        <f t="shared" si="110"/>
        <v>350</v>
      </c>
      <c r="X91" s="451">
        <f t="shared" si="147"/>
        <v>350</v>
      </c>
      <c r="Z91" s="221">
        <f t="shared" si="111"/>
        <v>3.7585690646915135</v>
      </c>
      <c r="AA91" s="177">
        <f t="shared" si="112"/>
        <v>1.1031439602868174</v>
      </c>
      <c r="AB91" s="177">
        <f t="shared" si="113"/>
        <v>0.97467647041501804</v>
      </c>
      <c r="AC91" s="177"/>
      <c r="AD91" s="177">
        <f t="shared" si="114"/>
        <v>0.24067085953878403</v>
      </c>
      <c r="AE91" s="559">
        <f t="shared" si="115"/>
        <v>6488.1873034758228</v>
      </c>
      <c r="AF91" s="542">
        <f t="shared" si="116"/>
        <v>4.6392002252886505E-2</v>
      </c>
      <c r="AH91" s="177">
        <f t="shared" si="117"/>
        <v>3.4291666150056614</v>
      </c>
      <c r="AI91" s="177">
        <f t="shared" si="118"/>
        <v>3.4291666150056614</v>
      </c>
      <c r="AJ91" s="177">
        <f t="shared" si="119"/>
        <v>3.132716011115305</v>
      </c>
      <c r="AL91" s="559">
        <f t="shared" si="120"/>
        <v>860</v>
      </c>
      <c r="AM91" s="469">
        <f t="shared" si="121"/>
        <v>350</v>
      </c>
      <c r="AO91">
        <f t="shared" si="148"/>
        <v>860</v>
      </c>
      <c r="AP91">
        <f t="shared" si="122"/>
        <v>350</v>
      </c>
      <c r="AR91" s="5">
        <f t="shared" si="149"/>
        <v>2.8571428571428572</v>
      </c>
      <c r="AS91" s="5">
        <f t="shared" si="123"/>
        <v>1.6002777536693087</v>
      </c>
      <c r="AT91" s="5">
        <f t="shared" si="150"/>
        <v>1.2568651034735485</v>
      </c>
      <c r="AU91" s="177">
        <f t="shared" si="151"/>
        <v>0.56009721378425803</v>
      </c>
      <c r="AW91" s="5">
        <f t="shared" si="152"/>
        <v>12.079683950617282</v>
      </c>
      <c r="AX91" s="5">
        <f t="shared" si="124"/>
        <v>33.037275851851845</v>
      </c>
      <c r="AY91" s="5">
        <f t="shared" si="125"/>
        <v>0.85581907298473081</v>
      </c>
      <c r="AZ91" s="5">
        <f t="shared" si="126"/>
        <v>1.6519878419673972</v>
      </c>
      <c r="BA91" s="5">
        <f t="shared" si="127"/>
        <v>1.6940483570092602</v>
      </c>
      <c r="BB91" s="469">
        <f t="shared" si="128"/>
        <v>130.08625835464187</v>
      </c>
      <c r="BC91" s="5"/>
      <c r="BD91" s="177">
        <f t="shared" si="153"/>
        <v>1.4816979012704243</v>
      </c>
      <c r="BE91" s="177">
        <f t="shared" si="129"/>
        <v>1.7639002536313515</v>
      </c>
      <c r="BF91" s="177">
        <f t="shared" si="130"/>
        <v>0.41418164183369077</v>
      </c>
      <c r="BG91" s="177"/>
      <c r="BH91" s="542">
        <f t="shared" si="131"/>
        <v>0.24149715376920983</v>
      </c>
      <c r="BI91" s="542">
        <f t="shared" si="132"/>
        <v>0.23314046523769744</v>
      </c>
      <c r="BJ91" s="542">
        <f t="shared" si="133"/>
        <v>1.7499999999999998E-2</v>
      </c>
      <c r="BK91" s="542">
        <f t="shared" si="134"/>
        <v>0.11885914687500002</v>
      </c>
      <c r="BL91">
        <f t="shared" si="135"/>
        <v>4.3499999999999997E-3</v>
      </c>
      <c r="BM91" s="469">
        <f t="shared" si="154"/>
        <v>615.34676588190723</v>
      </c>
      <c r="BN91" s="177">
        <f t="shared" si="136"/>
        <v>0.77400000000000002</v>
      </c>
      <c r="BO91" s="177">
        <f t="shared" si="137"/>
        <v>0.19350000000000001</v>
      </c>
      <c r="BP91" s="542"/>
      <c r="BR91" s="469">
        <f t="shared" si="155"/>
        <v>967.5</v>
      </c>
      <c r="BS91" s="542">
        <f t="shared" si="138"/>
        <v>0</v>
      </c>
      <c r="BT91" s="542">
        <f t="shared" si="139"/>
        <v>0</v>
      </c>
      <c r="BU91" s="542">
        <f t="shared" si="140"/>
        <v>0</v>
      </c>
      <c r="BV91" s="542">
        <f t="shared" si="141"/>
        <v>0</v>
      </c>
      <c r="BW91" s="647">
        <f t="shared" si="142"/>
        <v>0</v>
      </c>
      <c r="BX91" s="469">
        <f t="shared" si="156"/>
        <v>0</v>
      </c>
      <c r="BY91" s="177">
        <f t="shared" si="157"/>
        <v>1.5828467658819074</v>
      </c>
      <c r="BZ91" s="5">
        <f t="shared" si="158"/>
        <v>14.405000000000001</v>
      </c>
      <c r="CA91" s="177">
        <f t="shared" si="159"/>
        <v>0.90099687662382999</v>
      </c>
      <c r="CB91" s="5">
        <f t="shared" si="160"/>
        <v>90.099687662383005</v>
      </c>
      <c r="CC91">
        <f t="shared" si="161"/>
        <v>86</v>
      </c>
      <c r="CE91" s="576">
        <f t="shared" si="143"/>
        <v>-50</v>
      </c>
      <c r="CF91">
        <f t="shared" si="144"/>
        <v>-50</v>
      </c>
    </row>
    <row r="92" spans="5:84" x14ac:dyDescent="0.25">
      <c r="E92" s="174">
        <v>87</v>
      </c>
      <c r="F92" s="221">
        <f t="shared" si="162"/>
        <v>0.87</v>
      </c>
      <c r="G92" s="221">
        <f t="shared" si="145"/>
        <v>0.2175</v>
      </c>
      <c r="H92" s="221">
        <f t="shared" si="98"/>
        <v>13.05</v>
      </c>
      <c r="I92" s="221">
        <f t="shared" si="163"/>
        <v>1.5225</v>
      </c>
      <c r="J92" s="555">
        <f t="shared" si="99"/>
        <v>15</v>
      </c>
      <c r="K92" s="451">
        <f t="shared" si="100"/>
        <v>23.85</v>
      </c>
      <c r="L92" s="451">
        <f t="shared" si="101"/>
        <v>38.85</v>
      </c>
      <c r="M92" s="451"/>
      <c r="N92" s="221">
        <f t="shared" si="102"/>
        <v>0.61389961389961389</v>
      </c>
      <c r="O92" s="176">
        <f t="shared" si="146"/>
        <v>16.05988878003803</v>
      </c>
      <c r="P92" s="176">
        <f t="shared" si="103"/>
        <v>1.873653691004437</v>
      </c>
      <c r="Q92" s="221">
        <f t="shared" si="104"/>
        <v>1.0706592520025353</v>
      </c>
      <c r="R92" s="221">
        <f t="shared" si="105"/>
        <v>2.2942698257197187</v>
      </c>
      <c r="S92" s="451">
        <f t="shared" si="106"/>
        <v>15</v>
      </c>
      <c r="T92" s="221">
        <f t="shared" si="107"/>
        <v>3.3315921880172135</v>
      </c>
      <c r="U92" s="221">
        <f t="shared" si="108"/>
        <v>1.5547430210746995</v>
      </c>
      <c r="V92" s="221">
        <f t="shared" si="109"/>
        <v>0.97782579941805003</v>
      </c>
      <c r="W92" s="201">
        <f t="shared" si="110"/>
        <v>350</v>
      </c>
      <c r="X92" s="451">
        <f t="shared" si="147"/>
        <v>350</v>
      </c>
      <c r="Z92" s="221">
        <f t="shared" si="111"/>
        <v>3.7585690646915135</v>
      </c>
      <c r="AA92" s="177">
        <f t="shared" si="112"/>
        <v>1.1031439602868174</v>
      </c>
      <c r="AB92" s="177">
        <f t="shared" si="113"/>
        <v>0.97467647041501804</v>
      </c>
      <c r="AC92" s="177"/>
      <c r="AD92" s="177">
        <f t="shared" si="114"/>
        <v>0.24067085953878403</v>
      </c>
      <c r="AE92" s="559">
        <f t="shared" si="115"/>
        <v>6563.6313418883328</v>
      </c>
      <c r="AF92" s="542">
        <f t="shared" si="116"/>
        <v>4.6392002252886505E-2</v>
      </c>
      <c r="AH92" s="177">
        <f t="shared" si="117"/>
        <v>3.4490460082966332</v>
      </c>
      <c r="AI92" s="177">
        <f t="shared" si="118"/>
        <v>3.4490460082966332</v>
      </c>
      <c r="AJ92" s="177">
        <f t="shared" si="119"/>
        <v>3.1474414876271357</v>
      </c>
      <c r="AL92" s="559">
        <f t="shared" si="120"/>
        <v>870</v>
      </c>
      <c r="AM92" s="469">
        <f t="shared" si="121"/>
        <v>350</v>
      </c>
      <c r="AO92">
        <f t="shared" si="148"/>
        <v>870</v>
      </c>
      <c r="AP92">
        <f t="shared" si="122"/>
        <v>350</v>
      </c>
      <c r="AR92" s="5">
        <f t="shared" si="149"/>
        <v>2.8571428571428572</v>
      </c>
      <c r="AS92" s="5">
        <f t="shared" si="123"/>
        <v>1.6095548038717622</v>
      </c>
      <c r="AT92" s="5">
        <f t="shared" si="150"/>
        <v>1.247588053271095</v>
      </c>
      <c r="AU92" s="177">
        <f t="shared" si="151"/>
        <v>0.56334418135511677</v>
      </c>
      <c r="AW92" s="5">
        <f t="shared" si="152"/>
        <v>12.079683950617282</v>
      </c>
      <c r="AX92" s="5">
        <f t="shared" si="124"/>
        <v>33.779702666666658</v>
      </c>
      <c r="AY92" s="5">
        <f t="shared" si="125"/>
        <v>0.85581907298473081</v>
      </c>
      <c r="AZ92" s="5">
        <f t="shared" si="126"/>
        <v>1.6830423169079545</v>
      </c>
      <c r="BA92" s="5">
        <f t="shared" si="127"/>
        <v>1.7010972543899916</v>
      </c>
      <c r="BB92" s="469">
        <f t="shared" si="128"/>
        <v>130.65018881609149</v>
      </c>
      <c r="BC92" s="5"/>
      <c r="BD92" s="177">
        <f t="shared" si="153"/>
        <v>1.4946009940360179</v>
      </c>
      <c r="BE92" s="177">
        <f t="shared" si="129"/>
        <v>1.7675662188715131</v>
      </c>
      <c r="BF92" s="177">
        <f t="shared" si="130"/>
        <v>0.41504244759577935</v>
      </c>
      <c r="BG92" s="177"/>
      <c r="BH92" s="542">
        <f t="shared" si="131"/>
        <v>0.24572153445107978</v>
      </c>
      <c r="BI92" s="542">
        <f t="shared" si="132"/>
        <v>0.2344920154890674</v>
      </c>
      <c r="BJ92" s="542">
        <f t="shared" si="133"/>
        <v>1.7499999999999998E-2</v>
      </c>
      <c r="BK92" s="542">
        <f t="shared" si="134"/>
        <v>0.11885914687500002</v>
      </c>
      <c r="BL92">
        <f t="shared" si="135"/>
        <v>4.3499999999999997E-3</v>
      </c>
      <c r="BM92" s="469">
        <f t="shared" si="154"/>
        <v>620.92269681514722</v>
      </c>
      <c r="BN92" s="177">
        <f t="shared" si="136"/>
        <v>0.78300000000000003</v>
      </c>
      <c r="BO92" s="177">
        <f t="shared" si="137"/>
        <v>0.19575000000000001</v>
      </c>
      <c r="BP92" s="542"/>
      <c r="BR92" s="469">
        <f t="shared" si="155"/>
        <v>978.75</v>
      </c>
      <c r="BS92" s="542">
        <f t="shared" si="138"/>
        <v>0</v>
      </c>
      <c r="BT92" s="542">
        <f t="shared" si="139"/>
        <v>0</v>
      </c>
      <c r="BU92" s="542">
        <f t="shared" si="140"/>
        <v>0</v>
      </c>
      <c r="BV92" s="542">
        <f t="shared" si="141"/>
        <v>0</v>
      </c>
      <c r="BW92" s="647">
        <f t="shared" si="142"/>
        <v>0</v>
      </c>
      <c r="BX92" s="469">
        <f t="shared" si="156"/>
        <v>0</v>
      </c>
      <c r="BY92" s="177">
        <f t="shared" si="157"/>
        <v>1.5996726968151473</v>
      </c>
      <c r="BZ92" s="5">
        <f t="shared" si="158"/>
        <v>14.572500000000002</v>
      </c>
      <c r="CA92" s="177">
        <f t="shared" si="159"/>
        <v>0.90108486182996439</v>
      </c>
      <c r="CB92" s="5">
        <f t="shared" si="160"/>
        <v>90.108486182996444</v>
      </c>
      <c r="CC92">
        <f t="shared" si="161"/>
        <v>87</v>
      </c>
      <c r="CE92" s="576">
        <f t="shared" si="143"/>
        <v>-50</v>
      </c>
      <c r="CF92">
        <f t="shared" si="144"/>
        <v>-50</v>
      </c>
    </row>
    <row r="93" spans="5:84" x14ac:dyDescent="0.25">
      <c r="E93" s="174">
        <v>88</v>
      </c>
      <c r="F93" s="221">
        <f t="shared" si="162"/>
        <v>0.88</v>
      </c>
      <c r="G93" s="221">
        <f t="shared" si="145"/>
        <v>0.22</v>
      </c>
      <c r="H93" s="221">
        <f t="shared" si="98"/>
        <v>13.2</v>
      </c>
      <c r="I93" s="221">
        <f t="shared" si="163"/>
        <v>1.54</v>
      </c>
      <c r="J93" s="555">
        <f t="shared" si="99"/>
        <v>15</v>
      </c>
      <c r="K93" s="451">
        <f t="shared" si="100"/>
        <v>23.85</v>
      </c>
      <c r="L93" s="451">
        <f t="shared" si="101"/>
        <v>38.85</v>
      </c>
      <c r="M93" s="451"/>
      <c r="N93" s="221">
        <f t="shared" si="102"/>
        <v>0.61389961389961389</v>
      </c>
      <c r="O93" s="176">
        <f t="shared" si="146"/>
        <v>16.05988878003803</v>
      </c>
      <c r="P93" s="176">
        <f t="shared" si="103"/>
        <v>1.873653691004437</v>
      </c>
      <c r="Q93" s="221">
        <f t="shared" si="104"/>
        <v>1.0706592520025353</v>
      </c>
      <c r="R93" s="221">
        <f t="shared" si="105"/>
        <v>2.2942698257197187</v>
      </c>
      <c r="S93" s="451">
        <f t="shared" si="106"/>
        <v>15</v>
      </c>
      <c r="T93" s="221">
        <f t="shared" si="107"/>
        <v>3.36988635109787</v>
      </c>
      <c r="U93" s="221">
        <f t="shared" si="108"/>
        <v>1.5726136305123395</v>
      </c>
      <c r="V93" s="221">
        <f t="shared" si="109"/>
        <v>0.98906517642285485</v>
      </c>
      <c r="W93" s="201">
        <f t="shared" si="110"/>
        <v>350</v>
      </c>
      <c r="X93" s="451">
        <f t="shared" si="147"/>
        <v>350</v>
      </c>
      <c r="Z93" s="221">
        <f t="shared" si="111"/>
        <v>3.7585690646915135</v>
      </c>
      <c r="AA93" s="177">
        <f t="shared" si="112"/>
        <v>1.1031439602868174</v>
      </c>
      <c r="AB93" s="177">
        <f t="shared" si="113"/>
        <v>0.97467647041501804</v>
      </c>
      <c r="AC93" s="177"/>
      <c r="AD93" s="177">
        <f t="shared" si="114"/>
        <v>0.24067085953878403</v>
      </c>
      <c r="AE93" s="559">
        <f t="shared" si="115"/>
        <v>6639.0753803008429</v>
      </c>
      <c r="AF93" s="542">
        <f t="shared" si="116"/>
        <v>4.6392002252886505E-2</v>
      </c>
      <c r="AH93" s="177">
        <f t="shared" si="117"/>
        <v>3.4688114767488427</v>
      </c>
      <c r="AI93" s="177">
        <f t="shared" si="118"/>
        <v>3.4688114767488427</v>
      </c>
      <c r="AJ93" s="177">
        <f t="shared" si="119"/>
        <v>3.1620825753695128</v>
      </c>
      <c r="AL93" s="559">
        <f t="shared" si="120"/>
        <v>880</v>
      </c>
      <c r="AM93" s="469">
        <f t="shared" si="121"/>
        <v>350</v>
      </c>
      <c r="AO93">
        <f t="shared" si="148"/>
        <v>880</v>
      </c>
      <c r="AP93">
        <f t="shared" si="122"/>
        <v>350</v>
      </c>
      <c r="AR93" s="5">
        <f t="shared" si="149"/>
        <v>2.8571428571428572</v>
      </c>
      <c r="AS93" s="5">
        <f t="shared" si="123"/>
        <v>1.61877868914946</v>
      </c>
      <c r="AT93" s="5">
        <f t="shared" si="150"/>
        <v>1.2383641679933972</v>
      </c>
      <c r="AU93" s="177">
        <f t="shared" si="151"/>
        <v>0.56657254120231093</v>
      </c>
      <c r="AW93" s="5">
        <f t="shared" si="152"/>
        <v>12.079683950617282</v>
      </c>
      <c r="AX93" s="5">
        <f t="shared" si="124"/>
        <v>34.530365629629621</v>
      </c>
      <c r="AY93" s="5">
        <f t="shared" si="125"/>
        <v>0.85581907298473081</v>
      </c>
      <c r="AZ93" s="5">
        <f t="shared" si="126"/>
        <v>1.7143690979171886</v>
      </c>
      <c r="BA93" s="5">
        <f t="shared" si="127"/>
        <v>1.7079286864301917</v>
      </c>
      <c r="BB93" s="469">
        <f t="shared" si="128"/>
        <v>131.19780937700119</v>
      </c>
      <c r="BC93" s="5"/>
      <c r="BD93" s="177">
        <f t="shared" si="153"/>
        <v>1.5074670612547088</v>
      </c>
      <c r="BE93" s="177">
        <f t="shared" si="129"/>
        <v>1.7711118450114258</v>
      </c>
      <c r="BF93" s="177">
        <f t="shared" si="130"/>
        <v>0.41587499651850568</v>
      </c>
      <c r="BG93" s="177"/>
      <c r="BH93" s="542">
        <f t="shared" si="131"/>
        <v>0.24997026348446985</v>
      </c>
      <c r="BI93" s="542">
        <f t="shared" si="132"/>
        <v>0.23583582027546202</v>
      </c>
      <c r="BJ93" s="542">
        <f t="shared" si="133"/>
        <v>1.7499999999999998E-2</v>
      </c>
      <c r="BK93" s="542">
        <f t="shared" si="134"/>
        <v>0.11885914687500002</v>
      </c>
      <c r="BL93">
        <f t="shared" si="135"/>
        <v>4.3499999999999997E-3</v>
      </c>
      <c r="BM93" s="469">
        <f t="shared" si="154"/>
        <v>626.51523063493175</v>
      </c>
      <c r="BN93" s="177">
        <f t="shared" si="136"/>
        <v>0.79200000000000004</v>
      </c>
      <c r="BO93" s="177">
        <f t="shared" si="137"/>
        <v>0.19800000000000001</v>
      </c>
      <c r="BP93" s="542"/>
      <c r="BR93" s="469">
        <f t="shared" si="155"/>
        <v>990</v>
      </c>
      <c r="BS93" s="542">
        <f t="shared" si="138"/>
        <v>0</v>
      </c>
      <c r="BT93" s="542">
        <f t="shared" si="139"/>
        <v>0</v>
      </c>
      <c r="BU93" s="542">
        <f t="shared" si="140"/>
        <v>0</v>
      </c>
      <c r="BV93" s="542">
        <f t="shared" si="141"/>
        <v>0</v>
      </c>
      <c r="BW93" s="647">
        <f t="shared" si="142"/>
        <v>0</v>
      </c>
      <c r="BX93" s="469">
        <f t="shared" si="156"/>
        <v>0</v>
      </c>
      <c r="BY93" s="177">
        <f t="shared" si="157"/>
        <v>1.6165152306349317</v>
      </c>
      <c r="BZ93" s="5">
        <f t="shared" si="158"/>
        <v>14.739999999999998</v>
      </c>
      <c r="CA93" s="177">
        <f t="shared" si="159"/>
        <v>0.90116994923177285</v>
      </c>
      <c r="CB93" s="5">
        <f t="shared" si="160"/>
        <v>90.116994923177288</v>
      </c>
      <c r="CC93">
        <f t="shared" si="161"/>
        <v>88</v>
      </c>
      <c r="CE93" s="576">
        <f t="shared" si="143"/>
        <v>-50</v>
      </c>
      <c r="CF93">
        <f t="shared" si="144"/>
        <v>-50</v>
      </c>
    </row>
    <row r="94" spans="5:84" x14ac:dyDescent="0.25">
      <c r="E94" s="174">
        <v>89</v>
      </c>
      <c r="F94" s="221">
        <f t="shared" si="162"/>
        <v>0.89</v>
      </c>
      <c r="G94" s="221">
        <f t="shared" si="145"/>
        <v>0.2225</v>
      </c>
      <c r="H94" s="221">
        <f t="shared" si="98"/>
        <v>13.35</v>
      </c>
      <c r="I94" s="221">
        <f t="shared" si="163"/>
        <v>1.5575000000000001</v>
      </c>
      <c r="J94" s="555">
        <f t="shared" si="99"/>
        <v>15</v>
      </c>
      <c r="K94" s="451">
        <f t="shared" si="100"/>
        <v>23.85</v>
      </c>
      <c r="L94" s="451">
        <f t="shared" si="101"/>
        <v>38.85</v>
      </c>
      <c r="M94" s="451"/>
      <c r="N94" s="221">
        <f t="shared" si="102"/>
        <v>0.61389961389961389</v>
      </c>
      <c r="O94" s="176">
        <f t="shared" si="146"/>
        <v>16.05988878003803</v>
      </c>
      <c r="P94" s="176">
        <f t="shared" si="103"/>
        <v>1.873653691004437</v>
      </c>
      <c r="Q94" s="221">
        <f t="shared" si="104"/>
        <v>1.0706592520025353</v>
      </c>
      <c r="R94" s="221">
        <f t="shared" si="105"/>
        <v>2.2942698257197187</v>
      </c>
      <c r="S94" s="451">
        <f t="shared" si="106"/>
        <v>15</v>
      </c>
      <c r="T94" s="221">
        <f t="shared" si="107"/>
        <v>3.408180514178528</v>
      </c>
      <c r="U94" s="221">
        <f t="shared" si="108"/>
        <v>1.5904842399499799</v>
      </c>
      <c r="V94" s="221">
        <f t="shared" si="109"/>
        <v>1.0003045534276602</v>
      </c>
      <c r="W94" s="201">
        <f t="shared" si="110"/>
        <v>350</v>
      </c>
      <c r="X94" s="451">
        <f t="shared" si="147"/>
        <v>350</v>
      </c>
      <c r="Z94" s="221">
        <f t="shared" si="111"/>
        <v>3.7585690646915135</v>
      </c>
      <c r="AA94" s="177">
        <f t="shared" si="112"/>
        <v>1.1031439602868174</v>
      </c>
      <c r="AB94" s="177">
        <f t="shared" si="113"/>
        <v>0.97467647041501804</v>
      </c>
      <c r="AC94" s="177"/>
      <c r="AD94" s="177">
        <f t="shared" si="114"/>
        <v>0.24067085953878403</v>
      </c>
      <c r="AE94" s="559">
        <f t="shared" si="115"/>
        <v>6714.519418713352</v>
      </c>
      <c r="AF94" s="542">
        <f t="shared" si="116"/>
        <v>4.6392002252886505E-2</v>
      </c>
      <c r="AH94" s="177">
        <f t="shared" si="117"/>
        <v>3.4884649568401915</v>
      </c>
      <c r="AI94" s="177">
        <f t="shared" si="118"/>
        <v>3.4884649568401915</v>
      </c>
      <c r="AJ94" s="177">
        <f t="shared" si="119"/>
        <v>3.1766407087705124</v>
      </c>
      <c r="AL94" s="559">
        <f t="shared" si="120"/>
        <v>890</v>
      </c>
      <c r="AM94" s="469">
        <f t="shared" si="121"/>
        <v>350</v>
      </c>
      <c r="AO94">
        <f t="shared" si="148"/>
        <v>890</v>
      </c>
      <c r="AP94">
        <f t="shared" si="122"/>
        <v>350</v>
      </c>
      <c r="AR94" s="5">
        <f t="shared" si="149"/>
        <v>2.8571428571428572</v>
      </c>
      <c r="AS94" s="5">
        <f t="shared" si="123"/>
        <v>1.6279503131920894</v>
      </c>
      <c r="AT94" s="5">
        <f t="shared" si="150"/>
        <v>1.2291925439507678</v>
      </c>
      <c r="AU94" s="177">
        <f t="shared" si="151"/>
        <v>0.56978260961723126</v>
      </c>
      <c r="AW94" s="5">
        <f t="shared" si="152"/>
        <v>12.079683950617282</v>
      </c>
      <c r="AX94" s="5">
        <f t="shared" si="124"/>
        <v>35.289264740740741</v>
      </c>
      <c r="AY94" s="5">
        <f t="shared" si="125"/>
        <v>0.85581907298473081</v>
      </c>
      <c r="AZ94" s="5">
        <f t="shared" si="126"/>
        <v>1.7459681849950994</v>
      </c>
      <c r="BA94" s="5">
        <f t="shared" si="127"/>
        <v>1.7145438922990477</v>
      </c>
      <c r="BB94" s="469">
        <f t="shared" si="128"/>
        <v>131.72921297506014</v>
      </c>
      <c r="BC94" s="5"/>
      <c r="BD94" s="177">
        <f t="shared" si="153"/>
        <v>1.5202966281339112</v>
      </c>
      <c r="BE94" s="177">
        <f t="shared" si="129"/>
        <v>1.7745384946490019</v>
      </c>
      <c r="BF94" s="177">
        <f t="shared" si="130"/>
        <v>0.41667960855365799</v>
      </c>
      <c r="BG94" s="177"/>
      <c r="BH94" s="542">
        <f t="shared" si="131"/>
        <v>0.25424320212668738</v>
      </c>
      <c r="BI94" s="542">
        <f t="shared" si="132"/>
        <v>0.23717201125317253</v>
      </c>
      <c r="BJ94" s="542">
        <f t="shared" si="133"/>
        <v>1.7499999999999998E-2</v>
      </c>
      <c r="BK94" s="542">
        <f t="shared" si="134"/>
        <v>0.11885914687500002</v>
      </c>
      <c r="BL94">
        <f t="shared" si="135"/>
        <v>4.3499999999999997E-3</v>
      </c>
      <c r="BM94" s="469">
        <f t="shared" si="154"/>
        <v>632.12436025485988</v>
      </c>
      <c r="BN94" s="177">
        <f t="shared" si="136"/>
        <v>0.80100000000000005</v>
      </c>
      <c r="BO94" s="177">
        <f t="shared" si="137"/>
        <v>0.20025000000000001</v>
      </c>
      <c r="BP94" s="542"/>
      <c r="BR94" s="469">
        <f t="shared" si="155"/>
        <v>1001.25</v>
      </c>
      <c r="BS94" s="542">
        <f t="shared" si="138"/>
        <v>0</v>
      </c>
      <c r="BT94" s="542">
        <f t="shared" si="139"/>
        <v>0</v>
      </c>
      <c r="BU94" s="542">
        <f t="shared" si="140"/>
        <v>0</v>
      </c>
      <c r="BV94" s="542">
        <f t="shared" si="141"/>
        <v>0</v>
      </c>
      <c r="BW94" s="647">
        <f t="shared" si="142"/>
        <v>0</v>
      </c>
      <c r="BX94" s="469">
        <f t="shared" si="156"/>
        <v>0</v>
      </c>
      <c r="BY94" s="177">
        <f t="shared" si="157"/>
        <v>1.63337436025486</v>
      </c>
      <c r="BZ94" s="5">
        <f t="shared" si="158"/>
        <v>14.907499999999999</v>
      </c>
      <c r="CA94" s="177">
        <f t="shared" si="159"/>
        <v>0.90125223584433944</v>
      </c>
      <c r="CB94" s="5">
        <f t="shared" si="160"/>
        <v>90.12522358443394</v>
      </c>
      <c r="CC94">
        <f t="shared" si="161"/>
        <v>89</v>
      </c>
      <c r="CE94" s="576">
        <f t="shared" si="143"/>
        <v>-50</v>
      </c>
      <c r="CF94">
        <f t="shared" si="144"/>
        <v>-50</v>
      </c>
    </row>
    <row r="95" spans="5:84" x14ac:dyDescent="0.25">
      <c r="E95" s="174">
        <v>90</v>
      </c>
      <c r="F95" s="221">
        <f t="shared" si="162"/>
        <v>0.9</v>
      </c>
      <c r="G95" s="221">
        <f t="shared" si="145"/>
        <v>0.22500000000000001</v>
      </c>
      <c r="H95" s="221">
        <f t="shared" si="98"/>
        <v>13.5</v>
      </c>
      <c r="I95" s="221">
        <f t="shared" si="163"/>
        <v>1.575</v>
      </c>
      <c r="J95" s="555">
        <f t="shared" si="99"/>
        <v>15</v>
      </c>
      <c r="K95" s="451">
        <f t="shared" si="100"/>
        <v>23.85</v>
      </c>
      <c r="L95" s="451">
        <f t="shared" si="101"/>
        <v>38.85</v>
      </c>
      <c r="M95" s="451"/>
      <c r="N95" s="221">
        <f t="shared" si="102"/>
        <v>0.61389961389961389</v>
      </c>
      <c r="O95" s="176">
        <f t="shared" si="146"/>
        <v>16.05988878003803</v>
      </c>
      <c r="P95" s="176">
        <f t="shared" si="103"/>
        <v>1.873653691004437</v>
      </c>
      <c r="Q95" s="221">
        <f t="shared" si="104"/>
        <v>1.0706592520025353</v>
      </c>
      <c r="R95" s="221">
        <f t="shared" si="105"/>
        <v>2.2942698257197187</v>
      </c>
      <c r="S95" s="451">
        <f t="shared" si="106"/>
        <v>15</v>
      </c>
      <c r="T95" s="221">
        <f t="shared" si="107"/>
        <v>3.4464746772591859</v>
      </c>
      <c r="U95" s="221">
        <f t="shared" si="108"/>
        <v>1.6083548493876203</v>
      </c>
      <c r="V95" s="221">
        <f t="shared" si="109"/>
        <v>1.0115439304324654</v>
      </c>
      <c r="W95" s="201">
        <f t="shared" si="110"/>
        <v>350</v>
      </c>
      <c r="X95" s="451">
        <f t="shared" si="147"/>
        <v>350</v>
      </c>
      <c r="Z95" s="221">
        <f t="shared" si="111"/>
        <v>3.7585690646915135</v>
      </c>
      <c r="AA95" s="177">
        <f t="shared" si="112"/>
        <v>1.1031439602868174</v>
      </c>
      <c r="AB95" s="177">
        <f t="shared" si="113"/>
        <v>0.97467647041501804</v>
      </c>
      <c r="AC95" s="177"/>
      <c r="AD95" s="177">
        <f t="shared" si="114"/>
        <v>0.24067085953878403</v>
      </c>
      <c r="AE95" s="559">
        <f t="shared" si="115"/>
        <v>6789.9634571258621</v>
      </c>
      <c r="AF95" s="542">
        <f t="shared" si="116"/>
        <v>4.6392002252886505E-2</v>
      </c>
      <c r="AH95" s="177">
        <f t="shared" si="117"/>
        <v>3.5080083308024781</v>
      </c>
      <c r="AI95" s="177">
        <f t="shared" si="118"/>
        <v>3.5080083308024781</v>
      </c>
      <c r="AJ95" s="177">
        <f t="shared" si="119"/>
        <v>3.1911172820759099</v>
      </c>
      <c r="AL95" s="559">
        <f t="shared" si="120"/>
        <v>900</v>
      </c>
      <c r="AM95" s="469">
        <f t="shared" si="121"/>
        <v>350</v>
      </c>
      <c r="AO95">
        <f t="shared" si="148"/>
        <v>900</v>
      </c>
      <c r="AP95">
        <f t="shared" si="122"/>
        <v>350</v>
      </c>
      <c r="AR95" s="5">
        <f t="shared" si="149"/>
        <v>2.8571428571428572</v>
      </c>
      <c r="AS95" s="5">
        <f t="shared" si="123"/>
        <v>1.6370705543744897</v>
      </c>
      <c r="AT95" s="5">
        <f t="shared" si="150"/>
        <v>1.2200723027683675</v>
      </c>
      <c r="AU95" s="177">
        <f t="shared" si="151"/>
        <v>0.57297469403107137</v>
      </c>
      <c r="AW95" s="5">
        <f t="shared" si="152"/>
        <v>12.079683950617282</v>
      </c>
      <c r="AX95" s="5">
        <f t="shared" si="124"/>
        <v>36.056399999999996</v>
      </c>
      <c r="AY95" s="5">
        <f t="shared" si="125"/>
        <v>0.85581907298473081</v>
      </c>
      <c r="AZ95" s="5">
        <f t="shared" si="126"/>
        <v>1.7778395781416874</v>
      </c>
      <c r="BA95" s="5">
        <f t="shared" si="127"/>
        <v>1.7209440902206445</v>
      </c>
      <c r="BB95" s="469">
        <f t="shared" si="128"/>
        <v>132.24449097707466</v>
      </c>
      <c r="BC95" s="5"/>
      <c r="BD95" s="177">
        <f t="shared" si="153"/>
        <v>1.5330902066211431</v>
      </c>
      <c r="BE95" s="177">
        <f t="shared" si="129"/>
        <v>1.777847484988426</v>
      </c>
      <c r="BF95" s="177">
        <f t="shared" si="130"/>
        <v>0.4174565929941178</v>
      </c>
      <c r="BG95" s="177"/>
      <c r="BH95" s="542">
        <f t="shared" si="131"/>
        <v>0.25854021398014254</v>
      </c>
      <c r="BI95" s="542">
        <f t="shared" si="132"/>
        <v>0.23850071639043355</v>
      </c>
      <c r="BJ95" s="542">
        <f t="shared" si="133"/>
        <v>1.7499999999999998E-2</v>
      </c>
      <c r="BK95" s="542">
        <f t="shared" si="134"/>
        <v>0.11885914687500002</v>
      </c>
      <c r="BL95">
        <f t="shared" si="135"/>
        <v>4.3499999999999997E-3</v>
      </c>
      <c r="BM95" s="469">
        <f t="shared" si="154"/>
        <v>637.75007724557599</v>
      </c>
      <c r="BN95" s="177">
        <f t="shared" si="136"/>
        <v>0.81</v>
      </c>
      <c r="BO95" s="177">
        <f t="shared" si="137"/>
        <v>0.20250000000000001</v>
      </c>
      <c r="BP95" s="542"/>
      <c r="BR95" s="469">
        <f t="shared" si="155"/>
        <v>1012.5000000000002</v>
      </c>
      <c r="BS95" s="542">
        <f t="shared" si="138"/>
        <v>0</v>
      </c>
      <c r="BT95" s="542">
        <f t="shared" si="139"/>
        <v>0</v>
      </c>
      <c r="BU95" s="542">
        <f t="shared" si="140"/>
        <v>0</v>
      </c>
      <c r="BV95" s="542">
        <f t="shared" si="141"/>
        <v>0</v>
      </c>
      <c r="BW95" s="647">
        <f t="shared" si="142"/>
        <v>0</v>
      </c>
      <c r="BX95" s="469">
        <f t="shared" si="156"/>
        <v>0</v>
      </c>
      <c r="BY95" s="177">
        <f t="shared" si="157"/>
        <v>1.6502500772455759</v>
      </c>
      <c r="BZ95" s="5">
        <f t="shared" si="158"/>
        <v>15.074999999999999</v>
      </c>
      <c r="CA95" s="177">
        <f t="shared" si="159"/>
        <v>0.90133181449461763</v>
      </c>
      <c r="CB95" s="5">
        <f t="shared" si="160"/>
        <v>90.133181449461759</v>
      </c>
      <c r="CC95">
        <f t="shared" si="161"/>
        <v>90</v>
      </c>
      <c r="CE95" s="576">
        <f t="shared" si="143"/>
        <v>-50</v>
      </c>
      <c r="CF95">
        <f t="shared" si="144"/>
        <v>-50</v>
      </c>
    </row>
    <row r="96" spans="5:84" x14ac:dyDescent="0.25">
      <c r="E96" s="174">
        <v>91</v>
      </c>
      <c r="F96" s="221">
        <f t="shared" si="162"/>
        <v>0.91</v>
      </c>
      <c r="G96" s="221">
        <f t="shared" si="145"/>
        <v>0.22750000000000001</v>
      </c>
      <c r="H96" s="221">
        <f t="shared" si="98"/>
        <v>13.65</v>
      </c>
      <c r="I96" s="221">
        <f t="shared" si="163"/>
        <v>1.5925</v>
      </c>
      <c r="J96" s="555">
        <f t="shared" si="99"/>
        <v>15</v>
      </c>
      <c r="K96" s="451">
        <f t="shared" si="100"/>
        <v>23.85</v>
      </c>
      <c r="L96" s="451">
        <f t="shared" si="101"/>
        <v>38.85</v>
      </c>
      <c r="M96" s="451"/>
      <c r="N96" s="221">
        <f t="shared" si="102"/>
        <v>0.61389961389961389</v>
      </c>
      <c r="O96" s="176">
        <f t="shared" si="146"/>
        <v>16.05988878003803</v>
      </c>
      <c r="P96" s="176">
        <f t="shared" si="103"/>
        <v>1.873653691004437</v>
      </c>
      <c r="Q96" s="221">
        <f t="shared" si="104"/>
        <v>1.0706592520025353</v>
      </c>
      <c r="R96" s="221">
        <f t="shared" si="105"/>
        <v>2.2942698257197187</v>
      </c>
      <c r="S96" s="451">
        <f t="shared" si="106"/>
        <v>15</v>
      </c>
      <c r="T96" s="221">
        <f t="shared" si="107"/>
        <v>3.4847688403398434</v>
      </c>
      <c r="U96" s="221">
        <f t="shared" si="108"/>
        <v>1.6262254588252603</v>
      </c>
      <c r="V96" s="221">
        <f t="shared" si="109"/>
        <v>1.0227833074372705</v>
      </c>
      <c r="W96" s="201">
        <f t="shared" si="110"/>
        <v>350</v>
      </c>
      <c r="X96" s="451">
        <f t="shared" si="147"/>
        <v>350</v>
      </c>
      <c r="Z96" s="221">
        <f t="shared" si="111"/>
        <v>3.7585690646915135</v>
      </c>
      <c r="AA96" s="177">
        <f t="shared" si="112"/>
        <v>1.1031439602868174</v>
      </c>
      <c r="AB96" s="177">
        <f t="shared" si="113"/>
        <v>0.97467647041501804</v>
      </c>
      <c r="AC96" s="177"/>
      <c r="AD96" s="177">
        <f t="shared" si="114"/>
        <v>0.24067085953878403</v>
      </c>
      <c r="AE96" s="559">
        <f t="shared" si="115"/>
        <v>6865.4074955383712</v>
      </c>
      <c r="AF96" s="542">
        <f t="shared" si="116"/>
        <v>4.6392002252886505E-2</v>
      </c>
      <c r="AH96" s="177">
        <f t="shared" si="117"/>
        <v>3.5274434287252774</v>
      </c>
      <c r="AI96" s="177">
        <f t="shared" si="118"/>
        <v>3.5274434287252774</v>
      </c>
      <c r="AJ96" s="177">
        <f t="shared" si="119"/>
        <v>3.205513650907613</v>
      </c>
      <c r="AL96" s="559">
        <f t="shared" si="120"/>
        <v>910</v>
      </c>
      <c r="AM96" s="469">
        <f t="shared" si="121"/>
        <v>350</v>
      </c>
      <c r="AO96">
        <f t="shared" si="148"/>
        <v>910</v>
      </c>
      <c r="AP96">
        <f t="shared" si="122"/>
        <v>350</v>
      </c>
      <c r="AR96" s="5">
        <f t="shared" si="149"/>
        <v>2.8571428571428572</v>
      </c>
      <c r="AS96" s="5">
        <f t="shared" si="123"/>
        <v>1.6461402667384628</v>
      </c>
      <c r="AT96" s="5">
        <f t="shared" si="150"/>
        <v>1.2110025904043944</v>
      </c>
      <c r="AU96" s="177">
        <f t="shared" si="151"/>
        <v>0.57614909335846198</v>
      </c>
      <c r="AW96" s="5">
        <f t="shared" si="152"/>
        <v>12.079683950617282</v>
      </c>
      <c r="AX96" s="5">
        <f t="shared" si="124"/>
        <v>36.831771407407395</v>
      </c>
      <c r="AY96" s="5">
        <f t="shared" si="125"/>
        <v>0.85581907298473081</v>
      </c>
      <c r="AZ96" s="5">
        <f t="shared" si="126"/>
        <v>1.809983277356952</v>
      </c>
      <c r="BA96" s="5">
        <f t="shared" si="127"/>
        <v>1.7271304780574486</v>
      </c>
      <c r="BB96" s="469">
        <f t="shared" si="128"/>
        <v>132.7437332227297</v>
      </c>
      <c r="BC96" s="5"/>
      <c r="BD96" s="177">
        <f t="shared" si="153"/>
        <v>1.5458482958822322</v>
      </c>
      <c r="BE96" s="177">
        <f t="shared" si="129"/>
        <v>1.781040089452895</v>
      </c>
      <c r="BF96" s="177">
        <f t="shared" si="130"/>
        <v>0.41820624885254692</v>
      </c>
      <c r="BG96" s="177"/>
      <c r="BH96" s="542">
        <f t="shared" si="131"/>
        <v>0.26286116492702016</v>
      </c>
      <c r="BI96" s="542">
        <f t="shared" si="132"/>
        <v>0.23982206011045978</v>
      </c>
      <c r="BJ96" s="542">
        <f t="shared" si="133"/>
        <v>1.7499999999999998E-2</v>
      </c>
      <c r="BK96" s="542">
        <f t="shared" si="134"/>
        <v>0.11885914687500002</v>
      </c>
      <c r="BL96">
        <f t="shared" si="135"/>
        <v>4.3499999999999997E-3</v>
      </c>
      <c r="BM96" s="469">
        <f t="shared" si="154"/>
        <v>643.39237191247992</v>
      </c>
      <c r="BN96" s="177">
        <f t="shared" si="136"/>
        <v>0.81900000000000006</v>
      </c>
      <c r="BO96" s="177">
        <f t="shared" si="137"/>
        <v>0.20475000000000002</v>
      </c>
      <c r="BP96" s="542"/>
      <c r="BR96" s="469">
        <f t="shared" si="155"/>
        <v>1023.7500000000001</v>
      </c>
      <c r="BS96" s="542">
        <f t="shared" si="138"/>
        <v>0</v>
      </c>
      <c r="BT96" s="542">
        <f t="shared" si="139"/>
        <v>0</v>
      </c>
      <c r="BU96" s="542">
        <f t="shared" si="140"/>
        <v>0</v>
      </c>
      <c r="BV96" s="542">
        <f t="shared" si="141"/>
        <v>0</v>
      </c>
      <c r="BW96" s="647">
        <f t="shared" si="142"/>
        <v>0</v>
      </c>
      <c r="BX96" s="469">
        <f t="shared" si="156"/>
        <v>0</v>
      </c>
      <c r="BY96" s="177">
        <f t="shared" si="157"/>
        <v>1.6671423719124798</v>
      </c>
      <c r="BZ96" s="5">
        <f t="shared" si="158"/>
        <v>15.2425</v>
      </c>
      <c r="CA96" s="177">
        <f t="shared" si="159"/>
        <v>0.90140877404470343</v>
      </c>
      <c r="CB96" s="5">
        <f t="shared" si="160"/>
        <v>90.140877404470345</v>
      </c>
      <c r="CC96">
        <f t="shared" si="161"/>
        <v>91</v>
      </c>
      <c r="CE96" s="576">
        <f t="shared" si="143"/>
        <v>-50</v>
      </c>
      <c r="CF96">
        <f t="shared" si="144"/>
        <v>-50</v>
      </c>
    </row>
    <row r="97" spans="5:84" x14ac:dyDescent="0.25">
      <c r="E97" s="174">
        <v>92</v>
      </c>
      <c r="F97" s="221">
        <f t="shared" si="162"/>
        <v>0.92</v>
      </c>
      <c r="G97" s="221">
        <f t="shared" si="145"/>
        <v>0.23</v>
      </c>
      <c r="H97" s="221">
        <f t="shared" si="98"/>
        <v>13.8</v>
      </c>
      <c r="I97" s="221">
        <f t="shared" si="163"/>
        <v>1.61</v>
      </c>
      <c r="J97" s="555">
        <f t="shared" si="99"/>
        <v>15</v>
      </c>
      <c r="K97" s="451">
        <f t="shared" si="100"/>
        <v>23.85</v>
      </c>
      <c r="L97" s="451">
        <f t="shared" si="101"/>
        <v>38.85</v>
      </c>
      <c r="M97" s="451"/>
      <c r="N97" s="221">
        <f t="shared" si="102"/>
        <v>0.61389961389961389</v>
      </c>
      <c r="O97" s="176">
        <f t="shared" si="146"/>
        <v>16.05988878003803</v>
      </c>
      <c r="P97" s="176">
        <f t="shared" si="103"/>
        <v>1.873653691004437</v>
      </c>
      <c r="Q97" s="221">
        <f t="shared" si="104"/>
        <v>1.0706592520025353</v>
      </c>
      <c r="R97" s="221">
        <f t="shared" si="105"/>
        <v>2.2942698257197187</v>
      </c>
      <c r="S97" s="451">
        <f t="shared" si="106"/>
        <v>15</v>
      </c>
      <c r="T97" s="221">
        <f t="shared" si="107"/>
        <v>3.5230630034205013</v>
      </c>
      <c r="U97" s="221">
        <f t="shared" si="108"/>
        <v>1.6440960682629007</v>
      </c>
      <c r="V97" s="221">
        <f t="shared" si="109"/>
        <v>1.0340226844420759</v>
      </c>
      <c r="W97" s="201">
        <f t="shared" si="110"/>
        <v>350</v>
      </c>
      <c r="X97" s="451">
        <f t="shared" si="147"/>
        <v>350</v>
      </c>
      <c r="Z97" s="221">
        <f t="shared" si="111"/>
        <v>3.7585690646915135</v>
      </c>
      <c r="AA97" s="177">
        <f t="shared" si="112"/>
        <v>1.1031439602868174</v>
      </c>
      <c r="AB97" s="177">
        <f t="shared" si="113"/>
        <v>0.97467647041501804</v>
      </c>
      <c r="AC97" s="177"/>
      <c r="AD97" s="177">
        <f t="shared" si="114"/>
        <v>0.24067085953878403</v>
      </c>
      <c r="AE97" s="559">
        <f t="shared" si="115"/>
        <v>6940.8515339508822</v>
      </c>
      <c r="AF97" s="542">
        <f t="shared" si="116"/>
        <v>4.6392002252886505E-2</v>
      </c>
      <c r="AH97" s="177">
        <f t="shared" si="117"/>
        <v>3.5467720305560508</v>
      </c>
      <c r="AI97" s="177">
        <f t="shared" si="118"/>
        <v>3.5467720305560508</v>
      </c>
      <c r="AJ97" s="177">
        <f t="shared" si="119"/>
        <v>3.219831133745223</v>
      </c>
      <c r="AL97" s="559">
        <f t="shared" si="120"/>
        <v>920</v>
      </c>
      <c r="AM97" s="469">
        <f t="shared" si="121"/>
        <v>350</v>
      </c>
      <c r="AO97">
        <f t="shared" si="148"/>
        <v>920</v>
      </c>
      <c r="AP97">
        <f t="shared" si="122"/>
        <v>350</v>
      </c>
      <c r="AR97" s="5">
        <f t="shared" si="149"/>
        <v>2.8571428571428572</v>
      </c>
      <c r="AS97" s="5">
        <f t="shared" si="123"/>
        <v>1.655160280926157</v>
      </c>
      <c r="AT97" s="5">
        <f t="shared" si="150"/>
        <v>1.2019825762167002</v>
      </c>
      <c r="AU97" s="177">
        <f t="shared" si="151"/>
        <v>0.57930609832415492</v>
      </c>
      <c r="AW97" s="5">
        <f t="shared" si="152"/>
        <v>12.079683950617282</v>
      </c>
      <c r="AX97" s="5">
        <f t="shared" si="124"/>
        <v>37.615378962962957</v>
      </c>
      <c r="AY97" s="5">
        <f t="shared" si="125"/>
        <v>0.85581907298473081</v>
      </c>
      <c r="AZ97" s="5">
        <f t="shared" si="126"/>
        <v>1.8423992826408941</v>
      </c>
      <c r="BA97" s="5">
        <f t="shared" si="127"/>
        <v>1.7331042338712848</v>
      </c>
      <c r="BB97" s="469">
        <f t="shared" si="128"/>
        <v>133.22702806666214</v>
      </c>
      <c r="BC97" s="5"/>
      <c r="BD97" s="177">
        <f t="shared" si="153"/>
        <v>1.5585713827572099</v>
      </c>
      <c r="BE97" s="177">
        <f t="shared" si="129"/>
        <v>1.784117539214773</v>
      </c>
      <c r="BF97" s="177">
        <f t="shared" si="130"/>
        <v>0.41892886522068401</v>
      </c>
      <c r="BG97" s="177"/>
      <c r="BH97" s="542">
        <f t="shared" si="131"/>
        <v>0.26720592306646929</v>
      </c>
      <c r="BI97" s="542">
        <f t="shared" si="132"/>
        <v>0.2411361634274295</v>
      </c>
      <c r="BJ97" s="542">
        <f t="shared" si="133"/>
        <v>1.7499999999999998E-2</v>
      </c>
      <c r="BK97" s="542">
        <f t="shared" si="134"/>
        <v>0.11885914687500002</v>
      </c>
      <c r="BL97">
        <f t="shared" si="135"/>
        <v>4.3499999999999997E-3</v>
      </c>
      <c r="BM97" s="469">
        <f t="shared" si="154"/>
        <v>649.05123336889869</v>
      </c>
      <c r="BN97" s="177">
        <f t="shared" si="136"/>
        <v>0.82800000000000007</v>
      </c>
      <c r="BO97" s="177">
        <f t="shared" si="137"/>
        <v>0.20700000000000002</v>
      </c>
      <c r="BP97" s="542"/>
      <c r="BR97" s="469">
        <f t="shared" si="155"/>
        <v>1035.0000000000002</v>
      </c>
      <c r="BS97" s="542">
        <f t="shared" si="138"/>
        <v>0</v>
      </c>
      <c r="BT97" s="542">
        <f t="shared" si="139"/>
        <v>0</v>
      </c>
      <c r="BU97" s="542">
        <f t="shared" si="140"/>
        <v>0</v>
      </c>
      <c r="BV97" s="542">
        <f t="shared" si="141"/>
        <v>0</v>
      </c>
      <c r="BW97" s="647">
        <f t="shared" si="142"/>
        <v>0</v>
      </c>
      <c r="BX97" s="469">
        <f t="shared" si="156"/>
        <v>0</v>
      </c>
      <c r="BY97" s="177">
        <f t="shared" si="157"/>
        <v>1.6840512333688988</v>
      </c>
      <c r="BZ97" s="5">
        <f t="shared" si="158"/>
        <v>15.41</v>
      </c>
      <c r="CA97" s="177">
        <f t="shared" si="159"/>
        <v>0.90148319960095236</v>
      </c>
      <c r="CB97" s="5">
        <f t="shared" si="160"/>
        <v>90.148319960095236</v>
      </c>
      <c r="CC97">
        <f t="shared" si="161"/>
        <v>92</v>
      </c>
      <c r="CE97" s="576">
        <f t="shared" si="143"/>
        <v>-50</v>
      </c>
      <c r="CF97">
        <f t="shared" si="144"/>
        <v>-50</v>
      </c>
    </row>
    <row r="98" spans="5:84" x14ac:dyDescent="0.25">
      <c r="E98" s="174">
        <v>93</v>
      </c>
      <c r="F98" s="221">
        <f t="shared" si="162"/>
        <v>0.93</v>
      </c>
      <c r="G98" s="221">
        <f t="shared" si="145"/>
        <v>0.23250000000000001</v>
      </c>
      <c r="H98" s="221">
        <f t="shared" si="98"/>
        <v>13.950000000000001</v>
      </c>
      <c r="I98" s="221">
        <f t="shared" si="163"/>
        <v>1.6275000000000002</v>
      </c>
      <c r="J98" s="555">
        <f t="shared" si="99"/>
        <v>15</v>
      </c>
      <c r="K98" s="451">
        <f t="shared" si="100"/>
        <v>23.85</v>
      </c>
      <c r="L98" s="451">
        <f t="shared" si="101"/>
        <v>38.85</v>
      </c>
      <c r="M98" s="451"/>
      <c r="N98" s="221">
        <f t="shared" si="102"/>
        <v>0.61389961389961389</v>
      </c>
      <c r="O98" s="176">
        <f t="shared" si="146"/>
        <v>16.05988878003803</v>
      </c>
      <c r="P98" s="176">
        <f t="shared" si="103"/>
        <v>1.873653691004437</v>
      </c>
      <c r="Q98" s="221">
        <f t="shared" si="104"/>
        <v>1.0706592520025353</v>
      </c>
      <c r="R98" s="221">
        <f t="shared" si="105"/>
        <v>2.2942698257197187</v>
      </c>
      <c r="S98" s="451">
        <f t="shared" si="106"/>
        <v>15</v>
      </c>
      <c r="T98" s="221">
        <f t="shared" si="107"/>
        <v>3.5613571665011587</v>
      </c>
      <c r="U98" s="221">
        <f t="shared" si="108"/>
        <v>1.6619666777005406</v>
      </c>
      <c r="V98" s="221">
        <f t="shared" si="109"/>
        <v>1.0452620614468808</v>
      </c>
      <c r="W98" s="201">
        <f t="shared" si="110"/>
        <v>350</v>
      </c>
      <c r="X98" s="451">
        <f t="shared" si="147"/>
        <v>350</v>
      </c>
      <c r="Z98" s="221">
        <f t="shared" si="111"/>
        <v>3.7585690646915135</v>
      </c>
      <c r="AA98" s="177">
        <f t="shared" si="112"/>
        <v>1.1031439602868174</v>
      </c>
      <c r="AB98" s="177">
        <f t="shared" si="113"/>
        <v>0.97467647041501804</v>
      </c>
      <c r="AC98" s="177"/>
      <c r="AD98" s="177">
        <f t="shared" si="114"/>
        <v>0.24067085953878403</v>
      </c>
      <c r="AE98" s="559">
        <f t="shared" si="115"/>
        <v>7016.2955723633913</v>
      </c>
      <c r="AF98" s="542">
        <f t="shared" si="116"/>
        <v>4.6392002252886505E-2</v>
      </c>
      <c r="AH98" s="177">
        <f t="shared" si="117"/>
        <v>3.565995868002688</v>
      </c>
      <c r="AI98" s="177">
        <f t="shared" si="118"/>
        <v>3.565995868002688</v>
      </c>
      <c r="AJ98" s="177">
        <f t="shared" si="119"/>
        <v>3.2340710133353241</v>
      </c>
      <c r="AL98" s="559">
        <f t="shared" si="120"/>
        <v>930</v>
      </c>
      <c r="AM98" s="469">
        <f t="shared" si="121"/>
        <v>350</v>
      </c>
      <c r="AO98">
        <f t="shared" si="148"/>
        <v>930</v>
      </c>
      <c r="AP98">
        <f t="shared" si="122"/>
        <v>350</v>
      </c>
      <c r="AR98" s="5">
        <f t="shared" si="149"/>
        <v>2.8571428571428572</v>
      </c>
      <c r="AS98" s="5">
        <f t="shared" si="123"/>
        <v>1.664131405067921</v>
      </c>
      <c r="AT98" s="5">
        <f t="shared" si="150"/>
        <v>1.1930114520749362</v>
      </c>
      <c r="AU98" s="177">
        <f t="shared" si="151"/>
        <v>0.58244599177377232</v>
      </c>
      <c r="AW98" s="5">
        <f t="shared" si="152"/>
        <v>12.079683950617282</v>
      </c>
      <c r="AX98" s="5">
        <f t="shared" si="124"/>
        <v>38.407222666666669</v>
      </c>
      <c r="AY98" s="5">
        <f t="shared" si="125"/>
        <v>0.85581907298473081</v>
      </c>
      <c r="AZ98" s="5">
        <f t="shared" si="126"/>
        <v>1.875087593993513</v>
      </c>
      <c r="BA98" s="5">
        <f t="shared" si="127"/>
        <v>1.7388665164629069</v>
      </c>
      <c r="BB98" s="469">
        <f t="shared" si="128"/>
        <v>133.69446241892854</v>
      </c>
      <c r="BC98" s="5"/>
      <c r="BD98" s="177">
        <f t="shared" si="153"/>
        <v>1.5712599421951778</v>
      </c>
      <c r="BE98" s="177">
        <f t="shared" si="129"/>
        <v>1.7870810246479851</v>
      </c>
      <c r="BF98" s="177">
        <f t="shared" si="130"/>
        <v>0.41962472161038128</v>
      </c>
      <c r="BG98" s="177"/>
      <c r="BH98" s="542">
        <f t="shared" si="131"/>
        <v>0.27157435865419133</v>
      </c>
      <c r="BI98" s="542">
        <f t="shared" si="132"/>
        <v>0.24244314407583276</v>
      </c>
      <c r="BJ98" s="542">
        <f t="shared" si="133"/>
        <v>1.7499999999999998E-2</v>
      </c>
      <c r="BK98" s="542">
        <f t="shared" si="134"/>
        <v>0.11885914687500002</v>
      </c>
      <c r="BL98">
        <f t="shared" si="135"/>
        <v>4.3499999999999997E-3</v>
      </c>
      <c r="BM98" s="469">
        <f t="shared" si="154"/>
        <v>654.72664960502402</v>
      </c>
      <c r="BN98" s="177">
        <f t="shared" si="136"/>
        <v>0.83700000000000008</v>
      </c>
      <c r="BO98" s="177">
        <f t="shared" si="137"/>
        <v>0.20925000000000002</v>
      </c>
      <c r="BP98" s="542"/>
      <c r="BR98" s="469">
        <f t="shared" si="155"/>
        <v>1046.2500000000002</v>
      </c>
      <c r="BS98" s="542">
        <f t="shared" si="138"/>
        <v>0</v>
      </c>
      <c r="BT98" s="542">
        <f t="shared" si="139"/>
        <v>0</v>
      </c>
      <c r="BU98" s="542">
        <f t="shared" si="140"/>
        <v>0</v>
      </c>
      <c r="BV98" s="542">
        <f t="shared" si="141"/>
        <v>0</v>
      </c>
      <c r="BW98" s="647">
        <f t="shared" si="142"/>
        <v>0</v>
      </c>
      <c r="BX98" s="469">
        <f t="shared" si="156"/>
        <v>0</v>
      </c>
      <c r="BY98" s="177">
        <f t="shared" si="157"/>
        <v>1.700976649605024</v>
      </c>
      <c r="BZ98" s="5">
        <f t="shared" si="158"/>
        <v>15.577500000000001</v>
      </c>
      <c r="CA98" s="177">
        <f t="shared" si="159"/>
        <v>0.9015551727099792</v>
      </c>
      <c r="CB98" s="5">
        <f t="shared" si="160"/>
        <v>90.155517270997919</v>
      </c>
      <c r="CC98">
        <f t="shared" si="161"/>
        <v>93</v>
      </c>
      <c r="CE98" s="576">
        <f t="shared" si="143"/>
        <v>-50</v>
      </c>
      <c r="CF98">
        <f t="shared" si="144"/>
        <v>-50</v>
      </c>
    </row>
    <row r="99" spans="5:84" x14ac:dyDescent="0.25">
      <c r="E99" s="174">
        <v>94</v>
      </c>
      <c r="F99" s="221">
        <f t="shared" si="162"/>
        <v>0.94</v>
      </c>
      <c r="G99" s="221">
        <f t="shared" si="145"/>
        <v>0.23499999999999999</v>
      </c>
      <c r="H99" s="221">
        <f t="shared" si="98"/>
        <v>14.1</v>
      </c>
      <c r="I99" s="221">
        <f t="shared" si="163"/>
        <v>1.645</v>
      </c>
      <c r="J99" s="555">
        <f t="shared" si="99"/>
        <v>15</v>
      </c>
      <c r="K99" s="451">
        <f t="shared" si="100"/>
        <v>23.85</v>
      </c>
      <c r="L99" s="451">
        <f t="shared" si="101"/>
        <v>38.85</v>
      </c>
      <c r="M99" s="451"/>
      <c r="N99" s="221">
        <f t="shared" si="102"/>
        <v>0.61389961389961389</v>
      </c>
      <c r="O99" s="176">
        <f t="shared" si="146"/>
        <v>16.05988878003803</v>
      </c>
      <c r="P99" s="176">
        <f t="shared" si="103"/>
        <v>1.873653691004437</v>
      </c>
      <c r="Q99" s="221">
        <f t="shared" si="104"/>
        <v>1.0706592520025353</v>
      </c>
      <c r="R99" s="221">
        <f t="shared" si="105"/>
        <v>2.2942698257197187</v>
      </c>
      <c r="S99" s="451">
        <f t="shared" si="106"/>
        <v>15</v>
      </c>
      <c r="T99" s="221">
        <f t="shared" si="107"/>
        <v>3.5996513295818162</v>
      </c>
      <c r="U99" s="221">
        <f t="shared" si="108"/>
        <v>1.6798372871381808</v>
      </c>
      <c r="V99" s="221">
        <f t="shared" si="109"/>
        <v>1.056501438451686</v>
      </c>
      <c r="W99" s="201">
        <f t="shared" si="110"/>
        <v>350</v>
      </c>
      <c r="X99" s="451">
        <f t="shared" si="147"/>
        <v>350</v>
      </c>
      <c r="Z99" s="221">
        <f t="shared" si="111"/>
        <v>3.7585690646915135</v>
      </c>
      <c r="AA99" s="177">
        <f t="shared" si="112"/>
        <v>1.1031439602868174</v>
      </c>
      <c r="AB99" s="177">
        <f t="shared" si="113"/>
        <v>0.97467647041501804</v>
      </c>
      <c r="AC99" s="177"/>
      <c r="AD99" s="177">
        <f t="shared" si="114"/>
        <v>0.24067085953878403</v>
      </c>
      <c r="AE99" s="559">
        <f t="shared" si="115"/>
        <v>7091.7396107758996</v>
      </c>
      <c r="AF99" s="542">
        <f t="shared" si="116"/>
        <v>4.6392002252886505E-2</v>
      </c>
      <c r="AH99" s="177">
        <f t="shared" si="117"/>
        <v>3.5851166263442247</v>
      </c>
      <c r="AI99" s="177">
        <f t="shared" si="118"/>
        <v>3.5851166263442247</v>
      </c>
      <c r="AJ99" s="177">
        <f t="shared" si="119"/>
        <v>3.2482345380327589</v>
      </c>
      <c r="AL99" s="559">
        <f t="shared" si="120"/>
        <v>940</v>
      </c>
      <c r="AM99" s="469">
        <f t="shared" si="121"/>
        <v>350</v>
      </c>
      <c r="AO99">
        <f t="shared" si="148"/>
        <v>940</v>
      </c>
      <c r="AP99">
        <f t="shared" si="122"/>
        <v>350</v>
      </c>
      <c r="AR99" s="5">
        <f t="shared" si="149"/>
        <v>2.8571428571428572</v>
      </c>
      <c r="AS99" s="5">
        <f t="shared" si="123"/>
        <v>1.6730544256273048</v>
      </c>
      <c r="AT99" s="5">
        <f t="shared" si="150"/>
        <v>1.1840884315155524</v>
      </c>
      <c r="AU99" s="177">
        <f t="shared" si="151"/>
        <v>0.58556904896955664</v>
      </c>
      <c r="AW99" s="5">
        <f t="shared" si="152"/>
        <v>12.079683950617282</v>
      </c>
      <c r="AX99" s="5">
        <f t="shared" si="124"/>
        <v>39.207302518518517</v>
      </c>
      <c r="AY99" s="5">
        <f t="shared" si="125"/>
        <v>0.85581907298473081</v>
      </c>
      <c r="AZ99" s="5">
        <f t="shared" si="126"/>
        <v>1.9080482114148083</v>
      </c>
      <c r="BA99" s="5">
        <f t="shared" si="127"/>
        <v>1.7444184658912161</v>
      </c>
      <c r="BB99" s="469">
        <f t="shared" si="128"/>
        <v>134.14612178394646</v>
      </c>
      <c r="BC99" s="5"/>
      <c r="BD99" s="177">
        <f t="shared" si="153"/>
        <v>1.5839144376693219</v>
      </c>
      <c r="BE99" s="177">
        <f t="shared" si="129"/>
        <v>1.7899316967071217</v>
      </c>
      <c r="BF99" s="177">
        <f t="shared" si="130"/>
        <v>0.42029408827743175</v>
      </c>
      <c r="BG99" s="177"/>
      <c r="BH99" s="542">
        <f t="shared" si="131"/>
        <v>0.2759663440443057</v>
      </c>
      <c r="BI99" s="542">
        <f t="shared" si="132"/>
        <v>0.24374311663357798</v>
      </c>
      <c r="BJ99" s="542">
        <f t="shared" si="133"/>
        <v>1.7499999999999998E-2</v>
      </c>
      <c r="BK99" s="542">
        <f t="shared" si="134"/>
        <v>0.11885914687500002</v>
      </c>
      <c r="BL99">
        <f t="shared" si="135"/>
        <v>4.3499999999999997E-3</v>
      </c>
      <c r="BM99" s="469">
        <f t="shared" si="154"/>
        <v>660.4186075528836</v>
      </c>
      <c r="BN99" s="177">
        <f t="shared" si="136"/>
        <v>0.84599999999999997</v>
      </c>
      <c r="BO99" s="177">
        <f t="shared" si="137"/>
        <v>0.21149999999999999</v>
      </c>
      <c r="BP99" s="542"/>
      <c r="BR99" s="469">
        <f t="shared" si="155"/>
        <v>1057.4999999999998</v>
      </c>
      <c r="BS99" s="542">
        <f t="shared" si="138"/>
        <v>0</v>
      </c>
      <c r="BT99" s="542">
        <f t="shared" si="139"/>
        <v>0</v>
      </c>
      <c r="BU99" s="542">
        <f t="shared" si="140"/>
        <v>0</v>
      </c>
      <c r="BV99" s="542">
        <f t="shared" si="141"/>
        <v>0</v>
      </c>
      <c r="BW99" s="647">
        <f t="shared" si="142"/>
        <v>0</v>
      </c>
      <c r="BX99" s="469">
        <f t="shared" si="156"/>
        <v>0</v>
      </c>
      <c r="BY99" s="177">
        <f t="shared" si="157"/>
        <v>1.7179186075528836</v>
      </c>
      <c r="BZ99" s="5">
        <f t="shared" si="158"/>
        <v>15.744999999999999</v>
      </c>
      <c r="CA99" s="177">
        <f t="shared" si="159"/>
        <v>0.90162477154249188</v>
      </c>
      <c r="CB99" s="5">
        <f t="shared" si="160"/>
        <v>90.162477154249189</v>
      </c>
      <c r="CC99">
        <f t="shared" si="161"/>
        <v>94</v>
      </c>
      <c r="CE99" s="576">
        <f t="shared" si="143"/>
        <v>-50</v>
      </c>
      <c r="CF99">
        <f t="shared" si="144"/>
        <v>-50</v>
      </c>
    </row>
    <row r="100" spans="5:84" x14ac:dyDescent="0.25">
      <c r="E100" s="174">
        <v>95</v>
      </c>
      <c r="F100" s="221">
        <f t="shared" si="162"/>
        <v>0.95</v>
      </c>
      <c r="G100" s="221">
        <f t="shared" si="145"/>
        <v>0.23749999999999999</v>
      </c>
      <c r="H100" s="221">
        <f t="shared" si="98"/>
        <v>14.25</v>
      </c>
      <c r="I100" s="221">
        <f t="shared" si="163"/>
        <v>1.6624999999999999</v>
      </c>
      <c r="J100" s="555">
        <f t="shared" si="99"/>
        <v>15</v>
      </c>
      <c r="K100" s="451">
        <f t="shared" si="100"/>
        <v>23.85</v>
      </c>
      <c r="L100" s="451">
        <f t="shared" si="101"/>
        <v>38.85</v>
      </c>
      <c r="M100" s="451"/>
      <c r="N100" s="221">
        <f t="shared" si="102"/>
        <v>0.61389961389961389</v>
      </c>
      <c r="O100" s="176">
        <f t="shared" si="146"/>
        <v>16.05988878003803</v>
      </c>
      <c r="P100" s="176">
        <f t="shared" si="103"/>
        <v>1.873653691004437</v>
      </c>
      <c r="Q100" s="221">
        <f t="shared" si="104"/>
        <v>1.0706592520025353</v>
      </c>
      <c r="R100" s="221">
        <f t="shared" si="105"/>
        <v>2.2942698257197187</v>
      </c>
      <c r="S100" s="451">
        <f t="shared" si="106"/>
        <v>15</v>
      </c>
      <c r="T100" s="221">
        <f t="shared" si="107"/>
        <v>3.6379454926624737</v>
      </c>
      <c r="U100" s="221">
        <f t="shared" si="108"/>
        <v>1.697707896575821</v>
      </c>
      <c r="V100" s="221">
        <f t="shared" si="109"/>
        <v>1.0677408154564911</v>
      </c>
      <c r="W100" s="201">
        <f t="shared" si="110"/>
        <v>350</v>
      </c>
      <c r="X100" s="451">
        <f t="shared" si="147"/>
        <v>350</v>
      </c>
      <c r="Z100" s="221">
        <f t="shared" si="111"/>
        <v>3.7585690646915135</v>
      </c>
      <c r="AA100" s="177">
        <f t="shared" si="112"/>
        <v>1.1031439602868174</v>
      </c>
      <c r="AB100" s="177">
        <f t="shared" si="113"/>
        <v>0.97467647041501804</v>
      </c>
      <c r="AC100" s="177"/>
      <c r="AD100" s="177">
        <f t="shared" si="114"/>
        <v>0.24067085953878403</v>
      </c>
      <c r="AE100" s="559">
        <f t="shared" si="115"/>
        <v>7167.1836491884078</v>
      </c>
      <c r="AF100" s="542">
        <f t="shared" si="116"/>
        <v>4.6392002252886505E-2</v>
      </c>
      <c r="AH100" s="177">
        <f t="shared" si="117"/>
        <v>3.6041359461551039</v>
      </c>
      <c r="AI100" s="177">
        <f t="shared" si="118"/>
        <v>3.6041359461551039</v>
      </c>
      <c r="AJ100" s="177">
        <f t="shared" si="119"/>
        <v>3.2623229230778552</v>
      </c>
      <c r="AL100" s="559">
        <f t="shared" si="120"/>
        <v>950</v>
      </c>
      <c r="AM100" s="469">
        <f t="shared" si="121"/>
        <v>350</v>
      </c>
      <c r="AO100">
        <f t="shared" si="148"/>
        <v>950</v>
      </c>
      <c r="AP100">
        <f t="shared" si="122"/>
        <v>350</v>
      </c>
      <c r="AR100" s="5">
        <f t="shared" si="149"/>
        <v>2.8571428571428572</v>
      </c>
      <c r="AS100" s="5">
        <f t="shared" si="123"/>
        <v>1.6819301082057152</v>
      </c>
      <c r="AT100" s="5">
        <f t="shared" si="150"/>
        <v>1.175212748937142</v>
      </c>
      <c r="AU100" s="177">
        <f t="shared" si="151"/>
        <v>0.58867553787200033</v>
      </c>
      <c r="AW100" s="5">
        <f t="shared" si="152"/>
        <v>12.079683950617282</v>
      </c>
      <c r="AX100" s="5">
        <f t="shared" si="124"/>
        <v>40.015618518518515</v>
      </c>
      <c r="AY100" s="5">
        <f t="shared" si="125"/>
        <v>0.85581907298473081</v>
      </c>
      <c r="AZ100" s="5">
        <f t="shared" si="126"/>
        <v>1.9412811349047812</v>
      </c>
      <c r="BA100" s="5">
        <f t="shared" si="127"/>
        <v>1.7497612039730781</v>
      </c>
      <c r="BB100" s="469">
        <f t="shared" si="128"/>
        <v>134.58209029798084</v>
      </c>
      <c r="BC100" s="5"/>
      <c r="BD100" s="177">
        <f t="shared" si="153"/>
        <v>1.5965353215731883</v>
      </c>
      <c r="BE100" s="177">
        <f t="shared" si="129"/>
        <v>1.7926706682374245</v>
      </c>
      <c r="BF100" s="177">
        <f t="shared" si="130"/>
        <v>0.42093722652916749</v>
      </c>
      <c r="BG100" s="177"/>
      <c r="BH100" s="542">
        <f t="shared" si="131"/>
        <v>0.28038175363338846</v>
      </c>
      <c r="BI100" s="542">
        <f t="shared" si="132"/>
        <v>0.24503619263922014</v>
      </c>
      <c r="BJ100" s="542">
        <f t="shared" si="133"/>
        <v>1.7499999999999998E-2</v>
      </c>
      <c r="BK100" s="542">
        <f t="shared" si="134"/>
        <v>0.11885914687500002</v>
      </c>
      <c r="BL100">
        <f t="shared" si="135"/>
        <v>4.3499999999999997E-3</v>
      </c>
      <c r="BM100" s="469">
        <f t="shared" si="154"/>
        <v>666.12709314760855</v>
      </c>
      <c r="BN100" s="177">
        <f t="shared" si="136"/>
        <v>0.85499999999999998</v>
      </c>
      <c r="BO100" s="177">
        <f t="shared" si="137"/>
        <v>0.21375</v>
      </c>
      <c r="BP100" s="542"/>
      <c r="BR100" s="469">
        <f t="shared" si="155"/>
        <v>1068.75</v>
      </c>
      <c r="BS100" s="542">
        <f t="shared" si="138"/>
        <v>0</v>
      </c>
      <c r="BT100" s="542">
        <f t="shared" si="139"/>
        <v>0</v>
      </c>
      <c r="BU100" s="542">
        <f t="shared" si="140"/>
        <v>0</v>
      </c>
      <c r="BV100" s="542">
        <f t="shared" si="141"/>
        <v>0</v>
      </c>
      <c r="BW100" s="647">
        <f t="shared" si="142"/>
        <v>0</v>
      </c>
      <c r="BX100" s="469">
        <f t="shared" si="156"/>
        <v>0</v>
      </c>
      <c r="BY100" s="177">
        <f t="shared" si="157"/>
        <v>1.7348770931476087</v>
      </c>
      <c r="BZ100" s="5">
        <f t="shared" si="158"/>
        <v>15.9125</v>
      </c>
      <c r="CA100" s="177">
        <f t="shared" si="159"/>
        <v>0.9016920710658326</v>
      </c>
      <c r="CB100" s="5">
        <f t="shared" si="160"/>
        <v>90.169207106583258</v>
      </c>
      <c r="CC100">
        <f t="shared" si="161"/>
        <v>95</v>
      </c>
      <c r="CE100" s="576">
        <f t="shared" si="143"/>
        <v>-50</v>
      </c>
      <c r="CF100">
        <f t="shared" si="144"/>
        <v>-50</v>
      </c>
    </row>
    <row r="101" spans="5:84" x14ac:dyDescent="0.25">
      <c r="E101" s="174">
        <v>96</v>
      </c>
      <c r="F101" s="221">
        <f t="shared" si="162"/>
        <v>0.96</v>
      </c>
      <c r="G101" s="221">
        <f t="shared" si="145"/>
        <v>0.24</v>
      </c>
      <c r="H101" s="221">
        <f t="shared" si="98"/>
        <v>14.399999999999999</v>
      </c>
      <c r="I101" s="221">
        <f t="shared" si="163"/>
        <v>1.68</v>
      </c>
      <c r="J101" s="555">
        <f t="shared" si="99"/>
        <v>15</v>
      </c>
      <c r="K101" s="451">
        <f t="shared" si="100"/>
        <v>23.85</v>
      </c>
      <c r="L101" s="451">
        <f t="shared" si="101"/>
        <v>38.85</v>
      </c>
      <c r="M101" s="451"/>
      <c r="N101" s="221">
        <f t="shared" si="102"/>
        <v>0.61389961389961389</v>
      </c>
      <c r="O101" s="176">
        <f t="shared" si="146"/>
        <v>16.05988878003803</v>
      </c>
      <c r="P101" s="176">
        <f t="shared" si="103"/>
        <v>1.873653691004437</v>
      </c>
      <c r="Q101" s="221">
        <f t="shared" si="104"/>
        <v>1.0706592520025353</v>
      </c>
      <c r="R101" s="221">
        <f t="shared" si="105"/>
        <v>2.2942698257197187</v>
      </c>
      <c r="S101" s="451">
        <f t="shared" si="106"/>
        <v>15</v>
      </c>
      <c r="T101" s="221">
        <f t="shared" si="107"/>
        <v>3.6762396557431312</v>
      </c>
      <c r="U101" s="221">
        <f t="shared" si="108"/>
        <v>1.7155785060134612</v>
      </c>
      <c r="V101" s="221">
        <f t="shared" si="109"/>
        <v>1.0789801924612961</v>
      </c>
      <c r="W101" s="201">
        <f t="shared" si="110"/>
        <v>350</v>
      </c>
      <c r="X101" s="451">
        <f t="shared" si="147"/>
        <v>350</v>
      </c>
      <c r="Z101" s="221">
        <f t="shared" si="111"/>
        <v>3.7585690646915135</v>
      </c>
      <c r="AA101" s="177">
        <f t="shared" si="112"/>
        <v>1.1031439602868174</v>
      </c>
      <c r="AB101" s="177">
        <f t="shared" ref="AB101:AB105" si="164">0.5*AA101*Z101*Nps*W101/1000*(Pout/Pout_total)</f>
        <v>0.97467647041501804</v>
      </c>
      <c r="AC101" s="177"/>
      <c r="AD101" s="177">
        <f t="shared" si="114"/>
        <v>0.24067085953878403</v>
      </c>
      <c r="AE101" s="559">
        <f t="shared" ref="AE101:AE105" si="165">MAX(10, F101/(0.5*AD101/1000000*Isw_min*Nps)/1000*Pout_total/Pout)</f>
        <v>7242.6276876009188</v>
      </c>
      <c r="AF101" s="542">
        <f t="shared" si="116"/>
        <v>4.6392002252886505E-2</v>
      </c>
      <c r="AH101" s="177">
        <f t="shared" si="117"/>
        <v>3.6230554249479674</v>
      </c>
      <c r="AI101" s="177">
        <f t="shared" ref="AI101:AI105" si="166">MAX(IF(F101&gt;AB101,T101,AH101),Isw_min)</f>
        <v>3.6230554249479674</v>
      </c>
      <c r="AJ101" s="177">
        <f t="shared" ref="AJ101:AJ105" si="167">IF(F101&gt;AF101, (AI101-Isw_min)/1.08*0.8+1.2, AE101*0.2/350+1)</f>
        <v>3.276337351813309</v>
      </c>
      <c r="AL101" s="559">
        <f t="shared" si="120"/>
        <v>960</v>
      </c>
      <c r="AM101" s="469">
        <f t="shared" si="121"/>
        <v>350</v>
      </c>
      <c r="AO101">
        <f t="shared" si="148"/>
        <v>960</v>
      </c>
      <c r="AP101">
        <f t="shared" si="122"/>
        <v>350</v>
      </c>
      <c r="AR101" s="5">
        <f t="shared" si="149"/>
        <v>2.8571428571428572</v>
      </c>
      <c r="AS101" s="5">
        <f t="shared" si="123"/>
        <v>1.6907591983090515</v>
      </c>
      <c r="AT101" s="5">
        <f t="shared" si="150"/>
        <v>1.1663836588338057</v>
      </c>
      <c r="AU101" s="177">
        <f t="shared" si="151"/>
        <v>0.59176571940816802</v>
      </c>
      <c r="AW101" s="5">
        <f t="shared" si="152"/>
        <v>12.079683950617282</v>
      </c>
      <c r="AX101" s="5">
        <f t="shared" si="124"/>
        <v>40.832170666666656</v>
      </c>
      <c r="AY101" s="5">
        <f t="shared" si="125"/>
        <v>0.85581907298473081</v>
      </c>
      <c r="AZ101" s="5">
        <f t="shared" si="126"/>
        <v>1.9747863644634307</v>
      </c>
      <c r="BA101" s="5">
        <f t="shared" si="127"/>
        <v>1.7548958347646872</v>
      </c>
      <c r="BB101" s="469">
        <f t="shared" si="128"/>
        <v>135.00245076524624</v>
      </c>
      <c r="BC101" s="5"/>
      <c r="BD101" s="177">
        <f t="shared" si="153"/>
        <v>1.6091230355992507</v>
      </c>
      <c r="BE101" s="177">
        <f t="shared" si="129"/>
        <v>1.7952990152195298</v>
      </c>
      <c r="BF101" s="177">
        <f t="shared" si="130"/>
        <v>0.4215543890167377</v>
      </c>
      <c r="BG101" s="177"/>
      <c r="BH101" s="542">
        <f t="shared" si="131"/>
        <v>0.28482046380657622</v>
      </c>
      <c r="BI101" s="542">
        <f t="shared" si="132"/>
        <v>0.24632248070364993</v>
      </c>
      <c r="BJ101" s="542">
        <f t="shared" si="133"/>
        <v>1.7499999999999998E-2</v>
      </c>
      <c r="BK101" s="542">
        <f t="shared" si="134"/>
        <v>0.11885914687500002</v>
      </c>
      <c r="BL101">
        <f t="shared" si="135"/>
        <v>4.3499999999999997E-3</v>
      </c>
      <c r="BM101" s="469">
        <f t="shared" si="154"/>
        <v>671.852091385226</v>
      </c>
      <c r="BN101" s="177">
        <f t="shared" si="136"/>
        <v>0.86399999999999999</v>
      </c>
      <c r="BO101" s="177">
        <f t="shared" si="137"/>
        <v>0.216</v>
      </c>
      <c r="BP101" s="542"/>
      <c r="BR101" s="469">
        <f t="shared" si="155"/>
        <v>1080</v>
      </c>
      <c r="BS101" s="542">
        <f t="shared" si="138"/>
        <v>0</v>
      </c>
      <c r="BT101" s="542">
        <f t="shared" si="139"/>
        <v>0</v>
      </c>
      <c r="BU101" s="542">
        <f t="shared" si="140"/>
        <v>0</v>
      </c>
      <c r="BV101" s="542">
        <f t="shared" si="141"/>
        <v>0</v>
      </c>
      <c r="BW101" s="647">
        <f t="shared" si="142"/>
        <v>0</v>
      </c>
      <c r="BX101" s="469">
        <f t="shared" si="156"/>
        <v>0</v>
      </c>
      <c r="BY101" s="177">
        <f t="shared" si="157"/>
        <v>1.751852091385226</v>
      </c>
      <c r="BZ101" s="5">
        <f t="shared" si="158"/>
        <v>16.079999999999998</v>
      </c>
      <c r="CA101" s="177">
        <f t="shared" si="159"/>
        <v>0.9017571432060294</v>
      </c>
      <c r="CB101" s="5">
        <f t="shared" si="160"/>
        <v>90.175714320602935</v>
      </c>
      <c r="CC101">
        <f t="shared" si="161"/>
        <v>96</v>
      </c>
      <c r="CE101" s="576">
        <f t="shared" si="143"/>
        <v>-50</v>
      </c>
      <c r="CF101">
        <f t="shared" si="144"/>
        <v>-50</v>
      </c>
    </row>
    <row r="102" spans="5:84" x14ac:dyDescent="0.25">
      <c r="E102" s="174">
        <v>97</v>
      </c>
      <c r="F102" s="221">
        <f t="shared" si="162"/>
        <v>0.97</v>
      </c>
      <c r="G102" s="221">
        <f t="shared" si="145"/>
        <v>0.24249999999999999</v>
      </c>
      <c r="H102" s="221">
        <f t="shared" si="98"/>
        <v>14.549999999999999</v>
      </c>
      <c r="I102" s="221">
        <f t="shared" si="163"/>
        <v>1.6975</v>
      </c>
      <c r="J102" s="555">
        <f t="shared" si="99"/>
        <v>15</v>
      </c>
      <c r="K102" s="451">
        <f t="shared" si="100"/>
        <v>23.85</v>
      </c>
      <c r="L102" s="451">
        <f t="shared" si="101"/>
        <v>38.85</v>
      </c>
      <c r="M102" s="451"/>
      <c r="N102" s="221">
        <f t="shared" si="102"/>
        <v>0.61389961389961389</v>
      </c>
      <c r="O102" s="176">
        <f t="shared" ref="O102:O105" si="168">N102*J102*Isw_max*0.5*Efficiency*Pout/(Pout+Pout2)</f>
        <v>16.05988878003803</v>
      </c>
      <c r="P102" s="176">
        <f t="shared" si="103"/>
        <v>1.873653691004437</v>
      </c>
      <c r="Q102" s="221">
        <f t="shared" si="104"/>
        <v>1.0706592520025353</v>
      </c>
      <c r="R102" s="221">
        <f t="shared" si="105"/>
        <v>2.2942698257197187</v>
      </c>
      <c r="S102" s="451">
        <f t="shared" si="106"/>
        <v>15</v>
      </c>
      <c r="T102" s="221">
        <f t="shared" si="107"/>
        <v>3.7145338188237891</v>
      </c>
      <c r="U102" s="221">
        <f t="shared" si="108"/>
        <v>1.7334491154511016</v>
      </c>
      <c r="V102" s="221">
        <f t="shared" si="109"/>
        <v>1.0902195694661017</v>
      </c>
      <c r="W102" s="201">
        <f t="shared" si="110"/>
        <v>350</v>
      </c>
      <c r="X102" s="451">
        <f t="shared" si="147"/>
        <v>350</v>
      </c>
      <c r="Z102" s="221">
        <f t="shared" si="111"/>
        <v>3.7585690646915135</v>
      </c>
      <c r="AA102" s="177">
        <f t="shared" si="112"/>
        <v>1.1031439602868174</v>
      </c>
      <c r="AB102" s="177">
        <f t="shared" si="164"/>
        <v>0.97467647041501804</v>
      </c>
      <c r="AC102" s="177"/>
      <c r="AD102" s="177">
        <f t="shared" si="114"/>
        <v>0.24067085953878403</v>
      </c>
      <c r="AE102" s="559">
        <f t="shared" si="165"/>
        <v>7318.0717260134279</v>
      </c>
      <c r="AF102" s="542">
        <f t="shared" si="116"/>
        <v>4.6392002252886505E-2</v>
      </c>
      <c r="AH102" s="177">
        <f t="shared" si="117"/>
        <v>3.6418766187396363</v>
      </c>
      <c r="AI102" s="177">
        <f t="shared" si="166"/>
        <v>3.6418766187396363</v>
      </c>
      <c r="AJ102" s="177">
        <f t="shared" si="167"/>
        <v>3.2902789768441751</v>
      </c>
      <c r="AL102" s="559">
        <f t="shared" si="120"/>
        <v>970</v>
      </c>
      <c r="AM102" s="469">
        <f t="shared" si="121"/>
        <v>350</v>
      </c>
      <c r="AO102">
        <f t="shared" si="148"/>
        <v>970</v>
      </c>
      <c r="AP102">
        <f t="shared" si="122"/>
        <v>350</v>
      </c>
      <c r="AR102" s="5">
        <f t="shared" si="149"/>
        <v>2.8571428571428572</v>
      </c>
      <c r="AS102" s="5">
        <f t="shared" si="123"/>
        <v>1.6995424220784969</v>
      </c>
      <c r="AT102" s="5">
        <f t="shared" si="150"/>
        <v>1.1576004350643603</v>
      </c>
      <c r="AU102" s="177">
        <f t="shared" si="151"/>
        <v>0.59483984772747389</v>
      </c>
      <c r="AW102" s="5">
        <f t="shared" si="152"/>
        <v>12.079683950617282</v>
      </c>
      <c r="AX102" s="5">
        <f t="shared" si="124"/>
        <v>41.65695896296296</v>
      </c>
      <c r="AY102" s="5">
        <f t="shared" si="125"/>
        <v>0.85581907298473081</v>
      </c>
      <c r="AZ102" s="5">
        <f t="shared" si="126"/>
        <v>2.0085639000907576</v>
      </c>
      <c r="BA102" s="5">
        <f t="shared" si="127"/>
        <v>1.7598234450253278</v>
      </c>
      <c r="BB102" s="469">
        <f t="shared" si="128"/>
        <v>135.4072846926891</v>
      </c>
      <c r="BC102" s="5"/>
      <c r="BD102" s="177">
        <f t="shared" si="153"/>
        <v>1.6216780111007409</v>
      </c>
      <c r="BE102" s="177">
        <f t="shared" si="129"/>
        <v>1.7978177779525777</v>
      </c>
      <c r="BF102" s="177">
        <f t="shared" si="130"/>
        <v>0.42214582001291545</v>
      </c>
      <c r="BG102" s="177"/>
      <c r="BH102" s="542">
        <f t="shared" si="131"/>
        <v>0.28928235288564208</v>
      </c>
      <c r="BI102" s="542">
        <f t="shared" si="132"/>
        <v>0.24760208661656105</v>
      </c>
      <c r="BJ102" s="542">
        <f t="shared" si="133"/>
        <v>1.7499999999999998E-2</v>
      </c>
      <c r="BK102" s="542">
        <f t="shared" si="134"/>
        <v>0.11885914687500002</v>
      </c>
      <c r="BL102">
        <f t="shared" si="135"/>
        <v>4.3499999999999997E-3</v>
      </c>
      <c r="BM102" s="469">
        <f t="shared" si="154"/>
        <v>677.593586377203</v>
      </c>
      <c r="BN102" s="177">
        <f t="shared" si="136"/>
        <v>0.873</v>
      </c>
      <c r="BO102" s="177">
        <f t="shared" si="137"/>
        <v>0.21825</v>
      </c>
      <c r="BP102" s="542"/>
      <c r="BR102" s="469">
        <f t="shared" si="155"/>
        <v>1091.25</v>
      </c>
      <c r="BS102" s="542">
        <f t="shared" si="138"/>
        <v>0</v>
      </c>
      <c r="BT102" s="542">
        <f t="shared" si="139"/>
        <v>0</v>
      </c>
      <c r="BU102" s="542">
        <f t="shared" si="140"/>
        <v>0</v>
      </c>
      <c r="BV102" s="542">
        <f t="shared" si="141"/>
        <v>0</v>
      </c>
      <c r="BW102" s="647">
        <f t="shared" si="142"/>
        <v>0</v>
      </c>
      <c r="BX102" s="469">
        <f t="shared" si="156"/>
        <v>0</v>
      </c>
      <c r="BY102" s="177">
        <f t="shared" si="157"/>
        <v>1.768843586377203</v>
      </c>
      <c r="BZ102" s="5">
        <f t="shared" si="158"/>
        <v>16.247499999999999</v>
      </c>
      <c r="CA102" s="177">
        <f t="shared" si="159"/>
        <v>0.90182005700009593</v>
      </c>
      <c r="CB102" s="5">
        <f t="shared" si="160"/>
        <v>90.182005700009597</v>
      </c>
      <c r="CC102">
        <f t="shared" si="161"/>
        <v>97</v>
      </c>
      <c r="CE102" s="576">
        <f t="shared" si="143"/>
        <v>-50</v>
      </c>
      <c r="CF102">
        <f t="shared" si="144"/>
        <v>-50</v>
      </c>
    </row>
    <row r="103" spans="5:84" x14ac:dyDescent="0.25">
      <c r="E103" s="174">
        <v>98</v>
      </c>
      <c r="F103" s="221">
        <f t="shared" si="162"/>
        <v>0.98</v>
      </c>
      <c r="G103" s="221">
        <f t="shared" si="145"/>
        <v>0.245</v>
      </c>
      <c r="H103" s="221">
        <f t="shared" si="98"/>
        <v>14.7</v>
      </c>
      <c r="I103" s="221">
        <f t="shared" si="163"/>
        <v>1.7149999999999999</v>
      </c>
      <c r="J103" s="555">
        <f t="shared" si="99"/>
        <v>15</v>
      </c>
      <c r="K103" s="451">
        <f t="shared" si="100"/>
        <v>23.85</v>
      </c>
      <c r="L103" s="451">
        <f t="shared" si="101"/>
        <v>38.85</v>
      </c>
      <c r="M103" s="451"/>
      <c r="N103" s="221">
        <f t="shared" si="102"/>
        <v>0.61389961389961389</v>
      </c>
      <c r="O103" s="176">
        <f t="shared" si="168"/>
        <v>16.05988878003803</v>
      </c>
      <c r="P103" s="176">
        <f t="shared" si="103"/>
        <v>1.873653691004437</v>
      </c>
      <c r="Q103" s="221">
        <f t="shared" si="104"/>
        <v>1.0706592520025353</v>
      </c>
      <c r="R103" s="221">
        <f t="shared" si="105"/>
        <v>2.2942698257197187</v>
      </c>
      <c r="S103" s="451">
        <f t="shared" si="106"/>
        <v>15</v>
      </c>
      <c r="T103" s="221">
        <f t="shared" si="107"/>
        <v>3.7528279819044466</v>
      </c>
      <c r="U103" s="221">
        <f t="shared" si="108"/>
        <v>1.7513197248887418</v>
      </c>
      <c r="V103" s="221">
        <f t="shared" si="109"/>
        <v>1.1014589464709066</v>
      </c>
      <c r="W103" s="201">
        <f t="shared" si="110"/>
        <v>350</v>
      </c>
      <c r="X103" s="451">
        <f t="shared" si="147"/>
        <v>350</v>
      </c>
      <c r="Z103" s="221">
        <f t="shared" si="111"/>
        <v>3.7585690646915135</v>
      </c>
      <c r="AA103" s="177">
        <f t="shared" si="112"/>
        <v>1.1031439602868174</v>
      </c>
      <c r="AB103" s="177">
        <f t="shared" si="164"/>
        <v>0.97467647041501804</v>
      </c>
      <c r="AC103" s="177"/>
      <c r="AD103" s="177">
        <f t="shared" si="114"/>
        <v>0.24067085953878403</v>
      </c>
      <c r="AE103" s="559">
        <f t="shared" si="165"/>
        <v>7393.5157644259389</v>
      </c>
      <c r="AF103" s="542">
        <f t="shared" si="116"/>
        <v>4.6392002252886505E-2</v>
      </c>
      <c r="AH103" s="177">
        <f t="shared" si="117"/>
        <v>3.660601043544625</v>
      </c>
      <c r="AI103" s="177">
        <f t="shared" si="166"/>
        <v>3.7528279819044466</v>
      </c>
      <c r="AJ103" s="177">
        <f t="shared" si="167"/>
        <v>3.3724651717810712</v>
      </c>
      <c r="AL103" s="559">
        <f t="shared" si="120"/>
        <v>980</v>
      </c>
      <c r="AM103" s="469">
        <f t="shared" si="121"/>
        <v>350</v>
      </c>
      <c r="AO103">
        <f t="shared" si="148"/>
        <v>980</v>
      </c>
      <c r="AP103">
        <f t="shared" si="122"/>
        <v>350</v>
      </c>
      <c r="AR103" s="5">
        <f t="shared" si="149"/>
        <v>2.8571428571428572</v>
      </c>
      <c r="AS103" s="5">
        <f t="shared" si="123"/>
        <v>1.7513197248887418</v>
      </c>
      <c r="AT103" s="5">
        <f t="shared" si="150"/>
        <v>1.1058231322541154</v>
      </c>
      <c r="AU103" s="177">
        <f t="shared" si="151"/>
        <v>0.61296190371105963</v>
      </c>
      <c r="AW103" s="5">
        <f t="shared" si="152"/>
        <v>12.079683950617282</v>
      </c>
      <c r="AX103" s="5">
        <f t="shared" si="124"/>
        <v>42.489983407407401</v>
      </c>
      <c r="AY103" s="5">
        <f t="shared" si="125"/>
        <v>0.85581907298473081</v>
      </c>
      <c r="AZ103" s="5">
        <f t="shared" si="126"/>
        <v>2.0426137417867611</v>
      </c>
      <c r="BA103" s="5">
        <f t="shared" si="127"/>
        <v>1.6984408623112335</v>
      </c>
      <c r="BB103" s="469">
        <f t="shared" si="128"/>
        <v>130.83885414702672</v>
      </c>
      <c r="BC103" s="5"/>
      <c r="BD103" s="177">
        <f t="shared" si="153"/>
        <v>1.6963473024783702</v>
      </c>
      <c r="BE103" s="177">
        <f t="shared" si="129"/>
        <v>1.8106837121963713</v>
      </c>
      <c r="BF103" s="177">
        <f t="shared" si="130"/>
        <v>0.42516687166129985</v>
      </c>
      <c r="BG103" s="177"/>
      <c r="BH103" s="542">
        <f t="shared" si="131"/>
        <v>0.31653535876882077</v>
      </c>
      <c r="BI103" s="542">
        <f t="shared" si="132"/>
        <v>0.25514539241972856</v>
      </c>
      <c r="BJ103" s="542">
        <f t="shared" si="133"/>
        <v>1.7499999999999998E-2</v>
      </c>
      <c r="BK103" s="542">
        <f t="shared" si="134"/>
        <v>0.11885914687500002</v>
      </c>
      <c r="BL103">
        <f t="shared" si="135"/>
        <v>4.3499999999999997E-3</v>
      </c>
      <c r="BM103" s="469">
        <f t="shared" si="154"/>
        <v>712.38989806354925</v>
      </c>
      <c r="BN103" s="177">
        <f t="shared" si="136"/>
        <v>0.88200000000000001</v>
      </c>
      <c r="BO103" s="177">
        <f t="shared" si="137"/>
        <v>0.2205</v>
      </c>
      <c r="BP103" s="542"/>
      <c r="BR103" s="469">
        <f t="shared" si="155"/>
        <v>1102.5</v>
      </c>
      <c r="BS103" s="542">
        <f t="shared" si="138"/>
        <v>0</v>
      </c>
      <c r="BT103" s="542">
        <f t="shared" si="139"/>
        <v>0</v>
      </c>
      <c r="BU103" s="542">
        <f t="shared" si="140"/>
        <v>0</v>
      </c>
      <c r="BV103" s="542">
        <f t="shared" si="141"/>
        <v>0</v>
      </c>
      <c r="BW103" s="647">
        <f t="shared" si="142"/>
        <v>0</v>
      </c>
      <c r="BX103" s="469">
        <f t="shared" si="156"/>
        <v>0</v>
      </c>
      <c r="BY103" s="177">
        <f t="shared" si="157"/>
        <v>1.8148898980635493</v>
      </c>
      <c r="BZ103" s="5">
        <f t="shared" si="158"/>
        <v>16.414999999999999</v>
      </c>
      <c r="CA103" s="177">
        <f t="shared" si="159"/>
        <v>0.9004442754063845</v>
      </c>
      <c r="CB103" s="5">
        <f t="shared" si="160"/>
        <v>90.044427540638452</v>
      </c>
      <c r="CC103">
        <f t="shared" si="161"/>
        <v>98</v>
      </c>
      <c r="CE103" s="576">
        <f t="shared" si="143"/>
        <v>-50</v>
      </c>
      <c r="CF103">
        <f t="shared" si="144"/>
        <v>-50</v>
      </c>
    </row>
    <row r="104" spans="5:84" x14ac:dyDescent="0.25">
      <c r="E104" s="174">
        <v>99</v>
      </c>
      <c r="F104" s="221">
        <f t="shared" ref="F104:F105" si="169">IF(PLOT_TYPE=1, E104/100*Iout_max, min_I*EXP(O104*rr/100))</f>
        <v>0.99</v>
      </c>
      <c r="G104" s="221">
        <f t="shared" si="145"/>
        <v>0.2475</v>
      </c>
      <c r="H104" s="221">
        <f t="shared" si="98"/>
        <v>14.85</v>
      </c>
      <c r="I104" s="221">
        <f t="shared" si="163"/>
        <v>1.7324999999999999</v>
      </c>
      <c r="J104" s="555">
        <f t="shared" si="99"/>
        <v>15</v>
      </c>
      <c r="K104" s="451">
        <f t="shared" si="100"/>
        <v>23.85</v>
      </c>
      <c r="L104" s="451">
        <f t="shared" si="101"/>
        <v>38.85</v>
      </c>
      <c r="M104" s="451"/>
      <c r="N104" s="221">
        <f t="shared" si="102"/>
        <v>0.61389961389961389</v>
      </c>
      <c r="O104" s="176">
        <f t="shared" si="168"/>
        <v>16.05988878003803</v>
      </c>
      <c r="P104" s="176">
        <f t="shared" si="103"/>
        <v>1.873653691004437</v>
      </c>
      <c r="Q104" s="221">
        <f t="shared" si="104"/>
        <v>1.0706592520025353</v>
      </c>
      <c r="R104" s="221">
        <f t="shared" si="105"/>
        <v>2.2942698257197187</v>
      </c>
      <c r="S104" s="451">
        <f t="shared" si="106"/>
        <v>15</v>
      </c>
      <c r="T104" s="221">
        <f t="shared" si="107"/>
        <v>3.7911221449851045</v>
      </c>
      <c r="U104" s="221">
        <f t="shared" si="108"/>
        <v>1.7691903343263822</v>
      </c>
      <c r="V104" s="221">
        <f t="shared" si="109"/>
        <v>1.1126983234757117</v>
      </c>
      <c r="W104" s="201">
        <f t="shared" si="110"/>
        <v>350</v>
      </c>
      <c r="X104" s="451">
        <f t="shared" si="147"/>
        <v>346.9946686846194</v>
      </c>
      <c r="Z104" s="221">
        <f t="shared" si="111"/>
        <v>3.7585690646915135</v>
      </c>
      <c r="AA104" s="177">
        <f t="shared" si="112"/>
        <v>1.1031439602868174</v>
      </c>
      <c r="AB104" s="177">
        <f t="shared" si="164"/>
        <v>0.97467647041501804</v>
      </c>
      <c r="AC104" s="177"/>
      <c r="AD104" s="177">
        <f t="shared" si="114"/>
        <v>0.24067085953878403</v>
      </c>
      <c r="AE104" s="559">
        <f t="shared" si="165"/>
        <v>7468.9598028384471</v>
      </c>
      <c r="AF104" s="542">
        <f t="shared" si="116"/>
        <v>4.6392002252886505E-2</v>
      </c>
      <c r="AH104" s="177">
        <f t="shared" si="117"/>
        <v>3.6792301768002433</v>
      </c>
      <c r="AI104" s="177">
        <f t="shared" si="166"/>
        <v>3.7911221449851045</v>
      </c>
      <c r="AJ104" s="177">
        <f t="shared" si="167"/>
        <v>3.4008312185074843</v>
      </c>
      <c r="AL104" s="559">
        <f t="shared" si="120"/>
        <v>990</v>
      </c>
      <c r="AM104" s="469">
        <f t="shared" si="121"/>
        <v>346.9946686846194</v>
      </c>
      <c r="AO104">
        <f t="shared" si="148"/>
        <v>990</v>
      </c>
      <c r="AP104">
        <f t="shared" si="122"/>
        <v>346.9946686846194</v>
      </c>
      <c r="AR104" s="5">
        <f t="shared" si="149"/>
        <v>2.8818886578020937</v>
      </c>
      <c r="AS104" s="5">
        <f t="shared" si="123"/>
        <v>1.7691903343263822</v>
      </c>
      <c r="AT104" s="5">
        <f t="shared" si="150"/>
        <v>1.1126983234757115</v>
      </c>
      <c r="AU104" s="177">
        <f t="shared" si="151"/>
        <v>0.61389961389961401</v>
      </c>
      <c r="AW104" s="5">
        <f t="shared" si="152"/>
        <v>12.079683950617282</v>
      </c>
      <c r="AX104" s="5">
        <f t="shared" si="124"/>
        <v>43.331243999999984</v>
      </c>
      <c r="AY104" s="5">
        <f t="shared" si="125"/>
        <v>0.85581907298473081</v>
      </c>
      <c r="AZ104" s="5">
        <f t="shared" si="126"/>
        <v>2.0769358895514412</v>
      </c>
      <c r="BA104" s="5">
        <f t="shared" si="127"/>
        <v>1.7264392934770516</v>
      </c>
      <c r="BB104" s="469">
        <f t="shared" si="128"/>
        <v>132.97399964235782</v>
      </c>
      <c r="BC104" s="5"/>
      <c r="BD104" s="177">
        <f t="shared" si="153"/>
        <v>1.71496724561449</v>
      </c>
      <c r="BE104" s="177">
        <f t="shared" si="129"/>
        <v>1.8269429018363046</v>
      </c>
      <c r="BF104" s="177">
        <f t="shared" si="130"/>
        <v>0.42898469403877781</v>
      </c>
      <c r="BG104" s="177"/>
      <c r="BH104" s="542">
        <f t="shared" si="131"/>
        <v>0.32352239188836057</v>
      </c>
      <c r="BI104" s="542">
        <f t="shared" si="132"/>
        <v>0.25553571428571437</v>
      </c>
      <c r="BJ104" s="542">
        <f t="shared" si="133"/>
        <v>1.734973343423097E-2</v>
      </c>
      <c r="BK104" s="542">
        <f t="shared" si="134"/>
        <v>0.11783854368579184</v>
      </c>
      <c r="BL104">
        <f t="shared" si="135"/>
        <v>4.3499999999999997E-3</v>
      </c>
      <c r="BM104" s="469">
        <f t="shared" si="154"/>
        <v>718.59638329409768</v>
      </c>
      <c r="BN104" s="177">
        <f t="shared" si="136"/>
        <v>0.89100000000000001</v>
      </c>
      <c r="BO104" s="177">
        <f t="shared" si="137"/>
        <v>0.22275</v>
      </c>
      <c r="BP104" s="542"/>
      <c r="BR104" s="469">
        <f t="shared" si="155"/>
        <v>1113.75</v>
      </c>
      <c r="BS104" s="542">
        <f t="shared" si="138"/>
        <v>0</v>
      </c>
      <c r="BT104" s="542">
        <f t="shared" si="139"/>
        <v>0</v>
      </c>
      <c r="BU104" s="542">
        <f t="shared" si="140"/>
        <v>0</v>
      </c>
      <c r="BV104" s="542">
        <f t="shared" si="141"/>
        <v>0</v>
      </c>
      <c r="BW104" s="647">
        <f t="shared" si="142"/>
        <v>0</v>
      </c>
      <c r="BX104" s="469">
        <f t="shared" si="156"/>
        <v>0</v>
      </c>
      <c r="BY104" s="177">
        <f t="shared" si="157"/>
        <v>1.8323463832940976</v>
      </c>
      <c r="BZ104" s="5">
        <f t="shared" si="158"/>
        <v>16.5825</v>
      </c>
      <c r="CA104" s="177">
        <f t="shared" si="159"/>
        <v>0.90049624389175476</v>
      </c>
      <c r="CB104" s="5">
        <f t="shared" si="160"/>
        <v>90.049624389175477</v>
      </c>
      <c r="CC104">
        <f t="shared" si="161"/>
        <v>99</v>
      </c>
      <c r="CE104" s="576">
        <f t="shared" si="143"/>
        <v>-50</v>
      </c>
      <c r="CF104">
        <f t="shared" si="144"/>
        <v>-50</v>
      </c>
    </row>
    <row r="105" spans="5:84" x14ac:dyDescent="0.25">
      <c r="E105" s="174">
        <v>100</v>
      </c>
      <c r="F105" s="221">
        <f t="shared" si="169"/>
        <v>1</v>
      </c>
      <c r="G105" s="221">
        <f t="shared" si="145"/>
        <v>0.25</v>
      </c>
      <c r="H105" s="221">
        <f t="shared" si="98"/>
        <v>15</v>
      </c>
      <c r="I105" s="221">
        <f t="shared" si="163"/>
        <v>1.75</v>
      </c>
      <c r="J105" s="555">
        <f t="shared" si="99"/>
        <v>15</v>
      </c>
      <c r="K105" s="451">
        <f t="shared" si="100"/>
        <v>23.85</v>
      </c>
      <c r="L105" s="451">
        <f t="shared" si="101"/>
        <v>38.85</v>
      </c>
      <c r="M105" s="451"/>
      <c r="N105" s="221">
        <f t="shared" si="102"/>
        <v>0.61389961389961389</v>
      </c>
      <c r="O105" s="176">
        <f t="shared" si="168"/>
        <v>16.05988878003803</v>
      </c>
      <c r="P105" s="176">
        <f t="shared" si="103"/>
        <v>1.873653691004437</v>
      </c>
      <c r="Q105" s="221">
        <f t="shared" si="104"/>
        <v>1.0706592520025353</v>
      </c>
      <c r="R105" s="221">
        <f t="shared" si="105"/>
        <v>2.2942698257197187</v>
      </c>
      <c r="S105" s="451">
        <f t="shared" si="106"/>
        <v>15</v>
      </c>
      <c r="T105" s="221">
        <f t="shared" si="107"/>
        <v>3.8294163080657619</v>
      </c>
      <c r="U105" s="221">
        <f t="shared" si="108"/>
        <v>1.7870609437640221</v>
      </c>
      <c r="V105" s="221">
        <f t="shared" si="109"/>
        <v>1.1239377004805171</v>
      </c>
      <c r="W105" s="201">
        <f t="shared" si="110"/>
        <v>350</v>
      </c>
      <c r="X105" s="451">
        <f t="shared" si="147"/>
        <v>343.52472199777316</v>
      </c>
      <c r="Z105" s="221">
        <f t="shared" si="111"/>
        <v>3.7585690646915135</v>
      </c>
      <c r="AA105" s="177">
        <f t="shared" si="112"/>
        <v>1.1031439602868174</v>
      </c>
      <c r="AB105" s="177">
        <f t="shared" si="164"/>
        <v>0.97467647041501804</v>
      </c>
      <c r="AC105" s="177"/>
      <c r="AD105" s="177">
        <f t="shared" si="114"/>
        <v>0.24067085953878403</v>
      </c>
      <c r="AE105" s="559">
        <f t="shared" si="165"/>
        <v>7544.4038412509572</v>
      </c>
      <c r="AF105" s="542">
        <f t="shared" si="116"/>
        <v>4.6392002252886505E-2</v>
      </c>
      <c r="AH105" s="177">
        <f t="shared" si="117"/>
        <v>3.6977654587270812</v>
      </c>
      <c r="AI105" s="177">
        <f t="shared" si="166"/>
        <v>3.8294163080657619</v>
      </c>
      <c r="AJ105" s="177">
        <f t="shared" si="167"/>
        <v>3.4291972652338973</v>
      </c>
      <c r="AL105" s="559">
        <f t="shared" si="120"/>
        <v>1000</v>
      </c>
      <c r="AM105" s="469">
        <f t="shared" si="121"/>
        <v>343.52472199777316</v>
      </c>
      <c r="AO105">
        <f t="shared" si="148"/>
        <v>1000</v>
      </c>
      <c r="AP105" s="3">
        <f t="shared" si="122"/>
        <v>343.52472199777316</v>
      </c>
      <c r="AR105" s="5">
        <f t="shared" si="149"/>
        <v>2.9109986442445392</v>
      </c>
      <c r="AS105" s="5">
        <f t="shared" si="123"/>
        <v>1.7870609437640221</v>
      </c>
      <c r="AT105" s="5">
        <f t="shared" si="150"/>
        <v>1.1239377004805171</v>
      </c>
      <c r="AU105" s="177">
        <f t="shared" si="151"/>
        <v>0.61389961389961389</v>
      </c>
      <c r="AW105" s="5">
        <f t="shared" si="152"/>
        <v>12.079683950617282</v>
      </c>
      <c r="AX105" s="5">
        <f t="shared" si="124"/>
        <v>44.180740740740731</v>
      </c>
      <c r="AY105" s="5">
        <f t="shared" si="125"/>
        <v>0.85581907298473081</v>
      </c>
      <c r="AZ105" s="5">
        <f t="shared" si="126"/>
        <v>2.1115303433847989</v>
      </c>
      <c r="BA105" s="5">
        <f t="shared" si="127"/>
        <v>1.7614930042618633</v>
      </c>
      <c r="BB105" s="469">
        <f t="shared" si="128"/>
        <v>135.63829110911342</v>
      </c>
      <c r="BC105" s="5"/>
      <c r="BD105" s="177">
        <f t="shared" si="153"/>
        <v>1.7322901470853431</v>
      </c>
      <c r="BE105" s="177">
        <f t="shared" si="129"/>
        <v>1.8453968705417221</v>
      </c>
      <c r="BF105" s="177">
        <f t="shared" si="130"/>
        <v>0.43331787276644224</v>
      </c>
      <c r="BG105" s="177"/>
      <c r="BH105" s="542">
        <f t="shared" si="131"/>
        <v>0.33009120690578558</v>
      </c>
      <c r="BI105" s="542">
        <f t="shared" si="132"/>
        <v>0.25553571428571431</v>
      </c>
      <c r="BJ105" s="542">
        <f t="shared" si="133"/>
        <v>1.7176236099888657E-2</v>
      </c>
      <c r="BK105" s="542">
        <f t="shared" si="134"/>
        <v>0.1166601582489339</v>
      </c>
      <c r="BL105">
        <f t="shared" si="135"/>
        <v>4.3499999999999997E-3</v>
      </c>
      <c r="BM105" s="469">
        <f t="shared" si="154"/>
        <v>723.81331554032249</v>
      </c>
      <c r="BN105" s="177">
        <f t="shared" si="136"/>
        <v>0.9</v>
      </c>
      <c r="BO105" s="177">
        <f t="shared" si="137"/>
        <v>0.22500000000000001</v>
      </c>
      <c r="BP105" s="542"/>
      <c r="BR105" s="469">
        <f t="shared" si="155"/>
        <v>1125</v>
      </c>
      <c r="BS105" s="542">
        <f t="shared" si="138"/>
        <v>0</v>
      </c>
      <c r="BT105" s="542">
        <f t="shared" si="139"/>
        <v>0</v>
      </c>
      <c r="BU105" s="542">
        <f t="shared" si="140"/>
        <v>0</v>
      </c>
      <c r="BV105" s="542">
        <f t="shared" si="141"/>
        <v>0</v>
      </c>
      <c r="BW105" s="647">
        <f t="shared" si="142"/>
        <v>0</v>
      </c>
      <c r="BX105" s="469">
        <f t="shared" si="156"/>
        <v>0</v>
      </c>
      <c r="BY105" s="177">
        <f t="shared" si="157"/>
        <v>1.8488133155403226</v>
      </c>
      <c r="BZ105" s="5">
        <f t="shared" si="158"/>
        <v>16.75</v>
      </c>
      <c r="CA105" s="177">
        <f t="shared" si="159"/>
        <v>0.90059509259144299</v>
      </c>
      <c r="CB105" s="5">
        <f t="shared" si="160"/>
        <v>90.059509259144306</v>
      </c>
      <c r="CC105">
        <f t="shared" si="161"/>
        <v>100</v>
      </c>
      <c r="CE105" s="576">
        <f t="shared" si="143"/>
        <v>-50</v>
      </c>
      <c r="CF105">
        <f t="shared" si="144"/>
        <v>-50</v>
      </c>
    </row>
    <row r="106" spans="5:84" x14ac:dyDescent="0.25">
      <c r="E106" s="174"/>
      <c r="F106" s="221"/>
      <c r="G106" s="221"/>
      <c r="H106" s="221"/>
      <c r="I106" s="221"/>
      <c r="J106" s="555"/>
      <c r="K106" s="451"/>
      <c r="L106" s="451"/>
      <c r="M106" s="451"/>
      <c r="N106" s="221"/>
      <c r="O106" s="176"/>
      <c r="P106" s="176"/>
      <c r="Q106" s="221"/>
      <c r="R106" s="221"/>
      <c r="S106" s="221"/>
      <c r="T106" s="221"/>
      <c r="U106" s="221"/>
      <c r="V106" s="221"/>
      <c r="W106" s="201"/>
      <c r="X106" s="451"/>
      <c r="Z106" s="221"/>
      <c r="AA106" s="177"/>
      <c r="AB106" s="177"/>
      <c r="AC106" s="177"/>
      <c r="AD106" s="177"/>
      <c r="AE106" s="559"/>
      <c r="AF106" s="542"/>
      <c r="AH106" s="177"/>
      <c r="AI106" s="177"/>
      <c r="AJ106" s="177"/>
      <c r="AL106" s="559"/>
      <c r="AM106" s="469"/>
      <c r="AP106" s="3"/>
      <c r="AR106" s="5"/>
      <c r="AS106" s="5"/>
      <c r="AT106" s="5"/>
      <c r="AU106" s="177"/>
      <c r="AW106" s="5"/>
      <c r="AX106" s="5"/>
      <c r="AY106" s="5"/>
      <c r="AZ106" s="5"/>
      <c r="BA106" s="5"/>
      <c r="BB106" s="5"/>
      <c r="BC106" s="5"/>
      <c r="BD106" s="177"/>
      <c r="BE106" s="177"/>
      <c r="BF106" s="177"/>
      <c r="BG106" s="177"/>
      <c r="BH106" s="542"/>
      <c r="BI106" s="542"/>
      <c r="BJ106" s="542"/>
      <c r="BK106" s="542"/>
      <c r="BM106" s="469"/>
      <c r="BN106" s="177"/>
      <c r="BO106" s="177"/>
      <c r="BP106" s="542"/>
      <c r="BR106" s="469"/>
      <c r="BS106" s="542"/>
      <c r="BT106" s="542"/>
      <c r="BU106" s="542"/>
      <c r="BV106" s="542"/>
      <c r="BW106" s="647"/>
      <c r="BX106" s="469"/>
      <c r="BY106" s="177"/>
      <c r="BZ106" s="5"/>
      <c r="CA106" s="177"/>
      <c r="CB106" s="5"/>
    </row>
    <row r="107" spans="5:84" x14ac:dyDescent="0.25">
      <c r="G107" s="221"/>
      <c r="H107" s="221"/>
      <c r="I107" s="221"/>
      <c r="J107" s="555"/>
      <c r="K107" s="451"/>
      <c r="L107" s="451"/>
      <c r="M107" s="451"/>
      <c r="N107" s="221"/>
      <c r="O107" s="176"/>
      <c r="P107" s="176"/>
      <c r="Q107" s="221"/>
      <c r="R107" s="221"/>
      <c r="S107" s="221"/>
      <c r="T107" s="221"/>
      <c r="U107" s="221"/>
      <c r="V107" s="221"/>
      <c r="W107" s="201"/>
      <c r="X107" s="451"/>
      <c r="Z107" s="221"/>
      <c r="AA107" s="177"/>
      <c r="AB107" s="177"/>
      <c r="AC107" s="177"/>
      <c r="AD107" s="177"/>
      <c r="AE107" s="559"/>
      <c r="AF107" s="542"/>
      <c r="AH107" s="177"/>
      <c r="AI107" s="177"/>
      <c r="AJ107" s="177"/>
      <c r="AL107" s="559"/>
      <c r="AM107" s="469"/>
      <c r="AR107" s="5"/>
      <c r="AS107" s="5"/>
      <c r="AT107" s="5"/>
      <c r="AU107" s="177"/>
      <c r="AW107" s="5"/>
      <c r="AX107" s="5"/>
      <c r="AY107" s="5"/>
      <c r="AZ107" s="5"/>
      <c r="BA107" s="5"/>
      <c r="BB107" s="5"/>
      <c r="BC107" s="5"/>
      <c r="BD107" s="177"/>
      <c r="BE107" s="177"/>
      <c r="BF107" s="177"/>
      <c r="BG107" s="177"/>
      <c r="BH107" s="542"/>
      <c r="BI107" s="542"/>
      <c r="BJ107" s="542"/>
      <c r="BK107" s="542"/>
      <c r="BM107" s="469"/>
      <c r="BN107" s="177"/>
      <c r="BO107" s="177"/>
      <c r="BP107" s="542"/>
      <c r="BR107" s="469"/>
      <c r="BS107" s="542"/>
      <c r="BT107" s="542"/>
      <c r="BU107" s="542"/>
      <c r="BV107" s="542"/>
      <c r="BW107" s="647"/>
      <c r="BX107" s="469"/>
      <c r="BY107" s="177"/>
      <c r="BZ107" s="5"/>
      <c r="CA107" s="177"/>
      <c r="CB107" s="5"/>
    </row>
    <row r="108" spans="5:84" x14ac:dyDescent="0.25">
      <c r="E108" s="453" t="s">
        <v>445</v>
      </c>
      <c r="G108" s="221"/>
      <c r="H108" s="221"/>
      <c r="I108" s="221"/>
      <c r="J108" s="555"/>
      <c r="K108" s="451"/>
      <c r="L108" s="451"/>
      <c r="M108" s="451"/>
      <c r="N108" s="221"/>
      <c r="O108" s="176"/>
      <c r="P108" s="176"/>
      <c r="Q108" s="221"/>
      <c r="R108" s="221"/>
      <c r="S108" s="221"/>
      <c r="T108" s="221"/>
      <c r="U108" s="221"/>
      <c r="V108" s="221"/>
      <c r="W108" s="201"/>
      <c r="X108" s="451"/>
      <c r="Z108" s="221"/>
      <c r="AA108" s="177"/>
      <c r="AB108" s="177"/>
      <c r="AC108" s="177"/>
      <c r="AD108" s="177"/>
      <c r="AE108" s="559"/>
      <c r="AF108" s="542"/>
      <c r="AH108" s="177"/>
      <c r="AI108" s="177"/>
      <c r="AJ108" s="177"/>
      <c r="AL108" s="559"/>
      <c r="AM108" s="469"/>
      <c r="AR108" s="5"/>
      <c r="AS108" s="5"/>
      <c r="AT108" s="5"/>
      <c r="AU108" s="177"/>
      <c r="AW108" s="5"/>
      <c r="AX108" s="5"/>
      <c r="AY108" s="5"/>
      <c r="AZ108" s="5"/>
      <c r="BA108" s="5"/>
      <c r="BB108" s="5"/>
      <c r="BC108" s="547"/>
      <c r="BD108" s="572" t="s">
        <v>482</v>
      </c>
      <c r="BE108" s="547"/>
      <c r="BF108" s="547"/>
      <c r="BG108" s="547"/>
      <c r="BH108" s="572" t="s">
        <v>505</v>
      </c>
      <c r="BI108" s="547"/>
      <c r="BJ108" s="547"/>
      <c r="BK108" s="547"/>
      <c r="BL108" s="547"/>
      <c r="BM108" s="547"/>
      <c r="BN108" s="572" t="s">
        <v>501</v>
      </c>
      <c r="BO108" s="547"/>
      <c r="BP108" s="547"/>
      <c r="BQ108" s="547"/>
      <c r="BR108" s="547"/>
      <c r="BS108" s="573" t="s">
        <v>502</v>
      </c>
      <c r="BT108" s="547"/>
      <c r="BU108" s="547"/>
      <c r="BV108" s="547"/>
      <c r="BW108" s="547"/>
      <c r="BX108" s="547"/>
      <c r="BY108" s="572"/>
      <c r="BZ108" s="547"/>
      <c r="CA108" s="547"/>
      <c r="CB108" s="547"/>
      <c r="CC108" s="547"/>
    </row>
    <row r="109" spans="5:84" ht="45" customHeight="1" thickBot="1" x14ac:dyDescent="0.3">
      <c r="E109" s="245" t="s">
        <v>25</v>
      </c>
      <c r="F109" s="619" t="s">
        <v>597</v>
      </c>
      <c r="G109" s="452" t="s">
        <v>596</v>
      </c>
      <c r="H109" s="620" t="s">
        <v>598</v>
      </c>
      <c r="I109" s="621" t="s">
        <v>599</v>
      </c>
      <c r="J109" s="246" t="s">
        <v>423</v>
      </c>
      <c r="K109" s="247" t="s">
        <v>429</v>
      </c>
      <c r="L109" s="541" t="s">
        <v>424</v>
      </c>
      <c r="M109" s="541"/>
      <c r="N109" s="248" t="s">
        <v>48</v>
      </c>
      <c r="O109" s="623" t="s">
        <v>607</v>
      </c>
      <c r="P109" s="623" t="s">
        <v>622</v>
      </c>
      <c r="Q109" s="541" t="s">
        <v>414</v>
      </c>
      <c r="R109" s="623" t="s">
        <v>601</v>
      </c>
      <c r="S109" s="541" t="s">
        <v>444</v>
      </c>
      <c r="T109" s="623" t="s">
        <v>425</v>
      </c>
      <c r="U109" s="541" t="s">
        <v>477</v>
      </c>
      <c r="V109" s="541" t="s">
        <v>476</v>
      </c>
      <c r="W109" s="560" t="s">
        <v>431</v>
      </c>
      <c r="X109" s="556" t="s">
        <v>436</v>
      </c>
      <c r="Z109" s="249" t="s">
        <v>428</v>
      </c>
      <c r="AA109" s="249" t="s">
        <v>475</v>
      </c>
      <c r="AB109" s="249" t="s">
        <v>604</v>
      </c>
      <c r="AC109" s="558"/>
      <c r="AD109" s="249" t="s">
        <v>474</v>
      </c>
      <c r="AE109" s="624" t="s">
        <v>437</v>
      </c>
      <c r="AF109" s="249" t="s">
        <v>605</v>
      </c>
      <c r="AG109" s="558"/>
      <c r="AH109" s="177"/>
      <c r="AI109" s="561" t="s">
        <v>441</v>
      </c>
      <c r="AJ109" s="561" t="s">
        <v>442</v>
      </c>
      <c r="AL109" s="557" t="s">
        <v>276</v>
      </c>
      <c r="AM109" s="557" t="s">
        <v>443</v>
      </c>
      <c r="AO109" s="249" t="s">
        <v>276</v>
      </c>
      <c r="AP109" s="249" t="s">
        <v>443</v>
      </c>
      <c r="AQ109" s="562"/>
      <c r="AR109" s="249" t="s">
        <v>478</v>
      </c>
      <c r="AS109" s="249" t="s">
        <v>472</v>
      </c>
      <c r="AT109" s="249" t="s">
        <v>473</v>
      </c>
      <c r="AU109" s="249" t="s">
        <v>48</v>
      </c>
      <c r="AV109" s="558"/>
      <c r="AW109" s="249" t="s">
        <v>608</v>
      </c>
      <c r="AX109" s="249" t="s">
        <v>721</v>
      </c>
      <c r="AY109" s="249" t="s">
        <v>609</v>
      </c>
      <c r="AZ109" s="249" t="s">
        <v>722</v>
      </c>
      <c r="BA109" s="249" t="s">
        <v>527</v>
      </c>
      <c r="BB109" s="249"/>
      <c r="BC109" s="558"/>
      <c r="BD109" s="571" t="s">
        <v>467</v>
      </c>
      <c r="BE109" s="249" t="s">
        <v>616</v>
      </c>
      <c r="BF109" s="249" t="s">
        <v>615</v>
      </c>
      <c r="BG109" s="558"/>
      <c r="BH109" s="571" t="s">
        <v>485</v>
      </c>
      <c r="BI109" s="249" t="s">
        <v>486</v>
      </c>
      <c r="BJ109" s="249" t="s">
        <v>484</v>
      </c>
      <c r="BK109" s="249" t="s">
        <v>480</v>
      </c>
      <c r="BL109" s="249" t="s">
        <v>489</v>
      </c>
      <c r="BM109" s="249" t="s">
        <v>503</v>
      </c>
      <c r="BN109" s="571" t="s">
        <v>618</v>
      </c>
      <c r="BO109" s="249" t="s">
        <v>617</v>
      </c>
      <c r="BP109" s="249" t="s">
        <v>488</v>
      </c>
      <c r="BQ109" s="249" t="s">
        <v>495</v>
      </c>
      <c r="BR109" s="249" t="s">
        <v>499</v>
      </c>
      <c r="BS109" s="571" t="s">
        <v>469</v>
      </c>
      <c r="BT109" s="249" t="s">
        <v>620</v>
      </c>
      <c r="BU109" s="249" t="s">
        <v>619</v>
      </c>
      <c r="BV109" s="249" t="s">
        <v>479</v>
      </c>
      <c r="BW109" s="249" t="s">
        <v>496</v>
      </c>
      <c r="BX109" s="249" t="s">
        <v>498</v>
      </c>
      <c r="BY109" s="571" t="s">
        <v>494</v>
      </c>
      <c r="BZ109" s="249" t="s">
        <v>224</v>
      </c>
      <c r="CA109" s="249" t="s">
        <v>47</v>
      </c>
      <c r="CB109" s="249" t="s">
        <v>497</v>
      </c>
      <c r="CC109" s="249" t="s">
        <v>621</v>
      </c>
      <c r="CE109" s="584" t="s">
        <v>510</v>
      </c>
    </row>
    <row r="110" spans="5:84" x14ac:dyDescent="0.25">
      <c r="E110" s="174">
        <v>0.1</v>
      </c>
      <c r="F110" s="221">
        <v>1.0000000000000001E-9</v>
      </c>
      <c r="G110" s="221">
        <f t="shared" ref="G110:G141" si="170">IF(PLOT_TYPE=1, E110/100*Iout2, min_I*EXP(Q110*rr/100))</f>
        <v>2.5000000000000001E-4</v>
      </c>
      <c r="H110" s="221">
        <f t="shared" ref="H110:H141" si="171">F110*Vout</f>
        <v>1.5000000000000002E-8</v>
      </c>
      <c r="I110" s="221">
        <f t="shared" ref="I110:I141" si="172">Vout2*G110</f>
        <v>1.75E-3</v>
      </c>
      <c r="J110" s="555">
        <f t="shared" ref="J110:J173" si="173">VIN_min</f>
        <v>12</v>
      </c>
      <c r="K110" s="451">
        <f t="shared" ref="K110:K173" si="174">(S110+Vfwd1)*Nps</f>
        <v>23.85</v>
      </c>
      <c r="L110" s="451">
        <f t="shared" ref="L110:L173" si="175">(Vout+Vfwd1)*Nps+J110</f>
        <v>35.85</v>
      </c>
      <c r="M110" s="451"/>
      <c r="N110" s="221">
        <f t="shared" ref="N110:N173" si="176">(Vout+Vfwd1)*Nps/((Vout+Vfwd1)*Nps+J110)</f>
        <v>0.66527196652719667</v>
      </c>
      <c r="O110" s="176">
        <f t="shared" ref="O110:O141" si="177">N110*J110*Isw_max*0.5*Efficiency*Pout/(Pout+Pout2)</f>
        <v>13.923050021857241</v>
      </c>
      <c r="P110" s="176">
        <f t="shared" ref="P110:P141" si="178">N110*J110*Isw_max*0.5*Efficiency*(Pout2/Pout_total)</f>
        <v>1.6243558358833448</v>
      </c>
      <c r="Q110" s="221">
        <f t="shared" ref="Q110:Q173" si="179">O110/Vout</f>
        <v>0.92820333479048278</v>
      </c>
      <c r="R110" s="221">
        <f t="shared" ref="R110:R141" si="180">O110/Vout2</f>
        <v>1.9890071459796059</v>
      </c>
      <c r="S110" s="221">
        <f t="shared" ref="S110:S141" si="181">MIN(Vout,O110/F110)</f>
        <v>15</v>
      </c>
      <c r="T110" s="221">
        <f t="shared" ref="T110:T141" si="182">MIN(2*(Vout*F110+Vout2*G110)/(Efficiency*J110*N110), Isw_max)</f>
        <v>4.6149573540770167E-4</v>
      </c>
      <c r="U110" s="221">
        <f t="shared" ref="U110:U173" si="183">L*T110/J110*1000000</f>
        <v>2.6920584565449262E-4</v>
      </c>
      <c r="V110" s="221">
        <f t="shared" ref="V110:V173" si="184">L*T110/K110*1000000</f>
        <v>1.3544948209031076E-4</v>
      </c>
      <c r="W110" s="201">
        <f t="shared" ref="W110:W173" si="185">IF(1/((350000*L)*(1/J110+1/K110))&gt;Isw_min, 350, 0.001/((Isw_min*L)*(1/J110+1/K110)))</f>
        <v>350</v>
      </c>
      <c r="X110" s="451">
        <f t="shared" ref="X110:X173" si="186">MIN(1/(U110+V110)*1000, 350)</f>
        <v>350</v>
      </c>
      <c r="Z110" s="221">
        <f t="shared" ref="Z110:Z173" si="187">1/((W110*1000*L)*(1/J110+1/K110))</f>
        <v>3.2584749380923919</v>
      </c>
      <c r="AA110" s="177">
        <f t="shared" ref="AA110:AA173" si="188">L*Z110/K110*1000000</f>
        <v>0.95636580992229525</v>
      </c>
      <c r="AB110" s="177">
        <f t="shared" ref="AB110:AB141" si="189">0.5*AA110*Z110*Nps*W110/1000*(Pout/(Pout+Pout2))</f>
        <v>0.73256165472632317</v>
      </c>
      <c r="AC110" s="177"/>
      <c r="AD110" s="177">
        <f t="shared" ref="AD110:AD173" si="190">L*Isw_min/K110*1000000</f>
        <v>0.24067085953878403</v>
      </c>
      <c r="AE110" s="559">
        <f t="shared" ref="AE110:AE141" si="191">MAX(10, F110/(0.5*AD110/1000000*Isw_min*Nps)/1000*Pout_total/Pout)</f>
        <v>10</v>
      </c>
      <c r="AF110" s="542">
        <f t="shared" ref="AF110:AF141" si="192">0.5*AD110/1000000*Isw_min*Nps*W110*1000*(Pout/Pout_total)</f>
        <v>4.6392002252886505E-2</v>
      </c>
      <c r="AH110" s="177">
        <f t="shared" ref="AH110:AH141" si="193">SQRT((H110+I110)/(0.5*L*Fsw_DCM))</f>
        <v>3.779660928534976E-2</v>
      </c>
      <c r="AI110" s="177">
        <f t="shared" ref="AI110:AI141" si="194">MAX(IF(F110&gt;AB110,T110,AH110),Isw_min)</f>
        <v>0.82</v>
      </c>
      <c r="AJ110" s="177">
        <f t="shared" ref="AJ110:AJ141" si="195">IF(F110&gt;AF110, (AI110-Isw_min)/1.08*0.8+1.2, AE110*0.2/350+1)</f>
        <v>1.0057142857142858</v>
      </c>
      <c r="AL110" s="559">
        <f t="shared" ref="AL110:AL141" si="196">F110*1000</f>
        <v>1.0000000000000002E-6</v>
      </c>
      <c r="AM110" s="469">
        <f t="shared" ref="AM110:AM141" si="197">IF(F110&gt;AF110, X110, AE110)</f>
        <v>10</v>
      </c>
      <c r="AO110" s="469">
        <f t="shared" ref="AO110:AO173" si="198">IF(H110&gt;O110, "",AL110)</f>
        <v>1.0000000000000002E-6</v>
      </c>
      <c r="AP110" s="469">
        <f t="shared" ref="AP110:AP173" si="199">IF(H110&gt;O110, "",AM110)</f>
        <v>10</v>
      </c>
      <c r="AR110" s="5">
        <f t="shared" si="149"/>
        <v>100</v>
      </c>
      <c r="AS110" s="5">
        <f t="shared" ref="AS110:AS114" si="200">L*AI110/J110*1000000</f>
        <v>0.47833333333333322</v>
      </c>
      <c r="AT110" s="5">
        <f t="shared" ref="AT110:AT114" si="201">AR110-AS110</f>
        <v>99.521666666666661</v>
      </c>
      <c r="AU110" s="177">
        <f t="shared" ref="AU110:AU114" si="202">AS110/AR110</f>
        <v>4.7833333333333321E-3</v>
      </c>
      <c r="AW110" s="5">
        <f t="shared" ref="AW110:AW141" si="203">L*Iout^2/(2*Vripple1_spec*Vout*Npri_sec1^2)*1000000000*((1+N110)/(1-N110))^2</f>
        <v>17.111543209876547</v>
      </c>
      <c r="AX110" s="5">
        <f t="shared" ref="AX110:AX141" si="204">L*F110^2/(2*Cout*Vout*Nps^2)*1000000000*((1+N110)/(1-N110))^2+F110*RCoutEsr</f>
        <v>3.0000000583348067E-9</v>
      </c>
      <c r="AY110" s="5">
        <f t="shared" ref="AY110:AY141" si="205">L*Iout2^2/(2*Vout_ripple2*Vout2*Npri_sec2^2)*1000000000*((1+N110)/(1-N110))^2</f>
        <v>1.2123152482368027</v>
      </c>
      <c r="AZ110" s="5">
        <f t="shared" ref="AZ110:AZ141" si="206">L*G110^2/(2*Cout2*Vout2*Npri_sec2^2)*1000000000*((1+N110)/(1-N110))^2+G110*CoutEsr2</f>
        <v>7.5192868334946763E-4</v>
      </c>
      <c r="BA110" s="5">
        <f t="shared" ref="BA110:BA141" si="207">(H110+I110)/Efficiency/J110*AT110/Vinripple1</f>
        <v>2.0370106373294349E-2</v>
      </c>
      <c r="BB110" s="5"/>
      <c r="BC110" s="5"/>
      <c r="BD110" s="177">
        <f t="shared" ref="BD110:BD169" si="208">AI110*SQRT(AU110/3)</f>
        <v>3.2743006038609898E-2</v>
      </c>
      <c r="BE110" s="177">
        <f t="shared" ref="BE110:BE169" si="209">AI110*Npri_sec1*SQRT((1-AU110)/3)*(Pout/Pout_total)</f>
        <v>0.63442421646206426</v>
      </c>
      <c r="BF110" s="177">
        <f t="shared" ref="BF110:BF169" si="210">AI110*Npri_sec2*SQRT((1-AU110)/3)*(Pout2/Pout_total)</f>
        <v>0.14896923057432013</v>
      </c>
      <c r="BG110" s="177"/>
      <c r="BH110" s="542">
        <f t="shared" ref="BH110:BH169" si="211">Rdson*BD110^2</f>
        <v>1.1793148888888888E-4</v>
      </c>
      <c r="BI110" s="542">
        <f t="shared" ref="BI110:BI169" si="212">0.5*L110*AI110*AM110*1000*Trise</f>
        <v>1.4698499999999998E-3</v>
      </c>
      <c r="BJ110" s="542">
        <f t="shared" ref="BJ110:BJ169" si="213">Qg*Vdd*AM110*1000</f>
        <v>5.0000000000000001E-4</v>
      </c>
      <c r="BK110" s="542">
        <f t="shared" ref="BK110:BK169" si="214">0.5*(Coss+Csw)*L110^2*AM110*1000</f>
        <v>2.8917506250000003E-3</v>
      </c>
      <c r="BL110">
        <f t="shared" ref="BL110:BL169" si="215">J110*IQ</f>
        <v>3.48E-3</v>
      </c>
      <c r="BM110" s="469">
        <f t="shared" ref="BM110:BM169" si="216">SUM(BH110:BL110)*1000</f>
        <v>8.4595321138888906</v>
      </c>
      <c r="BN110" s="177">
        <f t="shared" ref="BN110:BN169" si="217">Vfwd2*F110</f>
        <v>9.000000000000001E-10</v>
      </c>
      <c r="BO110" s="177">
        <f t="shared" ref="BO110:BO169" si="218">Vfwd2*G110</f>
        <v>2.2500000000000002E-4</v>
      </c>
      <c r="BP110" s="542"/>
      <c r="BR110" s="469">
        <f t="shared" ref="BR110:BR169" si="219">SUM(BN110:BQ110)*1000</f>
        <v>0.22500090000000003</v>
      </c>
      <c r="BS110" s="542">
        <f t="shared" ref="BS110:BS169" si="220">Rdcr_pri*BD110^2</f>
        <v>0</v>
      </c>
      <c r="BT110" s="542">
        <f t="shared" ref="BT110:BT169" si="221">Rdcr_sec*BE110^2</f>
        <v>0</v>
      </c>
      <c r="BU110" s="542">
        <f t="shared" ref="BU110:BU169" si="222">Rdcr_sec2*BF110^2</f>
        <v>0</v>
      </c>
      <c r="BV110" s="542">
        <f t="shared" ref="BV110:BV169" si="223">AI110^2.5*AM110^2.5*k_core</f>
        <v>0</v>
      </c>
      <c r="BW110" s="647">
        <f t="shared" ref="BW110:BW141" si="224">0.5*Lleak*0.000000001*AI110^2*AM110*1000</f>
        <v>0</v>
      </c>
      <c r="BX110" s="469">
        <f t="shared" ref="BX110:BX169" si="225">SUM(BS110:BW110)*1000</f>
        <v>0</v>
      </c>
      <c r="BY110" s="177">
        <f t="shared" ref="BY110:BY169" si="226">SUM(BH110:BL110,BN110:BQ110,BS110:BW110)</f>
        <v>8.6845330138888895E-3</v>
      </c>
      <c r="BZ110" s="5">
        <f t="shared" ref="BZ110:BZ169" si="227">MIN(H110+I110,O110+P110)</f>
        <v>1.7500149999999999E-3</v>
      </c>
      <c r="CA110" s="177">
        <f t="shared" ref="CA110:CA169" si="228">BZ110/(BZ110+BY110)</f>
        <v>0.1677135413695586</v>
      </c>
      <c r="CB110" s="5">
        <f t="shared" ref="CB110:CB169" si="229">CA110*100</f>
        <v>16.771354136955861</v>
      </c>
      <c r="CC110">
        <f t="shared" ref="CC110:CC169" si="230">F110/Iout*100</f>
        <v>1.0000000000000001E-7</v>
      </c>
      <c r="CE110" s="576">
        <f t="shared" ref="CE110:CE141" si="231">IF(ABS(F110-Ioutmax_Vinmin)&lt;Iout/200, AM110, -50)</f>
        <v>-50</v>
      </c>
      <c r="CF110">
        <f t="shared" ref="CF110:CF141" si="232">IF(ABS(F110-Ioutmax_Vinmin)&lt;Iout/200, (O110+P110)*CA110, -50)</f>
        <v>-50</v>
      </c>
    </row>
    <row r="111" spans="5:84" x14ac:dyDescent="0.25">
      <c r="E111" s="174">
        <v>1</v>
      </c>
      <c r="F111" s="221">
        <f t="shared" ref="F111:F142" si="233">IF(PLOT_TYPE=1, E111/100*Iout_max, min_I*EXP(O111*rr/100))</f>
        <v>0.01</v>
      </c>
      <c r="G111" s="221">
        <f t="shared" si="170"/>
        <v>2.5000000000000001E-3</v>
      </c>
      <c r="H111" s="221">
        <f t="shared" si="171"/>
        <v>0.15</v>
      </c>
      <c r="I111" s="221">
        <f t="shared" si="172"/>
        <v>1.7500000000000002E-2</v>
      </c>
      <c r="J111" s="555">
        <f t="shared" si="173"/>
        <v>12</v>
      </c>
      <c r="K111" s="451">
        <f t="shared" si="174"/>
        <v>23.85</v>
      </c>
      <c r="L111" s="451">
        <f t="shared" si="175"/>
        <v>35.85</v>
      </c>
      <c r="M111" s="451"/>
      <c r="N111" s="221">
        <f t="shared" si="176"/>
        <v>0.66527196652719667</v>
      </c>
      <c r="O111" s="176">
        <f t="shared" si="177"/>
        <v>13.923050021857241</v>
      </c>
      <c r="P111" s="176">
        <f t="shared" si="178"/>
        <v>1.6243558358833448</v>
      </c>
      <c r="Q111" s="221">
        <f t="shared" si="179"/>
        <v>0.92820333479048278</v>
      </c>
      <c r="R111" s="221">
        <f t="shared" si="180"/>
        <v>1.9890071459796059</v>
      </c>
      <c r="S111" s="221">
        <f t="shared" si="181"/>
        <v>15</v>
      </c>
      <c r="T111" s="221">
        <f t="shared" si="182"/>
        <v>4.4171356063113759E-2</v>
      </c>
      <c r="U111" s="221">
        <f t="shared" si="183"/>
        <v>2.5766624370149691E-2</v>
      </c>
      <c r="V111" s="221">
        <f t="shared" si="184"/>
        <v>1.2964339305735692E-2</v>
      </c>
      <c r="W111" s="201">
        <f t="shared" si="185"/>
        <v>350</v>
      </c>
      <c r="X111" s="451">
        <f t="shared" si="186"/>
        <v>350</v>
      </c>
      <c r="Z111" s="221">
        <f t="shared" si="187"/>
        <v>3.2584749380923919</v>
      </c>
      <c r="AA111" s="177">
        <f t="shared" si="188"/>
        <v>0.95636580992229525</v>
      </c>
      <c r="AB111" s="177">
        <f t="shared" si="189"/>
        <v>0.73256165472632317</v>
      </c>
      <c r="AC111" s="177"/>
      <c r="AD111" s="177">
        <f t="shared" si="190"/>
        <v>0.24067085953878403</v>
      </c>
      <c r="AE111" s="559">
        <f t="shared" si="191"/>
        <v>75.444038412509585</v>
      </c>
      <c r="AF111" s="542">
        <f t="shared" si="192"/>
        <v>4.6392002252886505E-2</v>
      </c>
      <c r="AH111" s="177">
        <f t="shared" si="193"/>
        <v>0.36977654587270808</v>
      </c>
      <c r="AI111" s="177">
        <f t="shared" si="194"/>
        <v>0.82</v>
      </c>
      <c r="AJ111" s="177">
        <f t="shared" si="195"/>
        <v>1.0431108790928627</v>
      </c>
      <c r="AL111" s="559">
        <f t="shared" si="196"/>
        <v>10</v>
      </c>
      <c r="AM111" s="469">
        <f t="shared" si="197"/>
        <v>75.444038412509585</v>
      </c>
      <c r="AO111" s="469">
        <f t="shared" si="198"/>
        <v>10</v>
      </c>
      <c r="AP111" s="469">
        <f t="shared" si="199"/>
        <v>75.444038412509585</v>
      </c>
      <c r="AR111" s="5">
        <f t="shared" si="149"/>
        <v>13.254857786538999</v>
      </c>
      <c r="AS111" s="5">
        <f t="shared" si="200"/>
        <v>0.47833333333333322</v>
      </c>
      <c r="AT111" s="5">
        <f t="shared" si="201"/>
        <v>12.776524453205665</v>
      </c>
      <c r="AU111" s="177">
        <f t="shared" si="202"/>
        <v>3.6087398373983746E-2</v>
      </c>
      <c r="AW111" s="5">
        <f t="shared" si="203"/>
        <v>17.111543209876547</v>
      </c>
      <c r="AX111" s="5">
        <f t="shared" si="204"/>
        <v>3.5833480639730644E-2</v>
      </c>
      <c r="AY111" s="5">
        <f t="shared" si="205"/>
        <v>1.2123152482368027</v>
      </c>
      <c r="AZ111" s="5">
        <f t="shared" si="206"/>
        <v>7.6928683349467642E-3</v>
      </c>
      <c r="BA111" s="5">
        <f t="shared" si="207"/>
        <v>0.25030033285519865</v>
      </c>
      <c r="BB111" s="5"/>
      <c r="BC111" s="5"/>
      <c r="BD111" s="177">
        <f t="shared" si="208"/>
        <v>8.9935470693652847E-2</v>
      </c>
      <c r="BE111" s="177">
        <f t="shared" si="209"/>
        <v>0.62436674089271582</v>
      </c>
      <c r="BF111" s="177">
        <f t="shared" si="210"/>
        <v>0.14660763346278327</v>
      </c>
      <c r="BG111" s="177"/>
      <c r="BH111" s="542">
        <f t="shared" si="211"/>
        <v>8.8972277777777786E-4</v>
      </c>
      <c r="BI111" s="542">
        <f t="shared" si="212"/>
        <v>1.108914198606272E-2</v>
      </c>
      <c r="BJ111" s="542">
        <f t="shared" si="213"/>
        <v>3.7722019206254788E-3</v>
      </c>
      <c r="BK111" s="542">
        <f t="shared" si="214"/>
        <v>2.1816534523189861E-2</v>
      </c>
      <c r="BL111">
        <f t="shared" si="215"/>
        <v>3.48E-3</v>
      </c>
      <c r="BM111" s="469">
        <f t="shared" si="216"/>
        <v>41.047601207655831</v>
      </c>
      <c r="BN111" s="177">
        <f t="shared" si="217"/>
        <v>9.0000000000000011E-3</v>
      </c>
      <c r="BO111" s="177">
        <f t="shared" si="218"/>
        <v>2.2500000000000003E-3</v>
      </c>
      <c r="BP111" s="542"/>
      <c r="BR111" s="469">
        <f t="shared" si="219"/>
        <v>11.250000000000002</v>
      </c>
      <c r="BS111" s="542">
        <f t="shared" si="220"/>
        <v>0</v>
      </c>
      <c r="BT111" s="542">
        <f t="shared" si="221"/>
        <v>0</v>
      </c>
      <c r="BU111" s="542">
        <f t="shared" si="222"/>
        <v>0</v>
      </c>
      <c r="BV111" s="542">
        <f t="shared" si="223"/>
        <v>0</v>
      </c>
      <c r="BW111" s="647">
        <f t="shared" si="224"/>
        <v>0</v>
      </c>
      <c r="BX111" s="469">
        <f t="shared" si="225"/>
        <v>0</v>
      </c>
      <c r="BY111" s="177">
        <f t="shared" si="226"/>
        <v>5.2297601207655836E-2</v>
      </c>
      <c r="BZ111" s="5">
        <f t="shared" si="227"/>
        <v>0.16749999999999998</v>
      </c>
      <c r="CA111" s="177">
        <f t="shared" si="228"/>
        <v>0.76206473173359524</v>
      </c>
      <c r="CB111" s="5">
        <f t="shared" si="229"/>
        <v>76.206473173359527</v>
      </c>
      <c r="CC111">
        <f t="shared" si="230"/>
        <v>1</v>
      </c>
      <c r="CE111" s="576">
        <f t="shared" si="231"/>
        <v>-50</v>
      </c>
      <c r="CF111">
        <f t="shared" si="232"/>
        <v>-50</v>
      </c>
    </row>
    <row r="112" spans="5:84" x14ac:dyDescent="0.25">
      <c r="E112" s="174">
        <v>2</v>
      </c>
      <c r="F112" s="221">
        <f t="shared" si="233"/>
        <v>0.02</v>
      </c>
      <c r="G112" s="221">
        <f t="shared" si="170"/>
        <v>5.0000000000000001E-3</v>
      </c>
      <c r="H112" s="221">
        <f t="shared" si="171"/>
        <v>0.3</v>
      </c>
      <c r="I112" s="221">
        <f t="shared" si="172"/>
        <v>3.5000000000000003E-2</v>
      </c>
      <c r="J112" s="555">
        <f t="shared" si="173"/>
        <v>12</v>
      </c>
      <c r="K112" s="451">
        <f t="shared" si="174"/>
        <v>23.85</v>
      </c>
      <c r="L112" s="451">
        <f t="shared" si="175"/>
        <v>35.85</v>
      </c>
      <c r="M112" s="451"/>
      <c r="N112" s="221">
        <f t="shared" si="176"/>
        <v>0.66527196652719667</v>
      </c>
      <c r="O112" s="176">
        <f t="shared" si="177"/>
        <v>13.923050021857241</v>
      </c>
      <c r="P112" s="176">
        <f t="shared" si="178"/>
        <v>1.6243558358833448</v>
      </c>
      <c r="Q112" s="221">
        <f t="shared" si="179"/>
        <v>0.92820333479048278</v>
      </c>
      <c r="R112" s="221">
        <f t="shared" si="180"/>
        <v>1.9890071459796059</v>
      </c>
      <c r="S112" s="221">
        <f t="shared" si="181"/>
        <v>15</v>
      </c>
      <c r="T112" s="221">
        <f t="shared" si="182"/>
        <v>8.8342712126227518E-2</v>
      </c>
      <c r="U112" s="221">
        <f t="shared" si="183"/>
        <v>5.1533248740299381E-2</v>
      </c>
      <c r="V112" s="221">
        <f t="shared" si="184"/>
        <v>2.5928678611471384E-2</v>
      </c>
      <c r="W112" s="201">
        <f t="shared" si="185"/>
        <v>350</v>
      </c>
      <c r="X112" s="451">
        <f t="shared" si="186"/>
        <v>350</v>
      </c>
      <c r="Z112" s="221">
        <f t="shared" si="187"/>
        <v>3.2584749380923919</v>
      </c>
      <c r="AA112" s="177">
        <f t="shared" si="188"/>
        <v>0.95636580992229525</v>
      </c>
      <c r="AB112" s="177">
        <f t="shared" si="189"/>
        <v>0.73256165472632317</v>
      </c>
      <c r="AC112" s="177"/>
      <c r="AD112" s="177">
        <f t="shared" si="190"/>
        <v>0.24067085953878403</v>
      </c>
      <c r="AE112" s="559">
        <f t="shared" si="191"/>
        <v>150.88807682501917</v>
      </c>
      <c r="AF112" s="542">
        <f t="shared" si="192"/>
        <v>4.6392002252886505E-2</v>
      </c>
      <c r="AH112" s="177">
        <f t="shared" si="193"/>
        <v>0.5229430062206607</v>
      </c>
      <c r="AI112" s="177">
        <f t="shared" si="194"/>
        <v>0.82</v>
      </c>
      <c r="AJ112" s="177">
        <f t="shared" si="195"/>
        <v>1.0862217581857252</v>
      </c>
      <c r="AL112" s="559">
        <f t="shared" si="196"/>
        <v>20</v>
      </c>
      <c r="AM112" s="469">
        <f t="shared" si="197"/>
        <v>150.88807682501917</v>
      </c>
      <c r="AO112" s="469">
        <f t="shared" si="198"/>
        <v>20</v>
      </c>
      <c r="AP112" s="469">
        <f t="shared" si="199"/>
        <v>150.88807682501917</v>
      </c>
      <c r="AR112" s="5">
        <f t="shared" si="149"/>
        <v>6.6274288932694994</v>
      </c>
      <c r="AS112" s="5">
        <f t="shared" si="200"/>
        <v>0.47833333333333322</v>
      </c>
      <c r="AT112" s="5">
        <f t="shared" si="201"/>
        <v>6.1490955599361659</v>
      </c>
      <c r="AU112" s="177">
        <f t="shared" si="202"/>
        <v>7.2174796747967493E-2</v>
      </c>
      <c r="AW112" s="5">
        <f t="shared" si="203"/>
        <v>17.111543209876547</v>
      </c>
      <c r="AX112" s="5">
        <f t="shared" si="204"/>
        <v>8.3333922558922566E-2</v>
      </c>
      <c r="AY112" s="5">
        <f t="shared" si="205"/>
        <v>1.2123152482368027</v>
      </c>
      <c r="AZ112" s="5">
        <f t="shared" si="206"/>
        <v>1.5771473339787057E-2</v>
      </c>
      <c r="BA112" s="5">
        <f t="shared" si="207"/>
        <v>0.24092947515539362</v>
      </c>
      <c r="BB112" s="5"/>
      <c r="BC112" s="5"/>
      <c r="BD112" s="177">
        <f t="shared" si="208"/>
        <v>0.12718796239337188</v>
      </c>
      <c r="BE112" s="177">
        <f t="shared" si="209"/>
        <v>0.612567588934959</v>
      </c>
      <c r="BF112" s="177">
        <f t="shared" si="210"/>
        <v>0.14383707309801885</v>
      </c>
      <c r="BG112" s="177"/>
      <c r="BH112" s="542">
        <f t="shared" si="211"/>
        <v>1.7794455555555557E-3</v>
      </c>
      <c r="BI112" s="542">
        <f t="shared" si="212"/>
        <v>2.2178283972125439E-2</v>
      </c>
      <c r="BJ112" s="542">
        <f t="shared" si="213"/>
        <v>7.5444038412509577E-3</v>
      </c>
      <c r="BK112" s="542">
        <f t="shared" si="214"/>
        <v>4.3633069046379723E-2</v>
      </c>
      <c r="BL112">
        <f t="shared" si="215"/>
        <v>3.48E-3</v>
      </c>
      <c r="BM112" s="469">
        <f t="shared" si="216"/>
        <v>78.615202415311671</v>
      </c>
      <c r="BN112" s="177">
        <f t="shared" si="217"/>
        <v>1.8000000000000002E-2</v>
      </c>
      <c r="BO112" s="177">
        <f t="shared" si="218"/>
        <v>4.5000000000000005E-3</v>
      </c>
      <c r="BP112" s="542"/>
      <c r="BR112" s="469">
        <f t="shared" si="219"/>
        <v>22.500000000000004</v>
      </c>
      <c r="BS112" s="542">
        <f t="shared" si="220"/>
        <v>0</v>
      </c>
      <c r="BT112" s="542">
        <f t="shared" si="221"/>
        <v>0</v>
      </c>
      <c r="BU112" s="542">
        <f t="shared" si="222"/>
        <v>0</v>
      </c>
      <c r="BV112" s="542">
        <f t="shared" si="223"/>
        <v>0</v>
      </c>
      <c r="BW112" s="647">
        <f t="shared" si="224"/>
        <v>0</v>
      </c>
      <c r="BX112" s="469">
        <f t="shared" si="225"/>
        <v>0</v>
      </c>
      <c r="BY112" s="177">
        <f t="shared" si="226"/>
        <v>0.10111520241531168</v>
      </c>
      <c r="BZ112" s="5">
        <f t="shared" si="227"/>
        <v>0.33499999999999996</v>
      </c>
      <c r="CA112" s="177">
        <f t="shared" si="228"/>
        <v>0.76814566001067797</v>
      </c>
      <c r="CB112" s="5">
        <f t="shared" si="229"/>
        <v>76.814566001067803</v>
      </c>
      <c r="CC112">
        <f t="shared" si="230"/>
        <v>2</v>
      </c>
      <c r="CE112" s="576">
        <f t="shared" si="231"/>
        <v>-50</v>
      </c>
      <c r="CF112">
        <f t="shared" si="232"/>
        <v>-50</v>
      </c>
    </row>
    <row r="113" spans="5:84" x14ac:dyDescent="0.25">
      <c r="E113" s="174">
        <v>3</v>
      </c>
      <c r="F113" s="221">
        <f t="shared" si="233"/>
        <v>0.03</v>
      </c>
      <c r="G113" s="221">
        <f t="shared" si="170"/>
        <v>7.4999999999999997E-3</v>
      </c>
      <c r="H113" s="221">
        <f t="shared" si="171"/>
        <v>0.44999999999999996</v>
      </c>
      <c r="I113" s="221">
        <f t="shared" si="172"/>
        <v>5.2499999999999998E-2</v>
      </c>
      <c r="J113" s="555">
        <f t="shared" si="173"/>
        <v>12</v>
      </c>
      <c r="K113" s="451">
        <f t="shared" si="174"/>
        <v>23.85</v>
      </c>
      <c r="L113" s="451">
        <f t="shared" si="175"/>
        <v>35.85</v>
      </c>
      <c r="M113" s="451"/>
      <c r="N113" s="221">
        <f t="shared" si="176"/>
        <v>0.66527196652719667</v>
      </c>
      <c r="O113" s="176">
        <f t="shared" si="177"/>
        <v>13.923050021857241</v>
      </c>
      <c r="P113" s="176">
        <f t="shared" si="178"/>
        <v>1.6243558358833448</v>
      </c>
      <c r="Q113" s="221">
        <f t="shared" si="179"/>
        <v>0.92820333479048278</v>
      </c>
      <c r="R113" s="221">
        <f t="shared" si="180"/>
        <v>1.9890071459796059</v>
      </c>
      <c r="S113" s="221">
        <f t="shared" si="181"/>
        <v>15</v>
      </c>
      <c r="T113" s="221">
        <f t="shared" si="182"/>
        <v>0.13251406818934128</v>
      </c>
      <c r="U113" s="221">
        <f t="shared" si="183"/>
        <v>7.7299873110449085E-2</v>
      </c>
      <c r="V113" s="221">
        <f t="shared" si="184"/>
        <v>3.8893017917207083E-2</v>
      </c>
      <c r="W113" s="201">
        <f t="shared" si="185"/>
        <v>350</v>
      </c>
      <c r="X113" s="451">
        <f t="shared" si="186"/>
        <v>350</v>
      </c>
      <c r="Z113" s="221">
        <f t="shared" si="187"/>
        <v>3.2584749380923919</v>
      </c>
      <c r="AA113" s="177">
        <f t="shared" si="188"/>
        <v>0.95636580992229525</v>
      </c>
      <c r="AB113" s="177">
        <f t="shared" si="189"/>
        <v>0.73256165472632317</v>
      </c>
      <c r="AC113" s="177"/>
      <c r="AD113" s="177">
        <f t="shared" si="190"/>
        <v>0.24067085953878403</v>
      </c>
      <c r="AE113" s="559">
        <f t="shared" si="191"/>
        <v>226.33211523752871</v>
      </c>
      <c r="AF113" s="542">
        <f t="shared" si="192"/>
        <v>4.6392002252886505E-2</v>
      </c>
      <c r="AH113" s="177">
        <f t="shared" si="193"/>
        <v>0.64047176489885405</v>
      </c>
      <c r="AI113" s="177">
        <f t="shared" si="194"/>
        <v>0.82</v>
      </c>
      <c r="AJ113" s="177">
        <f t="shared" si="195"/>
        <v>1.1293326372785879</v>
      </c>
      <c r="AL113" s="559">
        <f t="shared" si="196"/>
        <v>30</v>
      </c>
      <c r="AM113" s="469">
        <f t="shared" si="197"/>
        <v>226.33211523752871</v>
      </c>
      <c r="AO113" s="469">
        <f t="shared" si="198"/>
        <v>30</v>
      </c>
      <c r="AP113" s="469">
        <f t="shared" si="199"/>
        <v>226.33211523752871</v>
      </c>
      <c r="AR113" s="5">
        <f t="shared" si="149"/>
        <v>4.4182859288463341</v>
      </c>
      <c r="AS113" s="5">
        <f t="shared" si="200"/>
        <v>0.47833333333333322</v>
      </c>
      <c r="AT113" s="5">
        <f t="shared" si="201"/>
        <v>3.939952595513001</v>
      </c>
      <c r="AU113" s="177">
        <f t="shared" si="202"/>
        <v>0.1082621951219512</v>
      </c>
      <c r="AW113" s="5">
        <f t="shared" si="203"/>
        <v>17.111543209876547</v>
      </c>
      <c r="AX113" s="5">
        <f t="shared" si="204"/>
        <v>0.14250132575757576</v>
      </c>
      <c r="AY113" s="5">
        <f t="shared" si="205"/>
        <v>1.2123152482368027</v>
      </c>
      <c r="AZ113" s="5">
        <f t="shared" si="206"/>
        <v>2.4235815014520875E-2</v>
      </c>
      <c r="BA113" s="5">
        <f t="shared" si="207"/>
        <v>0.23155861745558867</v>
      </c>
      <c r="BB113" s="5"/>
      <c r="BC113" s="5"/>
      <c r="BD113" s="177">
        <f t="shared" si="208"/>
        <v>0.15577280464402846</v>
      </c>
      <c r="BE113" s="177">
        <f t="shared" si="209"/>
        <v>0.60053665574566373</v>
      </c>
      <c r="BF113" s="177">
        <f t="shared" si="210"/>
        <v>0.14101208815293748</v>
      </c>
      <c r="BG113" s="177"/>
      <c r="BH113" s="542">
        <f t="shared" si="211"/>
        <v>2.6691683333333318E-3</v>
      </c>
      <c r="BI113" s="542">
        <f t="shared" si="212"/>
        <v>3.326742595818815E-2</v>
      </c>
      <c r="BJ113" s="542">
        <f t="shared" si="213"/>
        <v>1.1316605761876436E-2</v>
      </c>
      <c r="BK113" s="542">
        <f t="shared" si="214"/>
        <v>6.5449603569569567E-2</v>
      </c>
      <c r="BL113">
        <f t="shared" si="215"/>
        <v>3.48E-3</v>
      </c>
      <c r="BM113" s="469">
        <f t="shared" si="216"/>
        <v>116.18280362296748</v>
      </c>
      <c r="BN113" s="177">
        <f t="shared" si="217"/>
        <v>2.7E-2</v>
      </c>
      <c r="BO113" s="177">
        <f t="shared" si="218"/>
        <v>6.7499999999999999E-3</v>
      </c>
      <c r="BP113" s="542"/>
      <c r="BR113" s="469">
        <f t="shared" si="219"/>
        <v>33.75</v>
      </c>
      <c r="BS113" s="542">
        <f t="shared" si="220"/>
        <v>0</v>
      </c>
      <c r="BT113" s="542">
        <f t="shared" si="221"/>
        <v>0</v>
      </c>
      <c r="BU113" s="542">
        <f t="shared" si="222"/>
        <v>0</v>
      </c>
      <c r="BV113" s="542">
        <f t="shared" si="223"/>
        <v>0</v>
      </c>
      <c r="BW113" s="647">
        <f t="shared" si="224"/>
        <v>0</v>
      </c>
      <c r="BX113" s="469">
        <f t="shared" si="225"/>
        <v>0</v>
      </c>
      <c r="BY113" s="177">
        <f t="shared" si="226"/>
        <v>0.14993280362296749</v>
      </c>
      <c r="BZ113" s="5">
        <f t="shared" si="227"/>
        <v>0.50249999999999995</v>
      </c>
      <c r="CA113" s="177">
        <f t="shared" si="228"/>
        <v>0.7701942594081892</v>
      </c>
      <c r="CB113" s="5">
        <f t="shared" si="229"/>
        <v>77.01942594081892</v>
      </c>
      <c r="CC113">
        <f t="shared" si="230"/>
        <v>3</v>
      </c>
      <c r="CE113" s="576">
        <f t="shared" si="231"/>
        <v>-50</v>
      </c>
      <c r="CF113">
        <f t="shared" si="232"/>
        <v>-50</v>
      </c>
    </row>
    <row r="114" spans="5:84" x14ac:dyDescent="0.25">
      <c r="E114" s="174">
        <v>4</v>
      </c>
      <c r="F114" s="221">
        <f t="shared" si="233"/>
        <v>0.04</v>
      </c>
      <c r="G114" s="221">
        <f t="shared" si="170"/>
        <v>0.01</v>
      </c>
      <c r="H114" s="221">
        <f t="shared" si="171"/>
        <v>0.6</v>
      </c>
      <c r="I114" s="221">
        <f t="shared" si="172"/>
        <v>7.0000000000000007E-2</v>
      </c>
      <c r="J114" s="555">
        <f t="shared" si="173"/>
        <v>12</v>
      </c>
      <c r="K114" s="451">
        <f t="shared" si="174"/>
        <v>23.85</v>
      </c>
      <c r="L114" s="451">
        <f t="shared" si="175"/>
        <v>35.85</v>
      </c>
      <c r="M114" s="451"/>
      <c r="N114" s="221">
        <f t="shared" si="176"/>
        <v>0.66527196652719667</v>
      </c>
      <c r="O114" s="176">
        <f t="shared" si="177"/>
        <v>13.923050021857241</v>
      </c>
      <c r="P114" s="176">
        <f t="shared" si="178"/>
        <v>1.6243558358833448</v>
      </c>
      <c r="Q114" s="221">
        <f t="shared" si="179"/>
        <v>0.92820333479048278</v>
      </c>
      <c r="R114" s="221">
        <f t="shared" si="180"/>
        <v>1.9890071459796059</v>
      </c>
      <c r="S114" s="221">
        <f t="shared" si="181"/>
        <v>15</v>
      </c>
      <c r="T114" s="221">
        <f t="shared" si="182"/>
        <v>0.17668542425245504</v>
      </c>
      <c r="U114" s="221">
        <f t="shared" si="183"/>
        <v>0.10306649748059876</v>
      </c>
      <c r="V114" s="221">
        <f t="shared" si="184"/>
        <v>5.1857357222942768E-2</v>
      </c>
      <c r="W114" s="201">
        <f t="shared" si="185"/>
        <v>350</v>
      </c>
      <c r="X114" s="451">
        <f t="shared" si="186"/>
        <v>350</v>
      </c>
      <c r="Z114" s="221">
        <f t="shared" si="187"/>
        <v>3.2584749380923919</v>
      </c>
      <c r="AA114" s="177">
        <f t="shared" si="188"/>
        <v>0.95636580992229525</v>
      </c>
      <c r="AB114" s="177">
        <f t="shared" si="189"/>
        <v>0.73256165472632317</v>
      </c>
      <c r="AC114" s="177"/>
      <c r="AD114" s="177">
        <f t="shared" si="190"/>
        <v>0.24067085953878403</v>
      </c>
      <c r="AE114" s="559">
        <f t="shared" si="191"/>
        <v>301.77615365003834</v>
      </c>
      <c r="AF114" s="542">
        <f t="shared" si="192"/>
        <v>4.6392002252886505E-2</v>
      </c>
      <c r="AH114" s="177">
        <f t="shared" si="193"/>
        <v>0.73955309174541617</v>
      </c>
      <c r="AI114" s="177">
        <f t="shared" si="194"/>
        <v>0.82</v>
      </c>
      <c r="AJ114" s="177">
        <f t="shared" si="195"/>
        <v>1.1724435163714504</v>
      </c>
      <c r="AL114" s="559">
        <f t="shared" si="196"/>
        <v>40</v>
      </c>
      <c r="AM114" s="469">
        <f t="shared" si="197"/>
        <v>301.77615365003834</v>
      </c>
      <c r="AO114" s="469">
        <f t="shared" si="198"/>
        <v>40</v>
      </c>
      <c r="AP114" s="469">
        <f t="shared" si="199"/>
        <v>301.77615365003834</v>
      </c>
      <c r="AR114" s="5">
        <f t="shared" si="149"/>
        <v>3.3137144466347497</v>
      </c>
      <c r="AS114" s="5">
        <f t="shared" si="200"/>
        <v>0.47833333333333322</v>
      </c>
      <c r="AT114" s="5">
        <f t="shared" si="201"/>
        <v>2.8353811133014166</v>
      </c>
      <c r="AU114" s="177">
        <f t="shared" si="202"/>
        <v>0.14434959349593499</v>
      </c>
      <c r="AW114" s="5">
        <f t="shared" si="203"/>
        <v>17.111543209876547</v>
      </c>
      <c r="AX114" s="5">
        <f t="shared" si="204"/>
        <v>0.21333569023569027</v>
      </c>
      <c r="AY114" s="5">
        <f t="shared" si="205"/>
        <v>1.2123152482368027</v>
      </c>
      <c r="AZ114" s="5">
        <f t="shared" si="206"/>
        <v>3.3085893359148223E-2</v>
      </c>
      <c r="BA114" s="5">
        <f t="shared" si="207"/>
        <v>0.2221877597557835</v>
      </c>
      <c r="BB114" s="5"/>
      <c r="BC114" s="5"/>
      <c r="BD114" s="177">
        <f t="shared" si="208"/>
        <v>0.17987094138730569</v>
      </c>
      <c r="BE114" s="177">
        <f t="shared" si="209"/>
        <v>0.58825972051023745</v>
      </c>
      <c r="BF114" s="177">
        <f t="shared" si="210"/>
        <v>0.13812933943626463</v>
      </c>
      <c r="BG114" s="177"/>
      <c r="BH114" s="542">
        <f t="shared" si="211"/>
        <v>3.5588911111111114E-3</v>
      </c>
      <c r="BI114" s="542">
        <f t="shared" si="212"/>
        <v>4.4356567944250878E-2</v>
      </c>
      <c r="BJ114" s="542">
        <f t="shared" si="213"/>
        <v>1.5088807682501915E-2</v>
      </c>
      <c r="BK114" s="542">
        <f t="shared" si="214"/>
        <v>8.7266138092759446E-2</v>
      </c>
      <c r="BL114">
        <f t="shared" si="215"/>
        <v>3.48E-3</v>
      </c>
      <c r="BM114" s="469">
        <f t="shared" si="216"/>
        <v>153.75040483062335</v>
      </c>
      <c r="BN114" s="177">
        <f t="shared" si="217"/>
        <v>3.6000000000000004E-2</v>
      </c>
      <c r="BO114" s="177">
        <f t="shared" si="218"/>
        <v>9.0000000000000011E-3</v>
      </c>
      <c r="BP114" s="542"/>
      <c r="BR114" s="469">
        <f t="shared" si="219"/>
        <v>45.000000000000007</v>
      </c>
      <c r="BS114" s="542">
        <f t="shared" si="220"/>
        <v>0</v>
      </c>
      <c r="BT114" s="542">
        <f t="shared" si="221"/>
        <v>0</v>
      </c>
      <c r="BU114" s="542">
        <f t="shared" si="222"/>
        <v>0</v>
      </c>
      <c r="BV114" s="542">
        <f t="shared" si="223"/>
        <v>0</v>
      </c>
      <c r="BW114" s="647">
        <f t="shared" si="224"/>
        <v>0</v>
      </c>
      <c r="BX114" s="469">
        <f t="shared" si="225"/>
        <v>0</v>
      </c>
      <c r="BY114" s="177">
        <f t="shared" si="226"/>
        <v>0.19875040483062337</v>
      </c>
      <c r="BZ114" s="5">
        <f t="shared" si="227"/>
        <v>0.66999999999999993</v>
      </c>
      <c r="CA114" s="177">
        <f t="shared" si="228"/>
        <v>0.77122266219907787</v>
      </c>
      <c r="CB114" s="5">
        <f t="shared" si="229"/>
        <v>77.122266219907786</v>
      </c>
      <c r="CC114">
        <f t="shared" si="230"/>
        <v>4</v>
      </c>
      <c r="CE114" s="576">
        <f t="shared" si="231"/>
        <v>-50</v>
      </c>
      <c r="CF114">
        <f t="shared" si="232"/>
        <v>-50</v>
      </c>
    </row>
    <row r="115" spans="5:84" x14ac:dyDescent="0.25">
      <c r="E115" s="174">
        <v>5</v>
      </c>
      <c r="F115" s="221">
        <f t="shared" si="233"/>
        <v>0.05</v>
      </c>
      <c r="G115" s="221">
        <f t="shared" si="170"/>
        <v>1.2500000000000001E-2</v>
      </c>
      <c r="H115" s="221">
        <f t="shared" si="171"/>
        <v>0.75</v>
      </c>
      <c r="I115" s="221">
        <f t="shared" si="172"/>
        <v>8.7500000000000008E-2</v>
      </c>
      <c r="J115" s="555">
        <f t="shared" si="173"/>
        <v>12</v>
      </c>
      <c r="K115" s="451">
        <f t="shared" si="174"/>
        <v>23.85</v>
      </c>
      <c r="L115" s="451">
        <f t="shared" si="175"/>
        <v>35.85</v>
      </c>
      <c r="M115" s="451"/>
      <c r="N115" s="221">
        <f t="shared" si="176"/>
        <v>0.66527196652719667</v>
      </c>
      <c r="O115" s="176">
        <f t="shared" si="177"/>
        <v>13.923050021857241</v>
      </c>
      <c r="P115" s="176">
        <f t="shared" si="178"/>
        <v>1.6243558358833448</v>
      </c>
      <c r="Q115" s="221">
        <f t="shared" si="179"/>
        <v>0.92820333479048278</v>
      </c>
      <c r="R115" s="221">
        <f t="shared" si="180"/>
        <v>1.9890071459796059</v>
      </c>
      <c r="S115" s="221">
        <f t="shared" si="181"/>
        <v>15</v>
      </c>
      <c r="T115" s="221">
        <f t="shared" si="182"/>
        <v>0.22085678031556882</v>
      </c>
      <c r="U115" s="221">
        <f t="shared" si="183"/>
        <v>0.12883312185074847</v>
      </c>
      <c r="V115" s="221">
        <f t="shared" si="184"/>
        <v>6.4821696528678474E-2</v>
      </c>
      <c r="W115" s="201">
        <f t="shared" si="185"/>
        <v>350</v>
      </c>
      <c r="X115" s="451">
        <f t="shared" si="186"/>
        <v>350</v>
      </c>
      <c r="Z115" s="221">
        <f t="shared" si="187"/>
        <v>3.2584749380923919</v>
      </c>
      <c r="AA115" s="177">
        <f t="shared" si="188"/>
        <v>0.95636580992229525</v>
      </c>
      <c r="AB115" s="177">
        <f t="shared" si="189"/>
        <v>0.73256165472632317</v>
      </c>
      <c r="AC115" s="177"/>
      <c r="AD115" s="177">
        <f t="shared" si="190"/>
        <v>0.24067085953878403</v>
      </c>
      <c r="AE115" s="559">
        <f t="shared" si="191"/>
        <v>377.22019206254794</v>
      </c>
      <c r="AF115" s="542">
        <f t="shared" si="192"/>
        <v>4.6392002252886505E-2</v>
      </c>
      <c r="AH115" s="177">
        <f t="shared" si="193"/>
        <v>0.82684549305644461</v>
      </c>
      <c r="AI115" s="177">
        <f t="shared" si="194"/>
        <v>0.82684549305644461</v>
      </c>
      <c r="AJ115" s="177">
        <f t="shared" si="195"/>
        <v>1.2050707355973664</v>
      </c>
      <c r="AL115" s="559">
        <f t="shared" si="196"/>
        <v>50</v>
      </c>
      <c r="AM115" s="469">
        <f t="shared" si="197"/>
        <v>350</v>
      </c>
      <c r="AO115" s="469">
        <f t="shared" si="198"/>
        <v>50</v>
      </c>
      <c r="AP115" s="469">
        <f t="shared" si="199"/>
        <v>350</v>
      </c>
      <c r="AR115" s="5">
        <f t="shared" si="149"/>
        <v>2.8571428571428572</v>
      </c>
      <c r="AS115" s="5">
        <f t="shared" ref="AS115:AS178" si="234">L*AI115/J115*1000000</f>
        <v>0.48232653761625938</v>
      </c>
      <c r="AT115" s="5">
        <f t="shared" ref="AT115:AT178" si="235">AR115-AS115</f>
        <v>2.3748163195265977</v>
      </c>
      <c r="AU115" s="177">
        <f t="shared" ref="AU115:AU178" si="236">AS115/AR115</f>
        <v>0.16881428816569077</v>
      </c>
      <c r="AW115" s="5">
        <f t="shared" si="203"/>
        <v>17.111543209876547</v>
      </c>
      <c r="AX115" s="5">
        <f t="shared" si="204"/>
        <v>0.29583701599326606</v>
      </c>
      <c r="AY115" s="5">
        <f t="shared" si="205"/>
        <v>1.2123152482368027</v>
      </c>
      <c r="AZ115" s="5">
        <f t="shared" si="206"/>
        <v>4.2321708373669109E-2</v>
      </c>
      <c r="BA115" s="5">
        <f t="shared" si="207"/>
        <v>0.23262089679573403</v>
      </c>
      <c r="BB115" s="5"/>
      <c r="BC115" s="5"/>
      <c r="BD115" s="177">
        <f t="shared" si="208"/>
        <v>0.19614097827197494</v>
      </c>
      <c r="BE115" s="177">
        <f t="shared" si="209"/>
        <v>0.5846291656589806</v>
      </c>
      <c r="BF115" s="177">
        <f t="shared" si="210"/>
        <v>0.1372768483920771</v>
      </c>
      <c r="BG115" s="177"/>
      <c r="BH115" s="542">
        <f t="shared" si="211"/>
        <v>4.2318411693236082E-3</v>
      </c>
      <c r="BI115" s="542">
        <f t="shared" si="212"/>
        <v>5.1874219120628694E-2</v>
      </c>
      <c r="BJ115" s="542">
        <f t="shared" si="213"/>
        <v>1.7499999999999998E-2</v>
      </c>
      <c r="BK115" s="542">
        <f t="shared" si="214"/>
        <v>0.10121127187500001</v>
      </c>
      <c r="BL115">
        <f t="shared" si="215"/>
        <v>3.48E-3</v>
      </c>
      <c r="BM115" s="469">
        <f t="shared" si="216"/>
        <v>178.29733216495234</v>
      </c>
      <c r="BN115" s="177">
        <f t="shared" si="217"/>
        <v>4.5000000000000005E-2</v>
      </c>
      <c r="BO115" s="177">
        <f t="shared" si="218"/>
        <v>1.1250000000000001E-2</v>
      </c>
      <c r="BP115" s="542"/>
      <c r="BR115" s="469">
        <f t="shared" si="219"/>
        <v>56.250000000000007</v>
      </c>
      <c r="BS115" s="542">
        <f t="shared" si="220"/>
        <v>0</v>
      </c>
      <c r="BT115" s="542">
        <f t="shared" si="221"/>
        <v>0</v>
      </c>
      <c r="BU115" s="542">
        <f t="shared" si="222"/>
        <v>0</v>
      </c>
      <c r="BV115" s="542">
        <f t="shared" si="223"/>
        <v>0</v>
      </c>
      <c r="BW115" s="647">
        <f t="shared" si="224"/>
        <v>0</v>
      </c>
      <c r="BX115" s="469">
        <f t="shared" si="225"/>
        <v>0</v>
      </c>
      <c r="BY115" s="177">
        <f t="shared" si="226"/>
        <v>0.23454733216495235</v>
      </c>
      <c r="BZ115" s="5">
        <f t="shared" si="227"/>
        <v>0.83750000000000002</v>
      </c>
      <c r="CA115" s="177">
        <f t="shared" si="228"/>
        <v>0.7812155068831762</v>
      </c>
      <c r="CB115" s="5">
        <f t="shared" si="229"/>
        <v>78.121550688317626</v>
      </c>
      <c r="CC115">
        <f t="shared" si="230"/>
        <v>5</v>
      </c>
      <c r="CE115" s="576">
        <f t="shared" si="231"/>
        <v>-50</v>
      </c>
      <c r="CF115">
        <f t="shared" si="232"/>
        <v>-50</v>
      </c>
    </row>
    <row r="116" spans="5:84" x14ac:dyDescent="0.25">
      <c r="E116" s="174">
        <v>6</v>
      </c>
      <c r="F116" s="221">
        <f t="shared" si="233"/>
        <v>0.06</v>
      </c>
      <c r="G116" s="221">
        <f t="shared" si="170"/>
        <v>1.4999999999999999E-2</v>
      </c>
      <c r="H116" s="221">
        <f t="shared" si="171"/>
        <v>0.89999999999999991</v>
      </c>
      <c r="I116" s="221">
        <f t="shared" si="172"/>
        <v>0.105</v>
      </c>
      <c r="J116" s="555">
        <f t="shared" si="173"/>
        <v>12</v>
      </c>
      <c r="K116" s="451">
        <f t="shared" si="174"/>
        <v>23.85</v>
      </c>
      <c r="L116" s="451">
        <f t="shared" si="175"/>
        <v>35.85</v>
      </c>
      <c r="M116" s="451"/>
      <c r="N116" s="221">
        <f t="shared" si="176"/>
        <v>0.66527196652719667</v>
      </c>
      <c r="O116" s="176">
        <f t="shared" si="177"/>
        <v>13.923050021857241</v>
      </c>
      <c r="P116" s="176">
        <f t="shared" si="178"/>
        <v>1.6243558358833448</v>
      </c>
      <c r="Q116" s="221">
        <f t="shared" si="179"/>
        <v>0.92820333479048278</v>
      </c>
      <c r="R116" s="221">
        <f t="shared" si="180"/>
        <v>1.9890071459796059</v>
      </c>
      <c r="S116" s="221">
        <f t="shared" si="181"/>
        <v>15</v>
      </c>
      <c r="T116" s="221">
        <f t="shared" si="182"/>
        <v>0.26502813637868256</v>
      </c>
      <c r="U116" s="221">
        <f t="shared" si="183"/>
        <v>0.15459974622089817</v>
      </c>
      <c r="V116" s="221">
        <f t="shared" si="184"/>
        <v>7.7786035834414166E-2</v>
      </c>
      <c r="W116" s="201">
        <f t="shared" si="185"/>
        <v>350</v>
      </c>
      <c r="X116" s="451">
        <f t="shared" si="186"/>
        <v>350</v>
      </c>
      <c r="Z116" s="221">
        <f t="shared" si="187"/>
        <v>3.2584749380923919</v>
      </c>
      <c r="AA116" s="177">
        <f t="shared" si="188"/>
        <v>0.95636580992229525</v>
      </c>
      <c r="AB116" s="177">
        <f t="shared" si="189"/>
        <v>0.73256165472632317</v>
      </c>
      <c r="AC116" s="177"/>
      <c r="AD116" s="177">
        <f t="shared" si="190"/>
        <v>0.24067085953878403</v>
      </c>
      <c r="AE116" s="559">
        <f t="shared" si="191"/>
        <v>452.66423047505742</v>
      </c>
      <c r="AF116" s="542">
        <f t="shared" si="192"/>
        <v>4.6392002252886505E-2</v>
      </c>
      <c r="AH116" s="177">
        <f t="shared" si="193"/>
        <v>0.90576385623699185</v>
      </c>
      <c r="AI116" s="177">
        <f t="shared" si="194"/>
        <v>0.90576385623699185</v>
      </c>
      <c r="AJ116" s="177">
        <f t="shared" si="195"/>
        <v>1.2635287823977717</v>
      </c>
      <c r="AL116" s="559">
        <f t="shared" si="196"/>
        <v>60</v>
      </c>
      <c r="AM116" s="469">
        <f t="shared" si="197"/>
        <v>350</v>
      </c>
      <c r="AO116" s="469">
        <f t="shared" si="198"/>
        <v>60</v>
      </c>
      <c r="AP116" s="469">
        <f t="shared" si="199"/>
        <v>350</v>
      </c>
      <c r="AR116" s="5">
        <f t="shared" si="149"/>
        <v>2.8571428571428572</v>
      </c>
      <c r="AS116" s="5">
        <f t="shared" si="234"/>
        <v>0.5283622494715785</v>
      </c>
      <c r="AT116" s="5">
        <f t="shared" si="235"/>
        <v>2.3287806076712787</v>
      </c>
      <c r="AU116" s="177">
        <f t="shared" si="236"/>
        <v>0.18492678731505247</v>
      </c>
      <c r="AW116" s="5">
        <f t="shared" si="203"/>
        <v>17.111543209876547</v>
      </c>
      <c r="AX116" s="5">
        <f t="shared" si="204"/>
        <v>0.39000530303030306</v>
      </c>
      <c r="AY116" s="5">
        <f t="shared" si="205"/>
        <v>1.2123152482368027</v>
      </c>
      <c r="AZ116" s="5">
        <f t="shared" si="206"/>
        <v>5.1943260058083501E-2</v>
      </c>
      <c r="BA116" s="5">
        <f t="shared" si="207"/>
        <v>0.2737338609017117</v>
      </c>
      <c r="BB116" s="5"/>
      <c r="BC116" s="5"/>
      <c r="BD116" s="177">
        <f t="shared" si="208"/>
        <v>0.22488178073504614</v>
      </c>
      <c r="BE116" s="177">
        <f t="shared" si="209"/>
        <v>0.63419144033012875</v>
      </c>
      <c r="BF116" s="177">
        <f t="shared" si="210"/>
        <v>0.14891457238131509</v>
      </c>
      <c r="BG116" s="177"/>
      <c r="BH116" s="542">
        <f t="shared" si="211"/>
        <v>5.5628996837221905E-3</v>
      </c>
      <c r="BI116" s="542">
        <f t="shared" si="212"/>
        <v>5.6825359930668277E-2</v>
      </c>
      <c r="BJ116" s="542">
        <f t="shared" si="213"/>
        <v>1.7499999999999998E-2</v>
      </c>
      <c r="BK116" s="542">
        <f t="shared" si="214"/>
        <v>0.10121127187500001</v>
      </c>
      <c r="BL116">
        <f t="shared" si="215"/>
        <v>3.48E-3</v>
      </c>
      <c r="BM116" s="469">
        <f t="shared" si="216"/>
        <v>184.57953148939049</v>
      </c>
      <c r="BN116" s="177">
        <f t="shared" si="217"/>
        <v>5.3999999999999999E-2</v>
      </c>
      <c r="BO116" s="177">
        <f t="shared" si="218"/>
        <v>1.35E-2</v>
      </c>
      <c r="BP116" s="542"/>
      <c r="BR116" s="469">
        <f t="shared" si="219"/>
        <v>67.5</v>
      </c>
      <c r="BS116" s="542">
        <f t="shared" si="220"/>
        <v>0</v>
      </c>
      <c r="BT116" s="542">
        <f t="shared" si="221"/>
        <v>0</v>
      </c>
      <c r="BU116" s="542">
        <f t="shared" si="222"/>
        <v>0</v>
      </c>
      <c r="BV116" s="542">
        <f t="shared" si="223"/>
        <v>0</v>
      </c>
      <c r="BW116" s="647">
        <f t="shared" si="224"/>
        <v>0</v>
      </c>
      <c r="BX116" s="469">
        <f t="shared" si="225"/>
        <v>0</v>
      </c>
      <c r="BY116" s="177">
        <f t="shared" si="226"/>
        <v>0.2520795314893905</v>
      </c>
      <c r="BZ116" s="5">
        <f t="shared" si="227"/>
        <v>1.0049999999999999</v>
      </c>
      <c r="CA116" s="177">
        <f t="shared" si="228"/>
        <v>0.79947208973267891</v>
      </c>
      <c r="CB116" s="5">
        <f t="shared" si="229"/>
        <v>79.947208973267891</v>
      </c>
      <c r="CC116">
        <f t="shared" si="230"/>
        <v>6</v>
      </c>
      <c r="CE116" s="576">
        <f t="shared" si="231"/>
        <v>-50</v>
      </c>
      <c r="CF116">
        <f t="shared" si="232"/>
        <v>-50</v>
      </c>
    </row>
    <row r="117" spans="5:84" x14ac:dyDescent="0.25">
      <c r="E117" s="174">
        <v>7</v>
      </c>
      <c r="F117" s="221">
        <f t="shared" si="233"/>
        <v>7.0000000000000007E-2</v>
      </c>
      <c r="G117" s="221">
        <f t="shared" si="170"/>
        <v>1.7500000000000002E-2</v>
      </c>
      <c r="H117" s="221">
        <f t="shared" si="171"/>
        <v>1.05</v>
      </c>
      <c r="I117" s="221">
        <f t="shared" si="172"/>
        <v>0.12250000000000001</v>
      </c>
      <c r="J117" s="555">
        <f t="shared" si="173"/>
        <v>12</v>
      </c>
      <c r="K117" s="451">
        <f t="shared" si="174"/>
        <v>23.85</v>
      </c>
      <c r="L117" s="451">
        <f t="shared" si="175"/>
        <v>35.85</v>
      </c>
      <c r="M117" s="451"/>
      <c r="N117" s="221">
        <f t="shared" si="176"/>
        <v>0.66527196652719667</v>
      </c>
      <c r="O117" s="176">
        <f t="shared" si="177"/>
        <v>13.923050021857241</v>
      </c>
      <c r="P117" s="176">
        <f t="shared" si="178"/>
        <v>1.6243558358833448</v>
      </c>
      <c r="Q117" s="221">
        <f t="shared" si="179"/>
        <v>0.92820333479048278</v>
      </c>
      <c r="R117" s="221">
        <f t="shared" si="180"/>
        <v>1.9890071459796059</v>
      </c>
      <c r="S117" s="221">
        <f t="shared" si="181"/>
        <v>15</v>
      </c>
      <c r="T117" s="221">
        <f t="shared" si="182"/>
        <v>0.3091994924417964</v>
      </c>
      <c r="U117" s="221">
        <f t="shared" si="183"/>
        <v>0.1803663705910479</v>
      </c>
      <c r="V117" s="221">
        <f t="shared" si="184"/>
        <v>9.0750375140149872E-2</v>
      </c>
      <c r="W117" s="201">
        <f t="shared" si="185"/>
        <v>350</v>
      </c>
      <c r="X117" s="451">
        <f t="shared" si="186"/>
        <v>350</v>
      </c>
      <c r="Z117" s="221">
        <f t="shared" si="187"/>
        <v>3.2584749380923919</v>
      </c>
      <c r="AA117" s="177">
        <f t="shared" si="188"/>
        <v>0.95636580992229525</v>
      </c>
      <c r="AB117" s="177">
        <f t="shared" si="189"/>
        <v>0.73256165472632317</v>
      </c>
      <c r="AC117" s="177"/>
      <c r="AD117" s="177">
        <f t="shared" si="190"/>
        <v>0.24067085953878403</v>
      </c>
      <c r="AE117" s="559">
        <f t="shared" si="191"/>
        <v>528.10826888756708</v>
      </c>
      <c r="AF117" s="542">
        <f t="shared" si="192"/>
        <v>4.6392002252886505E-2</v>
      </c>
      <c r="AH117" s="177">
        <f t="shared" si="193"/>
        <v>0.97833678104365329</v>
      </c>
      <c r="AI117" s="177">
        <f t="shared" si="194"/>
        <v>0.97833678104365329</v>
      </c>
      <c r="AJ117" s="177">
        <f t="shared" si="195"/>
        <v>1.3172865044767801</v>
      </c>
      <c r="AL117" s="559">
        <f t="shared" si="196"/>
        <v>70</v>
      </c>
      <c r="AM117" s="469">
        <f t="shared" si="197"/>
        <v>350</v>
      </c>
      <c r="AO117" s="469">
        <f t="shared" si="198"/>
        <v>70</v>
      </c>
      <c r="AP117" s="469">
        <f t="shared" si="199"/>
        <v>350</v>
      </c>
      <c r="AR117" s="5">
        <f t="shared" si="149"/>
        <v>2.8571428571428572</v>
      </c>
      <c r="AS117" s="5">
        <f t="shared" si="234"/>
        <v>0.57069645560879767</v>
      </c>
      <c r="AT117" s="5">
        <f t="shared" si="235"/>
        <v>2.2864464015340595</v>
      </c>
      <c r="AU117" s="177">
        <f t="shared" si="236"/>
        <v>0.19974375946307918</v>
      </c>
      <c r="AW117" s="5">
        <f t="shared" si="203"/>
        <v>17.111543209876547</v>
      </c>
      <c r="AX117" s="5">
        <f t="shared" si="204"/>
        <v>0.49584055134680144</v>
      </c>
      <c r="AY117" s="5">
        <f t="shared" si="205"/>
        <v>1.2123152482368027</v>
      </c>
      <c r="AZ117" s="5">
        <f t="shared" si="206"/>
        <v>6.1950548412391448E-2</v>
      </c>
      <c r="BA117" s="5">
        <f t="shared" si="207"/>
        <v>0.31355069073668834</v>
      </c>
      <c r="BB117" s="5"/>
      <c r="BC117" s="5"/>
      <c r="BD117" s="177">
        <f t="shared" si="208"/>
        <v>0.25244359939660926</v>
      </c>
      <c r="BE117" s="177">
        <f t="shared" si="209"/>
        <v>0.6787502389511666</v>
      </c>
      <c r="BF117" s="177">
        <f t="shared" si="210"/>
        <v>0.15937742952587519</v>
      </c>
      <c r="BG117" s="177"/>
      <c r="BH117" s="542">
        <f t="shared" si="211"/>
        <v>7.0100547963947322E-3</v>
      </c>
      <c r="BI117" s="542">
        <f t="shared" si="212"/>
        <v>6.1378403800726206E-2</v>
      </c>
      <c r="BJ117" s="542">
        <f t="shared" si="213"/>
        <v>1.7499999999999998E-2</v>
      </c>
      <c r="BK117" s="542">
        <f t="shared" si="214"/>
        <v>0.10121127187500001</v>
      </c>
      <c r="BL117">
        <f t="shared" si="215"/>
        <v>3.48E-3</v>
      </c>
      <c r="BM117" s="469">
        <f t="shared" si="216"/>
        <v>190.57973047212096</v>
      </c>
      <c r="BN117" s="177">
        <f t="shared" si="217"/>
        <v>6.3000000000000014E-2</v>
      </c>
      <c r="BO117" s="177">
        <f t="shared" si="218"/>
        <v>1.5750000000000004E-2</v>
      </c>
      <c r="BP117" s="542"/>
      <c r="BR117" s="469">
        <f t="shared" si="219"/>
        <v>78.750000000000014</v>
      </c>
      <c r="BS117" s="542">
        <f t="shared" si="220"/>
        <v>0</v>
      </c>
      <c r="BT117" s="542">
        <f t="shared" si="221"/>
        <v>0</v>
      </c>
      <c r="BU117" s="542">
        <f t="shared" si="222"/>
        <v>0</v>
      </c>
      <c r="BV117" s="542">
        <f t="shared" si="223"/>
        <v>0</v>
      </c>
      <c r="BW117" s="647">
        <f t="shared" si="224"/>
        <v>0</v>
      </c>
      <c r="BX117" s="469">
        <f t="shared" si="225"/>
        <v>0</v>
      </c>
      <c r="BY117" s="177">
        <f t="shared" si="226"/>
        <v>0.26932973047212094</v>
      </c>
      <c r="BZ117" s="5">
        <f t="shared" si="227"/>
        <v>1.1725000000000001</v>
      </c>
      <c r="CA117" s="177">
        <f t="shared" si="228"/>
        <v>0.81320281807205486</v>
      </c>
      <c r="CB117" s="5">
        <f t="shared" si="229"/>
        <v>81.32028180720549</v>
      </c>
      <c r="CC117">
        <f t="shared" si="230"/>
        <v>7.0000000000000009</v>
      </c>
      <c r="CE117" s="576">
        <f t="shared" si="231"/>
        <v>-50</v>
      </c>
      <c r="CF117">
        <f t="shared" si="232"/>
        <v>-50</v>
      </c>
    </row>
    <row r="118" spans="5:84" x14ac:dyDescent="0.25">
      <c r="E118" s="174">
        <v>8</v>
      </c>
      <c r="F118" s="221">
        <f t="shared" si="233"/>
        <v>0.08</v>
      </c>
      <c r="G118" s="221">
        <f t="shared" si="170"/>
        <v>0.02</v>
      </c>
      <c r="H118" s="221">
        <f t="shared" si="171"/>
        <v>1.2</v>
      </c>
      <c r="I118" s="221">
        <f t="shared" si="172"/>
        <v>0.14000000000000001</v>
      </c>
      <c r="J118" s="555">
        <f t="shared" si="173"/>
        <v>12</v>
      </c>
      <c r="K118" s="451">
        <f t="shared" si="174"/>
        <v>23.85</v>
      </c>
      <c r="L118" s="451">
        <f t="shared" si="175"/>
        <v>35.85</v>
      </c>
      <c r="M118" s="451"/>
      <c r="N118" s="221">
        <f t="shared" si="176"/>
        <v>0.66527196652719667</v>
      </c>
      <c r="O118" s="176">
        <f t="shared" si="177"/>
        <v>13.923050021857241</v>
      </c>
      <c r="P118" s="176">
        <f t="shared" si="178"/>
        <v>1.6243558358833448</v>
      </c>
      <c r="Q118" s="221">
        <f t="shared" si="179"/>
        <v>0.92820333479048278</v>
      </c>
      <c r="R118" s="221">
        <f t="shared" si="180"/>
        <v>1.9890071459796059</v>
      </c>
      <c r="S118" s="221">
        <f t="shared" si="181"/>
        <v>15</v>
      </c>
      <c r="T118" s="221">
        <f t="shared" si="182"/>
        <v>0.35337084850491007</v>
      </c>
      <c r="U118" s="221">
        <f t="shared" si="183"/>
        <v>0.20613299496119752</v>
      </c>
      <c r="V118" s="221">
        <f t="shared" si="184"/>
        <v>0.10371471444588554</v>
      </c>
      <c r="W118" s="201">
        <f t="shared" si="185"/>
        <v>350</v>
      </c>
      <c r="X118" s="451">
        <f t="shared" si="186"/>
        <v>350</v>
      </c>
      <c r="Z118" s="221">
        <f t="shared" si="187"/>
        <v>3.2584749380923919</v>
      </c>
      <c r="AA118" s="177">
        <f t="shared" si="188"/>
        <v>0.95636580992229525</v>
      </c>
      <c r="AB118" s="177">
        <f t="shared" si="189"/>
        <v>0.73256165472632317</v>
      </c>
      <c r="AC118" s="177"/>
      <c r="AD118" s="177">
        <f t="shared" si="190"/>
        <v>0.24067085953878403</v>
      </c>
      <c r="AE118" s="559">
        <f t="shared" si="191"/>
        <v>603.55230730007668</v>
      </c>
      <c r="AF118" s="542">
        <f t="shared" si="192"/>
        <v>4.6392002252886505E-2</v>
      </c>
      <c r="AH118" s="177">
        <f t="shared" si="193"/>
        <v>1.0458860124413214</v>
      </c>
      <c r="AI118" s="177">
        <f t="shared" si="194"/>
        <v>1.0458860124413214</v>
      </c>
      <c r="AJ118" s="177">
        <f t="shared" si="195"/>
        <v>1.3673229721787565</v>
      </c>
      <c r="AL118" s="559">
        <f t="shared" si="196"/>
        <v>80</v>
      </c>
      <c r="AM118" s="469">
        <f t="shared" si="197"/>
        <v>350</v>
      </c>
      <c r="AO118" s="469">
        <f t="shared" si="198"/>
        <v>80</v>
      </c>
      <c r="AP118" s="469">
        <f t="shared" si="199"/>
        <v>350</v>
      </c>
      <c r="AR118" s="5">
        <f t="shared" si="149"/>
        <v>2.8571428571428572</v>
      </c>
      <c r="AS118" s="5">
        <f t="shared" si="234"/>
        <v>0.61010017392410409</v>
      </c>
      <c r="AT118" s="5">
        <f t="shared" si="235"/>
        <v>2.2470426832187531</v>
      </c>
      <c r="AU118" s="177">
        <f t="shared" si="236"/>
        <v>0.21353506087343643</v>
      </c>
      <c r="AW118" s="5">
        <f t="shared" si="203"/>
        <v>17.111543209876547</v>
      </c>
      <c r="AX118" s="5">
        <f t="shared" si="204"/>
        <v>0.61334276094276108</v>
      </c>
      <c r="AY118" s="5">
        <f t="shared" si="205"/>
        <v>1.2123152482368027</v>
      </c>
      <c r="AZ118" s="5">
        <f t="shared" si="206"/>
        <v>7.2343573436592895E-2</v>
      </c>
      <c r="BA118" s="5">
        <f t="shared" si="207"/>
        <v>0.35216809304247126</v>
      </c>
      <c r="BB118" s="5"/>
      <c r="BC118" s="5"/>
      <c r="BD118" s="177">
        <f t="shared" si="208"/>
        <v>0.27903477050075576</v>
      </c>
      <c r="BE118" s="177">
        <f t="shared" si="209"/>
        <v>0.71933487666898099</v>
      </c>
      <c r="BF118" s="177">
        <f t="shared" si="210"/>
        <v>0.16890711344569109</v>
      </c>
      <c r="BG118" s="177"/>
      <c r="BH118" s="542">
        <f t="shared" si="211"/>
        <v>8.5646443463250378E-3</v>
      </c>
      <c r="BI118" s="542">
        <f t="shared" si="212"/>
        <v>6.5616273705537409E-2</v>
      </c>
      <c r="BJ118" s="542">
        <f t="shared" si="213"/>
        <v>1.7499999999999998E-2</v>
      </c>
      <c r="BK118" s="542">
        <f t="shared" si="214"/>
        <v>0.10121127187500001</v>
      </c>
      <c r="BL118">
        <f t="shared" si="215"/>
        <v>3.48E-3</v>
      </c>
      <c r="BM118" s="469">
        <f t="shared" si="216"/>
        <v>196.37218992686249</v>
      </c>
      <c r="BN118" s="177">
        <f t="shared" si="217"/>
        <v>7.2000000000000008E-2</v>
      </c>
      <c r="BO118" s="177">
        <f t="shared" si="218"/>
        <v>1.8000000000000002E-2</v>
      </c>
      <c r="BP118" s="542"/>
      <c r="BR118" s="469">
        <f t="shared" si="219"/>
        <v>90.000000000000014</v>
      </c>
      <c r="BS118" s="542">
        <f t="shared" si="220"/>
        <v>0</v>
      </c>
      <c r="BT118" s="542">
        <f t="shared" si="221"/>
        <v>0</v>
      </c>
      <c r="BU118" s="542">
        <f t="shared" si="222"/>
        <v>0</v>
      </c>
      <c r="BV118" s="542">
        <f t="shared" si="223"/>
        <v>0</v>
      </c>
      <c r="BW118" s="647">
        <f t="shared" si="224"/>
        <v>0</v>
      </c>
      <c r="BX118" s="469">
        <f t="shared" si="225"/>
        <v>0</v>
      </c>
      <c r="BY118" s="177">
        <f t="shared" si="226"/>
        <v>0.28637218992686253</v>
      </c>
      <c r="BZ118" s="5">
        <f t="shared" si="227"/>
        <v>1.3399999999999999</v>
      </c>
      <c r="CA118" s="177">
        <f t="shared" si="228"/>
        <v>0.82391964662176087</v>
      </c>
      <c r="CB118" s="5">
        <f t="shared" si="229"/>
        <v>82.391964662176093</v>
      </c>
      <c r="CC118">
        <f t="shared" si="230"/>
        <v>8</v>
      </c>
      <c r="CE118" s="576">
        <f t="shared" si="231"/>
        <v>-50</v>
      </c>
      <c r="CF118">
        <f t="shared" si="232"/>
        <v>-50</v>
      </c>
    </row>
    <row r="119" spans="5:84" x14ac:dyDescent="0.25">
      <c r="E119" s="174">
        <v>9</v>
      </c>
      <c r="F119" s="221">
        <f t="shared" si="233"/>
        <v>0.09</v>
      </c>
      <c r="G119" s="221">
        <f t="shared" si="170"/>
        <v>2.2499999999999999E-2</v>
      </c>
      <c r="H119" s="221">
        <f t="shared" si="171"/>
        <v>1.3499999999999999</v>
      </c>
      <c r="I119" s="221">
        <f t="shared" si="172"/>
        <v>0.1575</v>
      </c>
      <c r="J119" s="555">
        <f t="shared" si="173"/>
        <v>12</v>
      </c>
      <c r="K119" s="451">
        <f t="shared" si="174"/>
        <v>23.85</v>
      </c>
      <c r="L119" s="451">
        <f t="shared" si="175"/>
        <v>35.85</v>
      </c>
      <c r="M119" s="451"/>
      <c r="N119" s="221">
        <f t="shared" si="176"/>
        <v>0.66527196652719667</v>
      </c>
      <c r="O119" s="176">
        <f t="shared" si="177"/>
        <v>13.923050021857241</v>
      </c>
      <c r="P119" s="176">
        <f t="shared" si="178"/>
        <v>1.6243558358833448</v>
      </c>
      <c r="Q119" s="221">
        <f t="shared" si="179"/>
        <v>0.92820333479048278</v>
      </c>
      <c r="R119" s="221">
        <f t="shared" si="180"/>
        <v>1.9890071459796059</v>
      </c>
      <c r="S119" s="221">
        <f t="shared" si="181"/>
        <v>15</v>
      </c>
      <c r="T119" s="221">
        <f t="shared" si="182"/>
        <v>0.3975422045680238</v>
      </c>
      <c r="U119" s="221">
        <f t="shared" si="183"/>
        <v>0.2318996193313472</v>
      </c>
      <c r="V119" s="221">
        <f t="shared" si="184"/>
        <v>0.11667905375162123</v>
      </c>
      <c r="W119" s="201">
        <f t="shared" si="185"/>
        <v>350</v>
      </c>
      <c r="X119" s="451">
        <f t="shared" si="186"/>
        <v>350</v>
      </c>
      <c r="Z119" s="221">
        <f t="shared" si="187"/>
        <v>3.2584749380923919</v>
      </c>
      <c r="AA119" s="177">
        <f t="shared" si="188"/>
        <v>0.95636580992229525</v>
      </c>
      <c r="AB119" s="177">
        <f t="shared" si="189"/>
        <v>0.73256165472632317</v>
      </c>
      <c r="AC119" s="177"/>
      <c r="AD119" s="177">
        <f t="shared" si="190"/>
        <v>0.24067085953878403</v>
      </c>
      <c r="AE119" s="559">
        <f t="shared" si="191"/>
        <v>678.99634571258628</v>
      </c>
      <c r="AF119" s="542">
        <f t="shared" si="192"/>
        <v>4.6392002252886505E-2</v>
      </c>
      <c r="AH119" s="177">
        <f t="shared" si="193"/>
        <v>1.1093296376181243</v>
      </c>
      <c r="AI119" s="177">
        <f t="shared" si="194"/>
        <v>1.1093296376181243</v>
      </c>
      <c r="AJ119" s="177">
        <f t="shared" si="195"/>
        <v>1.4143182500874996</v>
      </c>
      <c r="AL119" s="559">
        <f t="shared" si="196"/>
        <v>90</v>
      </c>
      <c r="AM119" s="469">
        <f t="shared" si="197"/>
        <v>350</v>
      </c>
      <c r="AO119" s="469">
        <f t="shared" si="198"/>
        <v>90</v>
      </c>
      <c r="AP119" s="469">
        <f t="shared" si="199"/>
        <v>350</v>
      </c>
      <c r="AR119" s="5">
        <f t="shared" si="149"/>
        <v>2.8571428571428572</v>
      </c>
      <c r="AS119" s="5">
        <f t="shared" si="234"/>
        <v>0.64710895527723922</v>
      </c>
      <c r="AT119" s="5">
        <f t="shared" si="235"/>
        <v>2.2100339018656179</v>
      </c>
      <c r="AU119" s="177">
        <f t="shared" si="236"/>
        <v>0.22648813434703371</v>
      </c>
      <c r="AW119" s="5">
        <f t="shared" si="203"/>
        <v>17.111543209876547</v>
      </c>
      <c r="AX119" s="5">
        <f t="shared" si="204"/>
        <v>0.74251193181818198</v>
      </c>
      <c r="AY119" s="5">
        <f t="shared" si="205"/>
        <v>1.2123152482368027</v>
      </c>
      <c r="AZ119" s="5">
        <f t="shared" si="206"/>
        <v>8.3122335130687897E-2</v>
      </c>
      <c r="BA119" s="5">
        <f t="shared" si="207"/>
        <v>0.38966387217104309</v>
      </c>
      <c r="BB119" s="5"/>
      <c r="BC119" s="5"/>
      <c r="BD119" s="177">
        <f t="shared" si="208"/>
        <v>0.30480544147130623</v>
      </c>
      <c r="BE119" s="177">
        <f t="shared" si="209"/>
        <v>0.75666071335275364</v>
      </c>
      <c r="BF119" s="177">
        <f t="shared" si="210"/>
        <v>0.17767159788219725</v>
      </c>
      <c r="BG119" s="177"/>
      <c r="BH119" s="542">
        <f t="shared" si="211"/>
        <v>1.0219699286556968E-2</v>
      </c>
      <c r="BI119" s="542">
        <f t="shared" si="212"/>
        <v>6.959656814006708E-2</v>
      </c>
      <c r="BJ119" s="542">
        <f t="shared" si="213"/>
        <v>1.7499999999999998E-2</v>
      </c>
      <c r="BK119" s="542">
        <f t="shared" si="214"/>
        <v>0.10121127187500001</v>
      </c>
      <c r="BL119">
        <f t="shared" si="215"/>
        <v>3.48E-3</v>
      </c>
      <c r="BM119" s="469">
        <f t="shared" si="216"/>
        <v>202.00753930162406</v>
      </c>
      <c r="BN119" s="177">
        <f t="shared" si="217"/>
        <v>8.1000000000000003E-2</v>
      </c>
      <c r="BO119" s="177">
        <f t="shared" si="218"/>
        <v>2.0250000000000001E-2</v>
      </c>
      <c r="BP119" s="542"/>
      <c r="BR119" s="469">
        <f t="shared" si="219"/>
        <v>101.25</v>
      </c>
      <c r="BS119" s="542">
        <f t="shared" si="220"/>
        <v>0</v>
      </c>
      <c r="BT119" s="542">
        <f t="shared" si="221"/>
        <v>0</v>
      </c>
      <c r="BU119" s="542">
        <f t="shared" si="222"/>
        <v>0</v>
      </c>
      <c r="BV119" s="542">
        <f t="shared" si="223"/>
        <v>0</v>
      </c>
      <c r="BW119" s="647">
        <f t="shared" si="224"/>
        <v>0</v>
      </c>
      <c r="BX119" s="469">
        <f t="shared" si="225"/>
        <v>0</v>
      </c>
      <c r="BY119" s="177">
        <f t="shared" si="226"/>
        <v>0.30325753930162408</v>
      </c>
      <c r="BZ119" s="5">
        <f t="shared" si="227"/>
        <v>1.5074999999999998</v>
      </c>
      <c r="CA119" s="177">
        <f t="shared" si="228"/>
        <v>0.83252449170053711</v>
      </c>
      <c r="CB119" s="5">
        <f t="shared" si="229"/>
        <v>83.252449170053708</v>
      </c>
      <c r="CC119">
        <f t="shared" si="230"/>
        <v>9</v>
      </c>
      <c r="CE119" s="576">
        <f t="shared" si="231"/>
        <v>-50</v>
      </c>
      <c r="CF119">
        <f t="shared" si="232"/>
        <v>-50</v>
      </c>
    </row>
    <row r="120" spans="5:84" x14ac:dyDescent="0.25">
      <c r="E120" s="174">
        <v>10</v>
      </c>
      <c r="F120" s="221">
        <f t="shared" si="233"/>
        <v>0.1</v>
      </c>
      <c r="G120" s="221">
        <f t="shared" si="170"/>
        <v>2.5000000000000001E-2</v>
      </c>
      <c r="H120" s="221">
        <f t="shared" si="171"/>
        <v>1.5</v>
      </c>
      <c r="I120" s="221">
        <f t="shared" si="172"/>
        <v>0.17500000000000002</v>
      </c>
      <c r="J120" s="555">
        <f t="shared" si="173"/>
        <v>12</v>
      </c>
      <c r="K120" s="451">
        <f t="shared" si="174"/>
        <v>23.85</v>
      </c>
      <c r="L120" s="451">
        <f t="shared" si="175"/>
        <v>35.85</v>
      </c>
      <c r="M120" s="451"/>
      <c r="N120" s="221">
        <f t="shared" si="176"/>
        <v>0.66527196652719667</v>
      </c>
      <c r="O120" s="176">
        <f t="shared" si="177"/>
        <v>13.923050021857241</v>
      </c>
      <c r="P120" s="176">
        <f t="shared" si="178"/>
        <v>1.6243558358833448</v>
      </c>
      <c r="Q120" s="221">
        <f t="shared" si="179"/>
        <v>0.92820333479048278</v>
      </c>
      <c r="R120" s="221">
        <f t="shared" si="180"/>
        <v>1.9890071459796059</v>
      </c>
      <c r="S120" s="221">
        <f t="shared" si="181"/>
        <v>15</v>
      </c>
      <c r="T120" s="221">
        <f t="shared" si="182"/>
        <v>0.44171356063113765</v>
      </c>
      <c r="U120" s="221">
        <f t="shared" si="183"/>
        <v>0.25766624370149693</v>
      </c>
      <c r="V120" s="221">
        <f t="shared" si="184"/>
        <v>0.12964339305735695</v>
      </c>
      <c r="W120" s="201">
        <f t="shared" si="185"/>
        <v>350</v>
      </c>
      <c r="X120" s="451">
        <f t="shared" si="186"/>
        <v>350</v>
      </c>
      <c r="Z120" s="221">
        <f t="shared" si="187"/>
        <v>3.2584749380923919</v>
      </c>
      <c r="AA120" s="177">
        <f t="shared" si="188"/>
        <v>0.95636580992229525</v>
      </c>
      <c r="AB120" s="177">
        <f t="shared" si="189"/>
        <v>0.73256165472632317</v>
      </c>
      <c r="AC120" s="177"/>
      <c r="AD120" s="177">
        <f t="shared" si="190"/>
        <v>0.24067085953878403</v>
      </c>
      <c r="AE120" s="559">
        <f t="shared" si="191"/>
        <v>754.44038412509587</v>
      </c>
      <c r="AF120" s="542">
        <f t="shared" si="192"/>
        <v>4.6392002252886505E-2</v>
      </c>
      <c r="AH120" s="177">
        <f t="shared" si="193"/>
        <v>1.1693361102674928</v>
      </c>
      <c r="AI120" s="177">
        <f t="shared" si="194"/>
        <v>1.1693361102674928</v>
      </c>
      <c r="AJ120" s="177">
        <f t="shared" si="195"/>
        <v>1.4587674890870317</v>
      </c>
      <c r="AL120" s="559">
        <f t="shared" si="196"/>
        <v>100</v>
      </c>
      <c r="AM120" s="469">
        <f t="shared" si="197"/>
        <v>350</v>
      </c>
      <c r="AO120" s="469">
        <f t="shared" si="198"/>
        <v>100</v>
      </c>
      <c r="AP120" s="469">
        <f t="shared" si="199"/>
        <v>350</v>
      </c>
      <c r="AR120" s="5">
        <f t="shared" si="149"/>
        <v>2.8571428571428572</v>
      </c>
      <c r="AS120" s="5">
        <f t="shared" si="234"/>
        <v>0.68211273098937086</v>
      </c>
      <c r="AT120" s="5">
        <f t="shared" si="235"/>
        <v>2.1750301261534863</v>
      </c>
      <c r="AU120" s="177">
        <f t="shared" si="236"/>
        <v>0.23873945584627979</v>
      </c>
      <c r="AW120" s="5">
        <f t="shared" si="203"/>
        <v>17.111543209876547</v>
      </c>
      <c r="AX120" s="5">
        <f t="shared" si="204"/>
        <v>0.88334806397306431</v>
      </c>
      <c r="AY120" s="5">
        <f t="shared" si="205"/>
        <v>1.2123152482368027</v>
      </c>
      <c r="AZ120" s="5">
        <f t="shared" si="206"/>
        <v>9.4286833494676425E-2</v>
      </c>
      <c r="BA120" s="5">
        <f t="shared" si="207"/>
        <v>0.4261023931353321</v>
      </c>
      <c r="BB120" s="5"/>
      <c r="BC120" s="5"/>
      <c r="BD120" s="177">
        <f t="shared" si="208"/>
        <v>0.32986849102652088</v>
      </c>
      <c r="BE120" s="177">
        <f t="shared" si="209"/>
        <v>0.79124886716400245</v>
      </c>
      <c r="BF120" s="177">
        <f t="shared" si="210"/>
        <v>0.18579324665686386</v>
      </c>
      <c r="BG120" s="177"/>
      <c r="BH120" s="542">
        <f t="shared" si="211"/>
        <v>1.1969454350932527E-2</v>
      </c>
      <c r="BI120" s="542">
        <f t="shared" si="212"/>
        <v>7.3361224217906834E-2</v>
      </c>
      <c r="BJ120" s="542">
        <f t="shared" si="213"/>
        <v>1.7499999999999998E-2</v>
      </c>
      <c r="BK120" s="542">
        <f t="shared" si="214"/>
        <v>0.10121127187500001</v>
      </c>
      <c r="BL120">
        <f t="shared" si="215"/>
        <v>3.48E-3</v>
      </c>
      <c r="BM120" s="469">
        <f t="shared" si="216"/>
        <v>207.52195044383939</v>
      </c>
      <c r="BN120" s="177">
        <f t="shared" si="217"/>
        <v>9.0000000000000011E-2</v>
      </c>
      <c r="BO120" s="177">
        <f t="shared" si="218"/>
        <v>2.2500000000000003E-2</v>
      </c>
      <c r="BP120" s="542"/>
      <c r="BR120" s="469">
        <f t="shared" si="219"/>
        <v>112.50000000000001</v>
      </c>
      <c r="BS120" s="542">
        <f t="shared" si="220"/>
        <v>0</v>
      </c>
      <c r="BT120" s="542">
        <f t="shared" si="221"/>
        <v>0</v>
      </c>
      <c r="BU120" s="542">
        <f t="shared" si="222"/>
        <v>0</v>
      </c>
      <c r="BV120" s="542">
        <f t="shared" si="223"/>
        <v>0</v>
      </c>
      <c r="BW120" s="647">
        <f t="shared" si="224"/>
        <v>0</v>
      </c>
      <c r="BX120" s="469">
        <f t="shared" si="225"/>
        <v>0</v>
      </c>
      <c r="BY120" s="177">
        <f t="shared" si="226"/>
        <v>0.32002195044383941</v>
      </c>
      <c r="BZ120" s="5">
        <f t="shared" si="227"/>
        <v>1.675</v>
      </c>
      <c r="CA120" s="177">
        <f t="shared" si="228"/>
        <v>0.83958975971535399</v>
      </c>
      <c r="CB120" s="5">
        <f t="shared" si="229"/>
        <v>83.958975971535395</v>
      </c>
      <c r="CC120">
        <f t="shared" si="230"/>
        <v>10</v>
      </c>
      <c r="CE120" s="576">
        <f t="shared" si="231"/>
        <v>-50</v>
      </c>
      <c r="CF120">
        <f t="shared" si="232"/>
        <v>-50</v>
      </c>
    </row>
    <row r="121" spans="5:84" x14ac:dyDescent="0.25">
      <c r="E121" s="174">
        <v>11</v>
      </c>
      <c r="F121" s="221">
        <f t="shared" si="233"/>
        <v>0.11</v>
      </c>
      <c r="G121" s="221">
        <f t="shared" si="170"/>
        <v>2.75E-2</v>
      </c>
      <c r="H121" s="221">
        <f t="shared" si="171"/>
        <v>1.65</v>
      </c>
      <c r="I121" s="221">
        <f t="shared" si="172"/>
        <v>0.1925</v>
      </c>
      <c r="J121" s="555">
        <f t="shared" si="173"/>
        <v>12</v>
      </c>
      <c r="K121" s="451">
        <f t="shared" si="174"/>
        <v>23.85</v>
      </c>
      <c r="L121" s="451">
        <f t="shared" si="175"/>
        <v>35.85</v>
      </c>
      <c r="M121" s="451"/>
      <c r="N121" s="221">
        <f t="shared" si="176"/>
        <v>0.66527196652719667</v>
      </c>
      <c r="O121" s="176">
        <f t="shared" si="177"/>
        <v>13.923050021857241</v>
      </c>
      <c r="P121" s="176">
        <f t="shared" si="178"/>
        <v>1.6243558358833448</v>
      </c>
      <c r="Q121" s="221">
        <f t="shared" si="179"/>
        <v>0.92820333479048278</v>
      </c>
      <c r="R121" s="221">
        <f t="shared" si="180"/>
        <v>1.9890071459796059</v>
      </c>
      <c r="S121" s="221">
        <f t="shared" si="181"/>
        <v>15</v>
      </c>
      <c r="T121" s="221">
        <f t="shared" si="182"/>
        <v>0.48588491669425132</v>
      </c>
      <c r="U121" s="221">
        <f t="shared" si="183"/>
        <v>0.28343286807164664</v>
      </c>
      <c r="V121" s="221">
        <f t="shared" si="184"/>
        <v>0.14260773236309263</v>
      </c>
      <c r="W121" s="201">
        <f t="shared" si="185"/>
        <v>350</v>
      </c>
      <c r="X121" s="451">
        <f t="shared" si="186"/>
        <v>350</v>
      </c>
      <c r="Z121" s="221">
        <f t="shared" si="187"/>
        <v>3.2584749380923919</v>
      </c>
      <c r="AA121" s="177">
        <f t="shared" si="188"/>
        <v>0.95636580992229525</v>
      </c>
      <c r="AB121" s="177">
        <f t="shared" si="189"/>
        <v>0.73256165472632317</v>
      </c>
      <c r="AC121" s="177"/>
      <c r="AD121" s="177">
        <f t="shared" si="190"/>
        <v>0.24067085953878403</v>
      </c>
      <c r="AE121" s="559">
        <f t="shared" si="191"/>
        <v>829.88442253760536</v>
      </c>
      <c r="AF121" s="542">
        <f t="shared" si="192"/>
        <v>4.6392002252886505E-2</v>
      </c>
      <c r="AH121" s="177">
        <f t="shared" si="193"/>
        <v>1.2264100589334144</v>
      </c>
      <c r="AI121" s="177">
        <f t="shared" si="194"/>
        <v>1.2264100589334144</v>
      </c>
      <c r="AJ121" s="177">
        <f t="shared" si="195"/>
        <v>1.5010444880988254</v>
      </c>
      <c r="AL121" s="559">
        <f t="shared" si="196"/>
        <v>110</v>
      </c>
      <c r="AM121" s="469">
        <f t="shared" si="197"/>
        <v>350</v>
      </c>
      <c r="AO121" s="469">
        <f t="shared" si="198"/>
        <v>110</v>
      </c>
      <c r="AP121" s="469">
        <f t="shared" si="199"/>
        <v>350</v>
      </c>
      <c r="AR121" s="5">
        <f t="shared" si="149"/>
        <v>2.8571428571428572</v>
      </c>
      <c r="AS121" s="5">
        <f t="shared" si="234"/>
        <v>0.71540586771115833</v>
      </c>
      <c r="AT121" s="5">
        <f t="shared" si="235"/>
        <v>2.1417369894316991</v>
      </c>
      <c r="AU121" s="177">
        <f t="shared" si="236"/>
        <v>0.25039205369890538</v>
      </c>
      <c r="AW121" s="5">
        <f t="shared" si="203"/>
        <v>17.111543209876547</v>
      </c>
      <c r="AX121" s="5">
        <f t="shared" si="204"/>
        <v>1.0358511574074076</v>
      </c>
      <c r="AY121" s="5">
        <f t="shared" si="205"/>
        <v>1.2123152482368027</v>
      </c>
      <c r="AZ121" s="5">
        <f t="shared" si="206"/>
        <v>0.10583706852855845</v>
      </c>
      <c r="BA121" s="5">
        <f t="shared" si="207"/>
        <v>0.46153805883367321</v>
      </c>
      <c r="BB121" s="5"/>
      <c r="BC121" s="5"/>
      <c r="BD121" s="177">
        <f t="shared" si="208"/>
        <v>0.35431158083001957</v>
      </c>
      <c r="BE121" s="177">
        <f t="shared" si="209"/>
        <v>0.82349292848424316</v>
      </c>
      <c r="BF121" s="177">
        <f t="shared" si="210"/>
        <v>0.19336447877699633</v>
      </c>
      <c r="BG121" s="177"/>
      <c r="BH121" s="542">
        <f t="shared" si="211"/>
        <v>1.3809036594129423E-2</v>
      </c>
      <c r="BI121" s="542">
        <f t="shared" si="212"/>
        <v>7.6941901072335089E-2</v>
      </c>
      <c r="BJ121" s="542">
        <f t="shared" si="213"/>
        <v>1.7499999999999998E-2</v>
      </c>
      <c r="BK121" s="542">
        <f t="shared" si="214"/>
        <v>0.10121127187500001</v>
      </c>
      <c r="BL121">
        <f t="shared" si="215"/>
        <v>3.48E-3</v>
      </c>
      <c r="BM121" s="469">
        <f t="shared" si="216"/>
        <v>212.94220954146454</v>
      </c>
      <c r="BN121" s="177">
        <f t="shared" si="217"/>
        <v>9.9000000000000005E-2</v>
      </c>
      <c r="BO121" s="177">
        <f t="shared" si="218"/>
        <v>2.4750000000000001E-2</v>
      </c>
      <c r="BP121" s="542"/>
      <c r="BR121" s="469">
        <f t="shared" si="219"/>
        <v>123.75</v>
      </c>
      <c r="BS121" s="542">
        <f t="shared" si="220"/>
        <v>0</v>
      </c>
      <c r="BT121" s="542">
        <f t="shared" si="221"/>
        <v>0</v>
      </c>
      <c r="BU121" s="542">
        <f t="shared" si="222"/>
        <v>0</v>
      </c>
      <c r="BV121" s="542">
        <f t="shared" si="223"/>
        <v>0</v>
      </c>
      <c r="BW121" s="647">
        <f t="shared" si="224"/>
        <v>0</v>
      </c>
      <c r="BX121" s="469">
        <f t="shared" si="225"/>
        <v>0</v>
      </c>
      <c r="BY121" s="177">
        <f t="shared" si="226"/>
        <v>0.33669220954146456</v>
      </c>
      <c r="BZ121" s="5">
        <f t="shared" si="227"/>
        <v>1.8424999999999998</v>
      </c>
      <c r="CA121" s="177">
        <f t="shared" si="228"/>
        <v>0.84549678175826926</v>
      </c>
      <c r="CB121" s="5">
        <f t="shared" si="229"/>
        <v>84.549678175826926</v>
      </c>
      <c r="CC121">
        <f t="shared" si="230"/>
        <v>11</v>
      </c>
      <c r="CE121" s="576">
        <f t="shared" si="231"/>
        <v>-50</v>
      </c>
      <c r="CF121">
        <f t="shared" si="232"/>
        <v>-50</v>
      </c>
    </row>
    <row r="122" spans="5:84" x14ac:dyDescent="0.25">
      <c r="E122" s="174">
        <v>12</v>
      </c>
      <c r="F122" s="221">
        <f t="shared" si="233"/>
        <v>0.12</v>
      </c>
      <c r="G122" s="221">
        <f t="shared" si="170"/>
        <v>0.03</v>
      </c>
      <c r="H122" s="221">
        <f t="shared" si="171"/>
        <v>1.7999999999999998</v>
      </c>
      <c r="I122" s="221">
        <f t="shared" si="172"/>
        <v>0.21</v>
      </c>
      <c r="J122" s="555">
        <f t="shared" si="173"/>
        <v>12</v>
      </c>
      <c r="K122" s="451">
        <f t="shared" si="174"/>
        <v>23.85</v>
      </c>
      <c r="L122" s="451">
        <f t="shared" si="175"/>
        <v>35.85</v>
      </c>
      <c r="M122" s="451"/>
      <c r="N122" s="221">
        <f t="shared" si="176"/>
        <v>0.66527196652719667</v>
      </c>
      <c r="O122" s="176">
        <f t="shared" si="177"/>
        <v>13.923050021857241</v>
      </c>
      <c r="P122" s="176">
        <f t="shared" si="178"/>
        <v>1.6243558358833448</v>
      </c>
      <c r="Q122" s="221">
        <f t="shared" si="179"/>
        <v>0.92820333479048278</v>
      </c>
      <c r="R122" s="221">
        <f t="shared" si="180"/>
        <v>1.9890071459796059</v>
      </c>
      <c r="S122" s="221">
        <f t="shared" si="181"/>
        <v>15</v>
      </c>
      <c r="T122" s="221">
        <f t="shared" si="182"/>
        <v>0.53005627275736511</v>
      </c>
      <c r="U122" s="221">
        <f t="shared" si="183"/>
        <v>0.30919949244179634</v>
      </c>
      <c r="V122" s="221">
        <f t="shared" si="184"/>
        <v>0.15557207166882833</v>
      </c>
      <c r="W122" s="201">
        <f t="shared" si="185"/>
        <v>350</v>
      </c>
      <c r="X122" s="451">
        <f t="shared" si="186"/>
        <v>350</v>
      </c>
      <c r="Z122" s="221">
        <f t="shared" si="187"/>
        <v>3.2584749380923919</v>
      </c>
      <c r="AA122" s="177">
        <f t="shared" si="188"/>
        <v>0.95636580992229525</v>
      </c>
      <c r="AB122" s="177">
        <f t="shared" si="189"/>
        <v>0.73256165472632317</v>
      </c>
      <c r="AC122" s="177"/>
      <c r="AD122" s="177">
        <f t="shared" si="190"/>
        <v>0.24067085953878403</v>
      </c>
      <c r="AE122" s="559">
        <f t="shared" si="191"/>
        <v>905.32846095011485</v>
      </c>
      <c r="AF122" s="542">
        <f t="shared" si="192"/>
        <v>4.6392002252886505E-2</v>
      </c>
      <c r="AH122" s="177">
        <f t="shared" si="193"/>
        <v>1.2809435297977081</v>
      </c>
      <c r="AI122" s="177">
        <f t="shared" si="194"/>
        <v>1.2809435297977081</v>
      </c>
      <c r="AJ122" s="177">
        <f t="shared" si="195"/>
        <v>1.5414396517020059</v>
      </c>
      <c r="AL122" s="559">
        <f t="shared" si="196"/>
        <v>120</v>
      </c>
      <c r="AM122" s="469">
        <f t="shared" si="197"/>
        <v>350</v>
      </c>
      <c r="AO122" s="469">
        <f t="shared" si="198"/>
        <v>120</v>
      </c>
      <c r="AP122" s="469">
        <f t="shared" si="199"/>
        <v>350</v>
      </c>
      <c r="AR122" s="5">
        <f t="shared" si="149"/>
        <v>2.8571428571428572</v>
      </c>
      <c r="AS122" s="5">
        <f t="shared" si="234"/>
        <v>0.74721705904866298</v>
      </c>
      <c r="AT122" s="5">
        <f t="shared" si="235"/>
        <v>2.1099257980941943</v>
      </c>
      <c r="AU122" s="177">
        <f t="shared" si="236"/>
        <v>0.26152597066703204</v>
      </c>
      <c r="AW122" s="5">
        <f t="shared" si="203"/>
        <v>17.111543209876547</v>
      </c>
      <c r="AX122" s="5">
        <f t="shared" si="204"/>
        <v>1.2000212121212122</v>
      </c>
      <c r="AY122" s="5">
        <f t="shared" si="205"/>
        <v>1.2123152482368027</v>
      </c>
      <c r="AZ122" s="5">
        <f t="shared" si="206"/>
        <v>0.11777304023233402</v>
      </c>
      <c r="BA122" s="5">
        <f t="shared" si="207"/>
        <v>0.4960176437624948</v>
      </c>
      <c r="BB122" s="5"/>
      <c r="BC122" s="5"/>
      <c r="BD122" s="177">
        <f t="shared" si="208"/>
        <v>0.37820456655194423</v>
      </c>
      <c r="BE122" s="177">
        <f t="shared" si="209"/>
        <v>0.85369881199509257</v>
      </c>
      <c r="BF122" s="177">
        <f t="shared" si="210"/>
        <v>0.20045712610770841</v>
      </c>
      <c r="BG122" s="177"/>
      <c r="BH122" s="542">
        <f t="shared" si="211"/>
        <v>1.5734256357681841E-2</v>
      </c>
      <c r="BI122" s="542">
        <f t="shared" si="212"/>
        <v>8.0363194700683704E-2</v>
      </c>
      <c r="BJ122" s="542">
        <f t="shared" si="213"/>
        <v>1.7499999999999998E-2</v>
      </c>
      <c r="BK122" s="542">
        <f t="shared" si="214"/>
        <v>0.10121127187500001</v>
      </c>
      <c r="BL122">
        <f t="shared" si="215"/>
        <v>3.48E-3</v>
      </c>
      <c r="BM122" s="469">
        <f t="shared" si="216"/>
        <v>218.28872293336556</v>
      </c>
      <c r="BN122" s="177">
        <f t="shared" si="217"/>
        <v>0.108</v>
      </c>
      <c r="BO122" s="177">
        <f t="shared" si="218"/>
        <v>2.7E-2</v>
      </c>
      <c r="BP122" s="542"/>
      <c r="BR122" s="469">
        <f t="shared" si="219"/>
        <v>135</v>
      </c>
      <c r="BS122" s="542">
        <f t="shared" si="220"/>
        <v>0</v>
      </c>
      <c r="BT122" s="542">
        <f t="shared" si="221"/>
        <v>0</v>
      </c>
      <c r="BU122" s="542">
        <f t="shared" si="222"/>
        <v>0</v>
      </c>
      <c r="BV122" s="542">
        <f t="shared" si="223"/>
        <v>0</v>
      </c>
      <c r="BW122" s="647">
        <f t="shared" si="224"/>
        <v>0</v>
      </c>
      <c r="BX122" s="469">
        <f t="shared" si="225"/>
        <v>0</v>
      </c>
      <c r="BY122" s="177">
        <f t="shared" si="226"/>
        <v>0.35328872293336561</v>
      </c>
      <c r="BZ122" s="5">
        <f t="shared" si="227"/>
        <v>2.0099999999999998</v>
      </c>
      <c r="CA122" s="177">
        <f t="shared" si="228"/>
        <v>0.8505097072968486</v>
      </c>
      <c r="CB122" s="5">
        <f t="shared" si="229"/>
        <v>85.050970729684863</v>
      </c>
      <c r="CC122">
        <f t="shared" si="230"/>
        <v>12</v>
      </c>
      <c r="CE122" s="576">
        <f t="shared" si="231"/>
        <v>-50</v>
      </c>
      <c r="CF122">
        <f t="shared" si="232"/>
        <v>-50</v>
      </c>
    </row>
    <row r="123" spans="5:84" x14ac:dyDescent="0.25">
      <c r="E123" s="174">
        <v>13</v>
      </c>
      <c r="F123" s="221">
        <f t="shared" si="233"/>
        <v>0.13</v>
      </c>
      <c r="G123" s="221">
        <f t="shared" si="170"/>
        <v>3.2500000000000001E-2</v>
      </c>
      <c r="H123" s="221">
        <f t="shared" si="171"/>
        <v>1.9500000000000002</v>
      </c>
      <c r="I123" s="221">
        <f t="shared" si="172"/>
        <v>0.22750000000000001</v>
      </c>
      <c r="J123" s="555">
        <f t="shared" si="173"/>
        <v>12</v>
      </c>
      <c r="K123" s="451">
        <f t="shared" si="174"/>
        <v>23.85</v>
      </c>
      <c r="L123" s="451">
        <f t="shared" si="175"/>
        <v>35.85</v>
      </c>
      <c r="M123" s="451"/>
      <c r="N123" s="221">
        <f t="shared" si="176"/>
        <v>0.66527196652719667</v>
      </c>
      <c r="O123" s="176">
        <f t="shared" si="177"/>
        <v>13.923050021857241</v>
      </c>
      <c r="P123" s="176">
        <f t="shared" si="178"/>
        <v>1.6243558358833448</v>
      </c>
      <c r="Q123" s="221">
        <f t="shared" si="179"/>
        <v>0.92820333479048278</v>
      </c>
      <c r="R123" s="221">
        <f t="shared" si="180"/>
        <v>1.9890071459796059</v>
      </c>
      <c r="S123" s="221">
        <f t="shared" si="181"/>
        <v>15</v>
      </c>
      <c r="T123" s="221">
        <f t="shared" si="182"/>
        <v>0.57422762882047895</v>
      </c>
      <c r="U123" s="221">
        <f t="shared" si="183"/>
        <v>0.33496611681194599</v>
      </c>
      <c r="V123" s="221">
        <f t="shared" si="184"/>
        <v>0.16853641097456404</v>
      </c>
      <c r="W123" s="201">
        <f t="shared" si="185"/>
        <v>350</v>
      </c>
      <c r="X123" s="451">
        <f t="shared" si="186"/>
        <v>350</v>
      </c>
      <c r="Z123" s="221">
        <f t="shared" si="187"/>
        <v>3.2584749380923919</v>
      </c>
      <c r="AA123" s="177">
        <f t="shared" si="188"/>
        <v>0.95636580992229525</v>
      </c>
      <c r="AB123" s="177">
        <f t="shared" si="189"/>
        <v>0.73256165472632317</v>
      </c>
      <c r="AC123" s="177"/>
      <c r="AD123" s="177">
        <f t="shared" si="190"/>
        <v>0.24067085953878403</v>
      </c>
      <c r="AE123" s="559">
        <f t="shared" si="191"/>
        <v>980.77249936262456</v>
      </c>
      <c r="AF123" s="542">
        <f t="shared" si="192"/>
        <v>4.6392002252886505E-2</v>
      </c>
      <c r="AH123" s="177">
        <f t="shared" si="193"/>
        <v>1.3332482966080113</v>
      </c>
      <c r="AI123" s="177">
        <f t="shared" si="194"/>
        <v>1.3332482966080113</v>
      </c>
      <c r="AJ123" s="177">
        <f t="shared" si="195"/>
        <v>1.5801839234133417</v>
      </c>
      <c r="AL123" s="559">
        <f t="shared" si="196"/>
        <v>130</v>
      </c>
      <c r="AM123" s="469">
        <f t="shared" si="197"/>
        <v>350</v>
      </c>
      <c r="AO123" s="469">
        <f t="shared" si="198"/>
        <v>130</v>
      </c>
      <c r="AP123" s="469">
        <f t="shared" si="199"/>
        <v>350</v>
      </c>
      <c r="AR123" s="5">
        <f t="shared" si="149"/>
        <v>2.8571428571428572</v>
      </c>
      <c r="AS123" s="5">
        <f t="shared" si="234"/>
        <v>0.7777281730213399</v>
      </c>
      <c r="AT123" s="5">
        <f t="shared" si="235"/>
        <v>2.0794146841215175</v>
      </c>
      <c r="AU123" s="177">
        <f t="shared" si="236"/>
        <v>0.27220486055746895</v>
      </c>
      <c r="AW123" s="5">
        <f t="shared" si="203"/>
        <v>17.111543209876547</v>
      </c>
      <c r="AX123" s="5">
        <f t="shared" si="204"/>
        <v>1.3758582281144784</v>
      </c>
      <c r="AY123" s="5">
        <f t="shared" si="205"/>
        <v>1.2123152482368027</v>
      </c>
      <c r="AZ123" s="5">
        <f t="shared" si="206"/>
        <v>0.13009474860600312</v>
      </c>
      <c r="BA123" s="5">
        <f t="shared" si="207"/>
        <v>0.52958192686252692</v>
      </c>
      <c r="BB123" s="5"/>
      <c r="BC123" s="5"/>
      <c r="BD123" s="177">
        <f t="shared" si="208"/>
        <v>0.40160429431800604</v>
      </c>
      <c r="BE123" s="177">
        <f t="shared" si="209"/>
        <v>0.88210989198754231</v>
      </c>
      <c r="BF123" s="177">
        <f t="shared" si="210"/>
        <v>0.20712833539707479</v>
      </c>
      <c r="BG123" s="177"/>
      <c r="BH123" s="542">
        <f t="shared" si="211"/>
        <v>1.7741461013613E-2</v>
      </c>
      <c r="BI123" s="542">
        <f t="shared" si="212"/>
        <v>8.3644665008445099E-2</v>
      </c>
      <c r="BJ123" s="542">
        <f t="shared" si="213"/>
        <v>1.7499999999999998E-2</v>
      </c>
      <c r="BK123" s="542">
        <f t="shared" si="214"/>
        <v>0.10121127187500001</v>
      </c>
      <c r="BL123">
        <f t="shared" si="215"/>
        <v>3.48E-3</v>
      </c>
      <c r="BM123" s="469">
        <f t="shared" si="216"/>
        <v>223.57739789705812</v>
      </c>
      <c r="BN123" s="177">
        <f t="shared" si="217"/>
        <v>0.11700000000000001</v>
      </c>
      <c r="BO123" s="177">
        <f t="shared" si="218"/>
        <v>2.9250000000000002E-2</v>
      </c>
      <c r="BP123" s="542"/>
      <c r="BR123" s="469">
        <f t="shared" si="219"/>
        <v>146.25000000000003</v>
      </c>
      <c r="BS123" s="542">
        <f t="shared" si="220"/>
        <v>0</v>
      </c>
      <c r="BT123" s="542">
        <f t="shared" si="221"/>
        <v>0</v>
      </c>
      <c r="BU123" s="542">
        <f t="shared" si="222"/>
        <v>0</v>
      </c>
      <c r="BV123" s="542">
        <f t="shared" si="223"/>
        <v>0</v>
      </c>
      <c r="BW123" s="647">
        <f t="shared" si="224"/>
        <v>0</v>
      </c>
      <c r="BX123" s="469">
        <f t="shared" si="225"/>
        <v>0</v>
      </c>
      <c r="BY123" s="177">
        <f t="shared" si="226"/>
        <v>0.36982739789705815</v>
      </c>
      <c r="BZ123" s="5">
        <f t="shared" si="227"/>
        <v>2.1775000000000002</v>
      </c>
      <c r="CA123" s="177">
        <f t="shared" si="228"/>
        <v>0.85481748510129929</v>
      </c>
      <c r="CB123" s="5">
        <f t="shared" si="229"/>
        <v>85.481748510129933</v>
      </c>
      <c r="CC123">
        <f t="shared" si="230"/>
        <v>13</v>
      </c>
      <c r="CE123" s="576">
        <f t="shared" si="231"/>
        <v>-50</v>
      </c>
      <c r="CF123">
        <f t="shared" si="232"/>
        <v>-50</v>
      </c>
    </row>
    <row r="124" spans="5:84" x14ac:dyDescent="0.25">
      <c r="E124" s="174">
        <v>14</v>
      </c>
      <c r="F124" s="221">
        <f t="shared" si="233"/>
        <v>0.14000000000000001</v>
      </c>
      <c r="G124" s="221">
        <f t="shared" si="170"/>
        <v>3.5000000000000003E-2</v>
      </c>
      <c r="H124" s="221">
        <f t="shared" si="171"/>
        <v>2.1</v>
      </c>
      <c r="I124" s="221">
        <f t="shared" si="172"/>
        <v>0.24500000000000002</v>
      </c>
      <c r="J124" s="555">
        <f t="shared" si="173"/>
        <v>12</v>
      </c>
      <c r="K124" s="451">
        <f t="shared" si="174"/>
        <v>23.85</v>
      </c>
      <c r="L124" s="451">
        <f t="shared" si="175"/>
        <v>35.85</v>
      </c>
      <c r="M124" s="451"/>
      <c r="N124" s="221">
        <f t="shared" si="176"/>
        <v>0.66527196652719667</v>
      </c>
      <c r="O124" s="176">
        <f t="shared" si="177"/>
        <v>13.923050021857241</v>
      </c>
      <c r="P124" s="176">
        <f t="shared" si="178"/>
        <v>1.6243558358833448</v>
      </c>
      <c r="Q124" s="221">
        <f t="shared" si="179"/>
        <v>0.92820333479048278</v>
      </c>
      <c r="R124" s="221">
        <f t="shared" si="180"/>
        <v>1.9890071459796059</v>
      </c>
      <c r="S124" s="221">
        <f t="shared" si="181"/>
        <v>15</v>
      </c>
      <c r="T124" s="221">
        <f t="shared" si="182"/>
        <v>0.61839898488359279</v>
      </c>
      <c r="U124" s="221">
        <f t="shared" si="183"/>
        <v>0.36073274118209581</v>
      </c>
      <c r="V124" s="221">
        <f t="shared" si="184"/>
        <v>0.18150075028029974</v>
      </c>
      <c r="W124" s="201">
        <f t="shared" si="185"/>
        <v>350</v>
      </c>
      <c r="X124" s="451">
        <f t="shared" si="186"/>
        <v>350</v>
      </c>
      <c r="Z124" s="221">
        <f t="shared" si="187"/>
        <v>3.2584749380923919</v>
      </c>
      <c r="AA124" s="177">
        <f t="shared" si="188"/>
        <v>0.95636580992229525</v>
      </c>
      <c r="AB124" s="177">
        <f t="shared" si="189"/>
        <v>0.73256165472632317</v>
      </c>
      <c r="AC124" s="177"/>
      <c r="AD124" s="177">
        <f t="shared" si="190"/>
        <v>0.24067085953878403</v>
      </c>
      <c r="AE124" s="559">
        <f t="shared" si="191"/>
        <v>1056.2165377751342</v>
      </c>
      <c r="AF124" s="542">
        <f t="shared" si="192"/>
        <v>4.6392002252886505E-2</v>
      </c>
      <c r="AH124" s="177">
        <f t="shared" si="193"/>
        <v>1.3835771443203715</v>
      </c>
      <c r="AI124" s="177">
        <f t="shared" si="194"/>
        <v>1.3835771443203715</v>
      </c>
      <c r="AJ124" s="177">
        <f t="shared" si="195"/>
        <v>1.6174645513484234</v>
      </c>
      <c r="AL124" s="559">
        <f t="shared" si="196"/>
        <v>140</v>
      </c>
      <c r="AM124" s="469">
        <f t="shared" si="197"/>
        <v>350</v>
      </c>
      <c r="AO124" s="469">
        <f t="shared" si="198"/>
        <v>140</v>
      </c>
      <c r="AP124" s="469">
        <f t="shared" si="199"/>
        <v>350</v>
      </c>
      <c r="AR124" s="5">
        <f t="shared" si="149"/>
        <v>2.8571428571428572</v>
      </c>
      <c r="AS124" s="5">
        <f t="shared" si="234"/>
        <v>0.80708666752021674</v>
      </c>
      <c r="AT124" s="5">
        <f t="shared" si="235"/>
        <v>2.0500561896226404</v>
      </c>
      <c r="AU124" s="177">
        <f t="shared" si="236"/>
        <v>0.28248033363207586</v>
      </c>
      <c r="AW124" s="5">
        <f t="shared" si="203"/>
        <v>17.111543209876547</v>
      </c>
      <c r="AX124" s="5">
        <f t="shared" si="204"/>
        <v>1.5633622053872056</v>
      </c>
      <c r="AY124" s="5">
        <f t="shared" si="205"/>
        <v>1.2123152482368027</v>
      </c>
      <c r="AZ124" s="5">
        <f t="shared" si="206"/>
        <v>0.14280219364956576</v>
      </c>
      <c r="BA124" s="5">
        <f t="shared" si="207"/>
        <v>0.5622668730602447</v>
      </c>
      <c r="BB124" s="5"/>
      <c r="BC124" s="5"/>
      <c r="BD124" s="177">
        <f t="shared" si="208"/>
        <v>0.42455783557270704</v>
      </c>
      <c r="BE124" s="177">
        <f t="shared" si="209"/>
        <v>0.90892356475357572</v>
      </c>
      <c r="BF124" s="177">
        <f t="shared" si="210"/>
        <v>0.21342445729340292</v>
      </c>
      <c r="BG124" s="177"/>
      <c r="BH124" s="542">
        <f t="shared" si="211"/>
        <v>1.9827429132079993E-2</v>
      </c>
      <c r="BI124" s="542">
        <f t="shared" si="212"/>
        <v>8.6802171091799316E-2</v>
      </c>
      <c r="BJ124" s="542">
        <f t="shared" si="213"/>
        <v>1.7499999999999998E-2</v>
      </c>
      <c r="BK124" s="542">
        <f t="shared" si="214"/>
        <v>0.10121127187500001</v>
      </c>
      <c r="BL124">
        <f t="shared" si="215"/>
        <v>3.48E-3</v>
      </c>
      <c r="BM124" s="469">
        <f t="shared" si="216"/>
        <v>228.82087209887933</v>
      </c>
      <c r="BN124" s="177">
        <f t="shared" si="217"/>
        <v>0.12600000000000003</v>
      </c>
      <c r="BO124" s="177">
        <f t="shared" si="218"/>
        <v>3.1500000000000007E-2</v>
      </c>
      <c r="BP124" s="542"/>
      <c r="BR124" s="469">
        <f t="shared" si="219"/>
        <v>157.50000000000003</v>
      </c>
      <c r="BS124" s="542">
        <f t="shared" si="220"/>
        <v>0</v>
      </c>
      <c r="BT124" s="542">
        <f t="shared" si="221"/>
        <v>0</v>
      </c>
      <c r="BU124" s="542">
        <f t="shared" si="222"/>
        <v>0</v>
      </c>
      <c r="BV124" s="542">
        <f t="shared" si="223"/>
        <v>0</v>
      </c>
      <c r="BW124" s="647">
        <f t="shared" si="224"/>
        <v>0</v>
      </c>
      <c r="BX124" s="469">
        <f t="shared" si="225"/>
        <v>0</v>
      </c>
      <c r="BY124" s="177">
        <f t="shared" si="226"/>
        <v>0.38632087209887939</v>
      </c>
      <c r="BZ124" s="5">
        <f t="shared" si="227"/>
        <v>2.3450000000000002</v>
      </c>
      <c r="CA124" s="177">
        <f t="shared" si="228"/>
        <v>0.8585589572996557</v>
      </c>
      <c r="CB124" s="5">
        <f t="shared" si="229"/>
        <v>85.855895729965567</v>
      </c>
      <c r="CC124">
        <f t="shared" si="230"/>
        <v>14.000000000000002</v>
      </c>
      <c r="CE124" s="576">
        <f t="shared" si="231"/>
        <v>-50</v>
      </c>
      <c r="CF124">
        <f t="shared" si="232"/>
        <v>-50</v>
      </c>
    </row>
    <row r="125" spans="5:84" x14ac:dyDescent="0.25">
      <c r="E125" s="174">
        <v>15</v>
      </c>
      <c r="F125" s="221">
        <f t="shared" si="233"/>
        <v>0.15</v>
      </c>
      <c r="G125" s="221">
        <f t="shared" si="170"/>
        <v>3.7499999999999999E-2</v>
      </c>
      <c r="H125" s="221">
        <f t="shared" si="171"/>
        <v>2.25</v>
      </c>
      <c r="I125" s="221">
        <f t="shared" si="172"/>
        <v>0.26250000000000001</v>
      </c>
      <c r="J125" s="555">
        <f t="shared" si="173"/>
        <v>12</v>
      </c>
      <c r="K125" s="451">
        <f t="shared" si="174"/>
        <v>23.85</v>
      </c>
      <c r="L125" s="451">
        <f t="shared" si="175"/>
        <v>35.85</v>
      </c>
      <c r="M125" s="451"/>
      <c r="N125" s="221">
        <f t="shared" si="176"/>
        <v>0.66527196652719667</v>
      </c>
      <c r="O125" s="176">
        <f t="shared" si="177"/>
        <v>13.923050021857241</v>
      </c>
      <c r="P125" s="176">
        <f t="shared" si="178"/>
        <v>1.6243558358833448</v>
      </c>
      <c r="Q125" s="221">
        <f t="shared" si="179"/>
        <v>0.92820333479048278</v>
      </c>
      <c r="R125" s="221">
        <f t="shared" si="180"/>
        <v>1.9890071459796059</v>
      </c>
      <c r="S125" s="221">
        <f t="shared" si="181"/>
        <v>15</v>
      </c>
      <c r="T125" s="221">
        <f t="shared" si="182"/>
        <v>0.66257034094670653</v>
      </c>
      <c r="U125" s="221">
        <f t="shared" si="183"/>
        <v>0.38649936555224546</v>
      </c>
      <c r="V125" s="221">
        <f t="shared" si="184"/>
        <v>0.19446508958603542</v>
      </c>
      <c r="W125" s="201">
        <f t="shared" si="185"/>
        <v>350</v>
      </c>
      <c r="X125" s="451">
        <f t="shared" si="186"/>
        <v>350</v>
      </c>
      <c r="Z125" s="221">
        <f t="shared" si="187"/>
        <v>3.2584749380923919</v>
      </c>
      <c r="AA125" s="177">
        <f t="shared" si="188"/>
        <v>0.95636580992229525</v>
      </c>
      <c r="AB125" s="177">
        <f t="shared" si="189"/>
        <v>0.73256165472632317</v>
      </c>
      <c r="AC125" s="177"/>
      <c r="AD125" s="177">
        <f t="shared" si="190"/>
        <v>0.24067085953878403</v>
      </c>
      <c r="AE125" s="559">
        <f t="shared" si="191"/>
        <v>1131.6605761876438</v>
      </c>
      <c r="AF125" s="542">
        <f t="shared" si="192"/>
        <v>4.6392002252886505E-2</v>
      </c>
      <c r="AH125" s="177">
        <f t="shared" si="193"/>
        <v>1.4321384039831015</v>
      </c>
      <c r="AI125" s="177">
        <f t="shared" si="194"/>
        <v>1.4321384039831015</v>
      </c>
      <c r="AJ125" s="177">
        <f t="shared" si="195"/>
        <v>1.6534358548022974</v>
      </c>
      <c r="AL125" s="559">
        <f t="shared" si="196"/>
        <v>150</v>
      </c>
      <c r="AM125" s="469">
        <f t="shared" si="197"/>
        <v>350</v>
      </c>
      <c r="AO125" s="469">
        <f t="shared" si="198"/>
        <v>150</v>
      </c>
      <c r="AP125" s="469">
        <f t="shared" si="199"/>
        <v>350</v>
      </c>
      <c r="AR125" s="5">
        <f t="shared" si="149"/>
        <v>2.8571428571428572</v>
      </c>
      <c r="AS125" s="5">
        <f t="shared" si="234"/>
        <v>0.83541406899014248</v>
      </c>
      <c r="AT125" s="5">
        <f t="shared" si="235"/>
        <v>2.0217287881527146</v>
      </c>
      <c r="AU125" s="177">
        <f t="shared" si="236"/>
        <v>0.29239492414654988</v>
      </c>
      <c r="AW125" s="5">
        <f t="shared" si="203"/>
        <v>17.111543209876547</v>
      </c>
      <c r="AX125" s="5">
        <f t="shared" si="204"/>
        <v>1.7625331439393943</v>
      </c>
      <c r="AY125" s="5">
        <f t="shared" si="205"/>
        <v>1.2123152482368027</v>
      </c>
      <c r="AZ125" s="5">
        <f t="shared" si="206"/>
        <v>0.15589537536302192</v>
      </c>
      <c r="BA125" s="5">
        <f t="shared" si="207"/>
        <v>0.59410451230803463</v>
      </c>
      <c r="BB125" s="5"/>
      <c r="BC125" s="5"/>
      <c r="BD125" s="177">
        <f t="shared" si="208"/>
        <v>0.4471047441289806</v>
      </c>
      <c r="BE125" s="177">
        <f t="shared" si="209"/>
        <v>0.93430256259243472</v>
      </c>
      <c r="BF125" s="177">
        <f t="shared" si="210"/>
        <v>0.21938370298847676</v>
      </c>
      <c r="BG125" s="177"/>
      <c r="BH125" s="542">
        <f t="shared" si="211"/>
        <v>2.1989291744490536E-2</v>
      </c>
      <c r="BI125" s="542">
        <f t="shared" si="212"/>
        <v>8.9848783119889836E-2</v>
      </c>
      <c r="BJ125" s="542">
        <f t="shared" si="213"/>
        <v>1.7499999999999998E-2</v>
      </c>
      <c r="BK125" s="542">
        <f t="shared" si="214"/>
        <v>0.10121127187500001</v>
      </c>
      <c r="BL125">
        <f t="shared" si="215"/>
        <v>3.48E-3</v>
      </c>
      <c r="BM125" s="469">
        <f t="shared" si="216"/>
        <v>234.0293467393804</v>
      </c>
      <c r="BN125" s="177">
        <f t="shared" si="217"/>
        <v>0.13500000000000001</v>
      </c>
      <c r="BO125" s="177">
        <f t="shared" si="218"/>
        <v>3.3750000000000002E-2</v>
      </c>
      <c r="BP125" s="542"/>
      <c r="BR125" s="469">
        <f t="shared" si="219"/>
        <v>168.75</v>
      </c>
      <c r="BS125" s="542">
        <f t="shared" si="220"/>
        <v>0</v>
      </c>
      <c r="BT125" s="542">
        <f t="shared" si="221"/>
        <v>0</v>
      </c>
      <c r="BU125" s="542">
        <f t="shared" si="222"/>
        <v>0</v>
      </c>
      <c r="BV125" s="542">
        <f t="shared" si="223"/>
        <v>0</v>
      </c>
      <c r="BW125" s="647">
        <f t="shared" si="224"/>
        <v>0</v>
      </c>
      <c r="BX125" s="469">
        <f t="shared" si="225"/>
        <v>0</v>
      </c>
      <c r="BY125" s="177">
        <f t="shared" si="226"/>
        <v>0.40277934673938037</v>
      </c>
      <c r="BZ125" s="5">
        <f t="shared" si="227"/>
        <v>2.5125000000000002</v>
      </c>
      <c r="CA125" s="177">
        <f t="shared" si="228"/>
        <v>0.861838507109148</v>
      </c>
      <c r="CB125" s="5">
        <f t="shared" si="229"/>
        <v>86.183850710914797</v>
      </c>
      <c r="CC125">
        <f t="shared" si="230"/>
        <v>15</v>
      </c>
      <c r="CE125" s="576">
        <f t="shared" si="231"/>
        <v>-50</v>
      </c>
      <c r="CF125">
        <f t="shared" si="232"/>
        <v>-50</v>
      </c>
    </row>
    <row r="126" spans="5:84" x14ac:dyDescent="0.25">
      <c r="E126" s="174">
        <v>16</v>
      </c>
      <c r="F126" s="221">
        <f t="shared" si="233"/>
        <v>0.16</v>
      </c>
      <c r="G126" s="221">
        <f t="shared" si="170"/>
        <v>0.04</v>
      </c>
      <c r="H126" s="221">
        <f t="shared" si="171"/>
        <v>2.4</v>
      </c>
      <c r="I126" s="221">
        <f t="shared" si="172"/>
        <v>0.28000000000000003</v>
      </c>
      <c r="J126" s="555">
        <f t="shared" si="173"/>
        <v>12</v>
      </c>
      <c r="K126" s="451">
        <f t="shared" si="174"/>
        <v>23.85</v>
      </c>
      <c r="L126" s="451">
        <f t="shared" si="175"/>
        <v>35.85</v>
      </c>
      <c r="M126" s="451"/>
      <c r="N126" s="221">
        <f t="shared" si="176"/>
        <v>0.66527196652719667</v>
      </c>
      <c r="O126" s="176">
        <f t="shared" si="177"/>
        <v>13.923050021857241</v>
      </c>
      <c r="P126" s="176">
        <f t="shared" si="178"/>
        <v>1.6243558358833448</v>
      </c>
      <c r="Q126" s="221">
        <f t="shared" si="179"/>
        <v>0.92820333479048278</v>
      </c>
      <c r="R126" s="221">
        <f t="shared" si="180"/>
        <v>1.9890071459796059</v>
      </c>
      <c r="S126" s="221">
        <f t="shared" si="181"/>
        <v>15</v>
      </c>
      <c r="T126" s="221">
        <f t="shared" si="182"/>
        <v>0.70674169700982015</v>
      </c>
      <c r="U126" s="221">
        <f t="shared" si="183"/>
        <v>0.41226598992239505</v>
      </c>
      <c r="V126" s="221">
        <f t="shared" si="184"/>
        <v>0.20742942889177107</v>
      </c>
      <c r="W126" s="201">
        <f t="shared" si="185"/>
        <v>350</v>
      </c>
      <c r="X126" s="451">
        <f t="shared" si="186"/>
        <v>350</v>
      </c>
      <c r="Z126" s="221">
        <f t="shared" si="187"/>
        <v>3.2584749380923919</v>
      </c>
      <c r="AA126" s="177">
        <f t="shared" si="188"/>
        <v>0.95636580992229525</v>
      </c>
      <c r="AB126" s="177">
        <f t="shared" si="189"/>
        <v>0.73256165472632317</v>
      </c>
      <c r="AC126" s="177"/>
      <c r="AD126" s="177">
        <f t="shared" si="190"/>
        <v>0.24067085953878403</v>
      </c>
      <c r="AE126" s="559">
        <f t="shared" si="191"/>
        <v>1207.1046146001534</v>
      </c>
      <c r="AF126" s="542">
        <f t="shared" si="192"/>
        <v>4.6392002252886505E-2</v>
      </c>
      <c r="AH126" s="177">
        <f t="shared" si="193"/>
        <v>1.4791061834908323</v>
      </c>
      <c r="AI126" s="177">
        <f t="shared" si="194"/>
        <v>1.4791061834908323</v>
      </c>
      <c r="AJ126" s="177">
        <f t="shared" si="195"/>
        <v>1.6882268025858018</v>
      </c>
      <c r="AL126" s="559">
        <f t="shared" si="196"/>
        <v>160</v>
      </c>
      <c r="AM126" s="469">
        <f t="shared" si="197"/>
        <v>350</v>
      </c>
      <c r="AO126" s="469">
        <f t="shared" si="198"/>
        <v>160</v>
      </c>
      <c r="AP126" s="469">
        <f t="shared" si="199"/>
        <v>350</v>
      </c>
      <c r="AR126" s="5">
        <f t="shared" si="149"/>
        <v>2.8571428571428572</v>
      </c>
      <c r="AS126" s="5">
        <f t="shared" si="234"/>
        <v>0.86281194036965214</v>
      </c>
      <c r="AT126" s="5">
        <f t="shared" si="235"/>
        <v>1.9943309167732051</v>
      </c>
      <c r="AU126" s="177">
        <f t="shared" si="236"/>
        <v>0.30198417912937825</v>
      </c>
      <c r="AW126" s="5">
        <f t="shared" si="203"/>
        <v>17.111543209876547</v>
      </c>
      <c r="AX126" s="5">
        <f t="shared" si="204"/>
        <v>1.9733710437710443</v>
      </c>
      <c r="AY126" s="5">
        <f t="shared" si="205"/>
        <v>1.2123152482368027</v>
      </c>
      <c r="AZ126" s="5">
        <f t="shared" si="206"/>
        <v>0.16937429374637158</v>
      </c>
      <c r="BA126" s="5">
        <f t="shared" si="207"/>
        <v>0.62512360900025599</v>
      </c>
      <c r="BB126" s="5"/>
      <c r="BC126" s="5"/>
      <c r="BD126" s="177">
        <f t="shared" si="208"/>
        <v>0.46927867649045696</v>
      </c>
      <c r="BE126" s="177">
        <f t="shared" si="209"/>
        <v>0.95838291978967827</v>
      </c>
      <c r="BF126" s="177">
        <f t="shared" si="210"/>
        <v>0.22503801471010798</v>
      </c>
      <c r="BG126" s="177"/>
      <c r="BH126" s="542">
        <f t="shared" si="211"/>
        <v>2.4224472382949846E-2</v>
      </c>
      <c r="BI126" s="542">
        <f t="shared" si="212"/>
        <v>9.2795424186756112E-2</v>
      </c>
      <c r="BJ126" s="542">
        <f t="shared" si="213"/>
        <v>1.7499999999999998E-2</v>
      </c>
      <c r="BK126" s="542">
        <f t="shared" si="214"/>
        <v>0.10121127187500001</v>
      </c>
      <c r="BL126">
        <f t="shared" si="215"/>
        <v>3.48E-3</v>
      </c>
      <c r="BM126" s="469">
        <f t="shared" si="216"/>
        <v>239.21116844470598</v>
      </c>
      <c r="BN126" s="177">
        <f t="shared" si="217"/>
        <v>0.14400000000000002</v>
      </c>
      <c r="BO126" s="177">
        <f t="shared" si="218"/>
        <v>3.6000000000000004E-2</v>
      </c>
      <c r="BP126" s="542"/>
      <c r="BR126" s="469">
        <f t="shared" si="219"/>
        <v>180.00000000000003</v>
      </c>
      <c r="BS126" s="542">
        <f t="shared" si="220"/>
        <v>0</v>
      </c>
      <c r="BT126" s="542">
        <f t="shared" si="221"/>
        <v>0</v>
      </c>
      <c r="BU126" s="542">
        <f t="shared" si="222"/>
        <v>0</v>
      </c>
      <c r="BV126" s="542">
        <f t="shared" si="223"/>
        <v>0</v>
      </c>
      <c r="BW126" s="647">
        <f t="shared" si="224"/>
        <v>0</v>
      </c>
      <c r="BX126" s="469">
        <f t="shared" si="225"/>
        <v>0</v>
      </c>
      <c r="BY126" s="177">
        <f t="shared" si="226"/>
        <v>0.41921116844470596</v>
      </c>
      <c r="BZ126" s="5">
        <f t="shared" si="227"/>
        <v>2.6799999999999997</v>
      </c>
      <c r="CA126" s="177">
        <f t="shared" si="228"/>
        <v>0.8647361713480527</v>
      </c>
      <c r="CB126" s="5">
        <f t="shared" si="229"/>
        <v>86.473617134805266</v>
      </c>
      <c r="CC126">
        <f t="shared" si="230"/>
        <v>16</v>
      </c>
      <c r="CE126" s="576">
        <f t="shared" si="231"/>
        <v>-50</v>
      </c>
      <c r="CF126">
        <f t="shared" si="232"/>
        <v>-50</v>
      </c>
    </row>
    <row r="127" spans="5:84" x14ac:dyDescent="0.25">
      <c r="E127" s="174">
        <v>17</v>
      </c>
      <c r="F127" s="221">
        <f t="shared" si="233"/>
        <v>0.17</v>
      </c>
      <c r="G127" s="221">
        <f t="shared" si="170"/>
        <v>4.2500000000000003E-2</v>
      </c>
      <c r="H127" s="221">
        <f t="shared" si="171"/>
        <v>2.5500000000000003</v>
      </c>
      <c r="I127" s="221">
        <f t="shared" si="172"/>
        <v>0.29750000000000004</v>
      </c>
      <c r="J127" s="555">
        <f t="shared" si="173"/>
        <v>12</v>
      </c>
      <c r="K127" s="451">
        <f t="shared" si="174"/>
        <v>23.85</v>
      </c>
      <c r="L127" s="451">
        <f t="shared" si="175"/>
        <v>35.85</v>
      </c>
      <c r="M127" s="451"/>
      <c r="N127" s="221">
        <f t="shared" si="176"/>
        <v>0.66527196652719667</v>
      </c>
      <c r="O127" s="176">
        <f t="shared" si="177"/>
        <v>13.923050021857241</v>
      </c>
      <c r="P127" s="176">
        <f t="shared" si="178"/>
        <v>1.6243558358833448</v>
      </c>
      <c r="Q127" s="221">
        <f t="shared" si="179"/>
        <v>0.92820333479048278</v>
      </c>
      <c r="R127" s="221">
        <f t="shared" si="180"/>
        <v>1.9890071459796059</v>
      </c>
      <c r="S127" s="221">
        <f t="shared" si="181"/>
        <v>15</v>
      </c>
      <c r="T127" s="221">
        <f t="shared" si="182"/>
        <v>0.75091305307293399</v>
      </c>
      <c r="U127" s="221">
        <f t="shared" si="183"/>
        <v>0.43803261429254481</v>
      </c>
      <c r="V127" s="221">
        <f t="shared" si="184"/>
        <v>0.22039376819750681</v>
      </c>
      <c r="W127" s="201">
        <f t="shared" si="185"/>
        <v>350</v>
      </c>
      <c r="X127" s="451">
        <f t="shared" si="186"/>
        <v>350</v>
      </c>
      <c r="Z127" s="221">
        <f t="shared" si="187"/>
        <v>3.2584749380923919</v>
      </c>
      <c r="AA127" s="177">
        <f t="shared" si="188"/>
        <v>0.95636580992229525</v>
      </c>
      <c r="AB127" s="177">
        <f t="shared" si="189"/>
        <v>0.73256165472632317</v>
      </c>
      <c r="AC127" s="177"/>
      <c r="AD127" s="177">
        <f t="shared" si="190"/>
        <v>0.24067085953878403</v>
      </c>
      <c r="AE127" s="559">
        <f t="shared" si="191"/>
        <v>1282.5486530126627</v>
      </c>
      <c r="AF127" s="542">
        <f t="shared" si="192"/>
        <v>4.6392002252886505E-2</v>
      </c>
      <c r="AH127" s="177">
        <f t="shared" si="193"/>
        <v>1.5246277565092299</v>
      </c>
      <c r="AI127" s="177">
        <f t="shared" si="194"/>
        <v>1.5246277565092299</v>
      </c>
      <c r="AJ127" s="177">
        <f t="shared" si="195"/>
        <v>1.7219464863031333</v>
      </c>
      <c r="AL127" s="559">
        <f t="shared" si="196"/>
        <v>170</v>
      </c>
      <c r="AM127" s="469">
        <f t="shared" si="197"/>
        <v>350</v>
      </c>
      <c r="AO127" s="469">
        <f t="shared" si="198"/>
        <v>170</v>
      </c>
      <c r="AP127" s="469">
        <f t="shared" si="199"/>
        <v>350</v>
      </c>
      <c r="AR127" s="5">
        <f t="shared" si="149"/>
        <v>2.8571428571428572</v>
      </c>
      <c r="AS127" s="5">
        <f t="shared" si="234"/>
        <v>0.88936619129705075</v>
      </c>
      <c r="AT127" s="5">
        <f t="shared" si="235"/>
        <v>1.9677766658458065</v>
      </c>
      <c r="AU127" s="177">
        <f t="shared" si="236"/>
        <v>0.31127816695396776</v>
      </c>
      <c r="AW127" s="5">
        <f t="shared" si="203"/>
        <v>17.111543209876547</v>
      </c>
      <c r="AX127" s="5">
        <f t="shared" si="204"/>
        <v>2.1958759048821559</v>
      </c>
      <c r="AY127" s="5">
        <f t="shared" si="205"/>
        <v>1.2123152482368027</v>
      </c>
      <c r="AZ127" s="5">
        <f t="shared" si="206"/>
        <v>0.18323894879961483</v>
      </c>
      <c r="BA127" s="5">
        <f t="shared" si="207"/>
        <v>0.65535018198782857</v>
      </c>
      <c r="BB127" s="5"/>
      <c r="BC127" s="5"/>
      <c r="BD127" s="177">
        <f t="shared" si="208"/>
        <v>0.49110858364068266</v>
      </c>
      <c r="BE127" s="177">
        <f t="shared" si="209"/>
        <v>0.98127972752395831</v>
      </c>
      <c r="BF127" s="177">
        <f t="shared" si="210"/>
        <v>0.23041441703252435</v>
      </c>
      <c r="BG127" s="177"/>
      <c r="BH127" s="542">
        <f t="shared" si="211"/>
        <v>2.6530640501811312E-2</v>
      </c>
      <c r="BI127" s="542">
        <f t="shared" si="212"/>
        <v>9.5651333873997837E-2</v>
      </c>
      <c r="BJ127" s="542">
        <f t="shared" si="213"/>
        <v>1.7499999999999998E-2</v>
      </c>
      <c r="BK127" s="542">
        <f t="shared" si="214"/>
        <v>0.10121127187500001</v>
      </c>
      <c r="BL127">
        <f t="shared" si="215"/>
        <v>3.48E-3</v>
      </c>
      <c r="BM127" s="469">
        <f t="shared" si="216"/>
        <v>244.37324625080916</v>
      </c>
      <c r="BN127" s="177">
        <f t="shared" si="217"/>
        <v>0.15300000000000002</v>
      </c>
      <c r="BO127" s="177">
        <f t="shared" si="218"/>
        <v>3.8250000000000006E-2</v>
      </c>
      <c r="BP127" s="542"/>
      <c r="BR127" s="469">
        <f t="shared" si="219"/>
        <v>191.25000000000003</v>
      </c>
      <c r="BS127" s="542">
        <f t="shared" si="220"/>
        <v>0</v>
      </c>
      <c r="BT127" s="542">
        <f t="shared" si="221"/>
        <v>0</v>
      </c>
      <c r="BU127" s="542">
        <f t="shared" si="222"/>
        <v>0</v>
      </c>
      <c r="BV127" s="542">
        <f t="shared" si="223"/>
        <v>0</v>
      </c>
      <c r="BW127" s="647">
        <f t="shared" si="224"/>
        <v>0</v>
      </c>
      <c r="BX127" s="469">
        <f t="shared" si="225"/>
        <v>0</v>
      </c>
      <c r="BY127" s="177">
        <f t="shared" si="226"/>
        <v>0.43562324625080917</v>
      </c>
      <c r="BZ127" s="5">
        <f t="shared" si="227"/>
        <v>2.8475000000000001</v>
      </c>
      <c r="CA127" s="177">
        <f t="shared" si="228"/>
        <v>0.8673143791515372</v>
      </c>
      <c r="CB127" s="5">
        <f t="shared" si="229"/>
        <v>86.73143791515372</v>
      </c>
      <c r="CC127">
        <f t="shared" si="230"/>
        <v>17</v>
      </c>
      <c r="CE127" s="576">
        <f t="shared" si="231"/>
        <v>-50</v>
      </c>
      <c r="CF127">
        <f t="shared" si="232"/>
        <v>-50</v>
      </c>
    </row>
    <row r="128" spans="5:84" x14ac:dyDescent="0.25">
      <c r="E128" s="174">
        <v>18</v>
      </c>
      <c r="F128" s="221">
        <f t="shared" si="233"/>
        <v>0.18</v>
      </c>
      <c r="G128" s="221">
        <f t="shared" si="170"/>
        <v>4.4999999999999998E-2</v>
      </c>
      <c r="H128" s="221">
        <f t="shared" si="171"/>
        <v>2.6999999999999997</v>
      </c>
      <c r="I128" s="221">
        <f t="shared" si="172"/>
        <v>0.315</v>
      </c>
      <c r="J128" s="555">
        <f t="shared" si="173"/>
        <v>12</v>
      </c>
      <c r="K128" s="451">
        <f t="shared" si="174"/>
        <v>23.85</v>
      </c>
      <c r="L128" s="451">
        <f t="shared" si="175"/>
        <v>35.85</v>
      </c>
      <c r="M128" s="451"/>
      <c r="N128" s="221">
        <f t="shared" si="176"/>
        <v>0.66527196652719667</v>
      </c>
      <c r="O128" s="176">
        <f t="shared" si="177"/>
        <v>13.923050021857241</v>
      </c>
      <c r="P128" s="176">
        <f t="shared" si="178"/>
        <v>1.6243558358833448</v>
      </c>
      <c r="Q128" s="221">
        <f t="shared" si="179"/>
        <v>0.92820333479048278</v>
      </c>
      <c r="R128" s="221">
        <f t="shared" si="180"/>
        <v>1.9890071459796059</v>
      </c>
      <c r="S128" s="221">
        <f t="shared" si="181"/>
        <v>15</v>
      </c>
      <c r="T128" s="221">
        <f t="shared" si="182"/>
        <v>0.79508440913604761</v>
      </c>
      <c r="U128" s="221">
        <f t="shared" si="183"/>
        <v>0.4637992386626944</v>
      </c>
      <c r="V128" s="221">
        <f t="shared" si="184"/>
        <v>0.23335810750324246</v>
      </c>
      <c r="W128" s="201">
        <f t="shared" si="185"/>
        <v>350</v>
      </c>
      <c r="X128" s="451">
        <f t="shared" si="186"/>
        <v>350</v>
      </c>
      <c r="Z128" s="221">
        <f t="shared" si="187"/>
        <v>3.2584749380923919</v>
      </c>
      <c r="AA128" s="177">
        <f t="shared" si="188"/>
        <v>0.95636580992229525</v>
      </c>
      <c r="AB128" s="177">
        <f t="shared" si="189"/>
        <v>0.73256165472632317</v>
      </c>
      <c r="AC128" s="177"/>
      <c r="AD128" s="177">
        <f t="shared" si="190"/>
        <v>0.24067085953878403</v>
      </c>
      <c r="AE128" s="559">
        <f t="shared" si="191"/>
        <v>1357.9926914251726</v>
      </c>
      <c r="AF128" s="542">
        <f t="shared" si="192"/>
        <v>4.6392002252886505E-2</v>
      </c>
      <c r="AH128" s="177">
        <f t="shared" si="193"/>
        <v>1.5688290186619822</v>
      </c>
      <c r="AI128" s="177">
        <f t="shared" si="194"/>
        <v>1.5688290186619822</v>
      </c>
      <c r="AJ128" s="177">
        <f t="shared" si="195"/>
        <v>1.7546881619718386</v>
      </c>
      <c r="AL128" s="559">
        <f t="shared" si="196"/>
        <v>180</v>
      </c>
      <c r="AM128" s="469">
        <f t="shared" si="197"/>
        <v>350</v>
      </c>
      <c r="AO128" s="469">
        <f t="shared" si="198"/>
        <v>180</v>
      </c>
      <c r="AP128" s="469">
        <f t="shared" si="199"/>
        <v>350</v>
      </c>
      <c r="AR128" s="5">
        <f t="shared" si="149"/>
        <v>2.8571428571428572</v>
      </c>
      <c r="AS128" s="5">
        <f t="shared" si="234"/>
        <v>0.91515026088615625</v>
      </c>
      <c r="AT128" s="5">
        <f t="shared" si="235"/>
        <v>1.9419925962567008</v>
      </c>
      <c r="AU128" s="177">
        <f t="shared" si="236"/>
        <v>0.32030259131015471</v>
      </c>
      <c r="AW128" s="5">
        <f t="shared" si="203"/>
        <v>17.111543209876547</v>
      </c>
      <c r="AX128" s="5">
        <f t="shared" si="204"/>
        <v>2.4300477272727279</v>
      </c>
      <c r="AY128" s="5">
        <f t="shared" si="205"/>
        <v>1.2123152482368027</v>
      </c>
      <c r="AZ128" s="5">
        <f t="shared" si="206"/>
        <v>0.19748934052275158</v>
      </c>
      <c r="BA128" s="5">
        <f t="shared" si="207"/>
        <v>0.68480791552209974</v>
      </c>
      <c r="BB128" s="5"/>
      <c r="BC128" s="5"/>
      <c r="BD128" s="177">
        <f t="shared" si="208"/>
        <v>0.5126196061660947</v>
      </c>
      <c r="BE128" s="177">
        <f t="shared" si="209"/>
        <v>1.0030913846665606</v>
      </c>
      <c r="BF128" s="177">
        <f t="shared" si="210"/>
        <v>0.2355360150071481</v>
      </c>
      <c r="BG128" s="177"/>
      <c r="BH128" s="542">
        <f t="shared" si="211"/>
        <v>2.8905674668847022E-2</v>
      </c>
      <c r="BI128" s="542">
        <f t="shared" si="212"/>
        <v>9.8424410558306114E-2</v>
      </c>
      <c r="BJ128" s="542">
        <f t="shared" si="213"/>
        <v>1.7499999999999998E-2</v>
      </c>
      <c r="BK128" s="542">
        <f t="shared" si="214"/>
        <v>0.10121127187500001</v>
      </c>
      <c r="BL128">
        <f t="shared" si="215"/>
        <v>3.48E-3</v>
      </c>
      <c r="BM128" s="469">
        <f t="shared" si="216"/>
        <v>249.52135710215313</v>
      </c>
      <c r="BN128" s="177">
        <f t="shared" si="217"/>
        <v>0.16200000000000001</v>
      </c>
      <c r="BO128" s="177">
        <f t="shared" si="218"/>
        <v>4.0500000000000001E-2</v>
      </c>
      <c r="BP128" s="542"/>
      <c r="BR128" s="469">
        <f t="shared" si="219"/>
        <v>202.5</v>
      </c>
      <c r="BS128" s="542">
        <f t="shared" si="220"/>
        <v>0</v>
      </c>
      <c r="BT128" s="542">
        <f t="shared" si="221"/>
        <v>0</v>
      </c>
      <c r="BU128" s="542">
        <f t="shared" si="222"/>
        <v>0</v>
      </c>
      <c r="BV128" s="542">
        <f t="shared" si="223"/>
        <v>0</v>
      </c>
      <c r="BW128" s="647">
        <f t="shared" si="224"/>
        <v>0</v>
      </c>
      <c r="BX128" s="469">
        <f t="shared" si="225"/>
        <v>0</v>
      </c>
      <c r="BY128" s="177">
        <f t="shared" si="226"/>
        <v>0.45202135710215313</v>
      </c>
      <c r="BZ128" s="5">
        <f t="shared" si="227"/>
        <v>3.0149999999999997</v>
      </c>
      <c r="CA128" s="177">
        <f t="shared" si="228"/>
        <v>0.86962256342142441</v>
      </c>
      <c r="CB128" s="5">
        <f t="shared" si="229"/>
        <v>86.962256342142439</v>
      </c>
      <c r="CC128">
        <f t="shared" si="230"/>
        <v>18</v>
      </c>
      <c r="CE128" s="576">
        <f t="shared" si="231"/>
        <v>-50</v>
      </c>
      <c r="CF128">
        <f t="shared" si="232"/>
        <v>-50</v>
      </c>
    </row>
    <row r="129" spans="5:84" x14ac:dyDescent="0.25">
      <c r="E129" s="174">
        <v>19</v>
      </c>
      <c r="F129" s="221">
        <f t="shared" si="233"/>
        <v>0.19</v>
      </c>
      <c r="G129" s="221">
        <f t="shared" si="170"/>
        <v>4.7500000000000001E-2</v>
      </c>
      <c r="H129" s="221">
        <f t="shared" si="171"/>
        <v>2.85</v>
      </c>
      <c r="I129" s="221">
        <f t="shared" si="172"/>
        <v>0.33250000000000002</v>
      </c>
      <c r="J129" s="555">
        <f t="shared" si="173"/>
        <v>12</v>
      </c>
      <c r="K129" s="451">
        <f t="shared" si="174"/>
        <v>23.85</v>
      </c>
      <c r="L129" s="451">
        <f t="shared" si="175"/>
        <v>35.85</v>
      </c>
      <c r="M129" s="451"/>
      <c r="N129" s="221">
        <f t="shared" si="176"/>
        <v>0.66527196652719667</v>
      </c>
      <c r="O129" s="176">
        <f t="shared" si="177"/>
        <v>13.923050021857241</v>
      </c>
      <c r="P129" s="176">
        <f t="shared" si="178"/>
        <v>1.6243558358833448</v>
      </c>
      <c r="Q129" s="221">
        <f t="shared" si="179"/>
        <v>0.92820333479048278</v>
      </c>
      <c r="R129" s="221">
        <f t="shared" si="180"/>
        <v>1.9890071459796059</v>
      </c>
      <c r="S129" s="221">
        <f t="shared" si="181"/>
        <v>15</v>
      </c>
      <c r="T129" s="221">
        <f t="shared" si="182"/>
        <v>0.83925576519916156</v>
      </c>
      <c r="U129" s="221">
        <f t="shared" si="183"/>
        <v>0.48956586303284422</v>
      </c>
      <c r="V129" s="221">
        <f t="shared" si="184"/>
        <v>0.24632244680897822</v>
      </c>
      <c r="W129" s="201">
        <f t="shared" si="185"/>
        <v>350</v>
      </c>
      <c r="X129" s="451">
        <f t="shared" si="186"/>
        <v>350</v>
      </c>
      <c r="Z129" s="221">
        <f t="shared" si="187"/>
        <v>3.2584749380923919</v>
      </c>
      <c r="AA129" s="177">
        <f t="shared" si="188"/>
        <v>0.95636580992229525</v>
      </c>
      <c r="AB129" s="177">
        <f t="shared" si="189"/>
        <v>0.73256165472632317</v>
      </c>
      <c r="AC129" s="177"/>
      <c r="AD129" s="177">
        <f t="shared" si="190"/>
        <v>0.24067085953878403</v>
      </c>
      <c r="AE129" s="559">
        <f t="shared" si="191"/>
        <v>1433.4367298376822</v>
      </c>
      <c r="AF129" s="542">
        <f t="shared" si="192"/>
        <v>4.6392002252886505E-2</v>
      </c>
      <c r="AH129" s="177">
        <f t="shared" si="193"/>
        <v>1.6118185951506667</v>
      </c>
      <c r="AI129" s="177">
        <f t="shared" si="194"/>
        <v>1.6118185951506667</v>
      </c>
      <c r="AJ129" s="177">
        <f t="shared" si="195"/>
        <v>1.7865322927041976</v>
      </c>
      <c r="AL129" s="559">
        <f t="shared" si="196"/>
        <v>190</v>
      </c>
      <c r="AM129" s="469">
        <f t="shared" si="197"/>
        <v>350</v>
      </c>
      <c r="AO129" s="469">
        <f t="shared" si="198"/>
        <v>190</v>
      </c>
      <c r="AP129" s="469">
        <f t="shared" si="199"/>
        <v>350</v>
      </c>
      <c r="AR129" s="5">
        <f t="shared" si="149"/>
        <v>2.8571428571428572</v>
      </c>
      <c r="AS129" s="5">
        <f t="shared" si="234"/>
        <v>0.94022751383788883</v>
      </c>
      <c r="AT129" s="5">
        <f t="shared" si="235"/>
        <v>1.9169153433049684</v>
      </c>
      <c r="AU129" s="177">
        <f t="shared" si="236"/>
        <v>0.32907962984326106</v>
      </c>
      <c r="AW129" s="5">
        <f t="shared" si="203"/>
        <v>17.111543209876547</v>
      </c>
      <c r="AX129" s="5">
        <f t="shared" si="204"/>
        <v>2.6758865109427612</v>
      </c>
      <c r="AY129" s="5">
        <f t="shared" si="205"/>
        <v>1.2123152482368027</v>
      </c>
      <c r="AZ129" s="5">
        <f t="shared" si="206"/>
        <v>0.21212546891578185</v>
      </c>
      <c r="BA129" s="5">
        <f t="shared" si="207"/>
        <v>0.71351848889684932</v>
      </c>
      <c r="BB129" s="5"/>
      <c r="BC129" s="5"/>
      <c r="BD129" s="177">
        <f t="shared" si="208"/>
        <v>0.53383375892724194</v>
      </c>
      <c r="BE129" s="177">
        <f t="shared" si="209"/>
        <v>1.0239027988474712</v>
      </c>
      <c r="BF129" s="177">
        <f t="shared" si="210"/>
        <v>0.24042274580532394</v>
      </c>
      <c r="BG129" s="177"/>
      <c r="BH129" s="542">
        <f t="shared" si="211"/>
        <v>3.1347633038742752E-2</v>
      </c>
      <c r="BI129" s="542">
        <f t="shared" si="212"/>
        <v>0.10112146911326496</v>
      </c>
      <c r="BJ129" s="542">
        <f t="shared" si="213"/>
        <v>1.7499999999999998E-2</v>
      </c>
      <c r="BK129" s="542">
        <f t="shared" si="214"/>
        <v>0.10121127187500001</v>
      </c>
      <c r="BL129">
        <f t="shared" si="215"/>
        <v>3.48E-3</v>
      </c>
      <c r="BM129" s="469">
        <f t="shared" si="216"/>
        <v>254.66037402700769</v>
      </c>
      <c r="BN129" s="177">
        <f t="shared" si="217"/>
        <v>0.17100000000000001</v>
      </c>
      <c r="BO129" s="177">
        <f t="shared" si="218"/>
        <v>4.2750000000000003E-2</v>
      </c>
      <c r="BP129" s="542"/>
      <c r="BR129" s="469">
        <f t="shared" si="219"/>
        <v>213.75000000000003</v>
      </c>
      <c r="BS129" s="542">
        <f t="shared" si="220"/>
        <v>0</v>
      </c>
      <c r="BT129" s="542">
        <f t="shared" si="221"/>
        <v>0</v>
      </c>
      <c r="BU129" s="542">
        <f t="shared" si="222"/>
        <v>0</v>
      </c>
      <c r="BV129" s="542">
        <f t="shared" si="223"/>
        <v>0</v>
      </c>
      <c r="BW129" s="647">
        <f t="shared" si="224"/>
        <v>0</v>
      </c>
      <c r="BX129" s="469">
        <f t="shared" si="225"/>
        <v>0</v>
      </c>
      <c r="BY129" s="177">
        <f t="shared" si="226"/>
        <v>0.46841037402700775</v>
      </c>
      <c r="BZ129" s="5">
        <f t="shared" si="227"/>
        <v>3.1825000000000001</v>
      </c>
      <c r="CA129" s="177">
        <f t="shared" si="228"/>
        <v>0.87170039085064033</v>
      </c>
      <c r="CB129" s="5">
        <f t="shared" si="229"/>
        <v>87.170039085064033</v>
      </c>
      <c r="CC129">
        <f t="shared" si="230"/>
        <v>19</v>
      </c>
      <c r="CE129" s="576">
        <f t="shared" si="231"/>
        <v>-50</v>
      </c>
      <c r="CF129">
        <f t="shared" si="232"/>
        <v>-50</v>
      </c>
    </row>
    <row r="130" spans="5:84" x14ac:dyDescent="0.25">
      <c r="E130" s="174">
        <v>20</v>
      </c>
      <c r="F130" s="221">
        <f t="shared" si="233"/>
        <v>0.2</v>
      </c>
      <c r="G130" s="221">
        <f t="shared" si="170"/>
        <v>0.05</v>
      </c>
      <c r="H130" s="221">
        <f t="shared" si="171"/>
        <v>3</v>
      </c>
      <c r="I130" s="221">
        <f t="shared" si="172"/>
        <v>0.35000000000000003</v>
      </c>
      <c r="J130" s="555">
        <f t="shared" si="173"/>
        <v>12</v>
      </c>
      <c r="K130" s="451">
        <f t="shared" si="174"/>
        <v>23.85</v>
      </c>
      <c r="L130" s="451">
        <f t="shared" si="175"/>
        <v>35.85</v>
      </c>
      <c r="M130" s="451"/>
      <c r="N130" s="221">
        <f t="shared" si="176"/>
        <v>0.66527196652719667</v>
      </c>
      <c r="O130" s="176">
        <f t="shared" si="177"/>
        <v>13.923050021857241</v>
      </c>
      <c r="P130" s="176">
        <f t="shared" si="178"/>
        <v>1.6243558358833448</v>
      </c>
      <c r="Q130" s="221">
        <f t="shared" si="179"/>
        <v>0.92820333479048278</v>
      </c>
      <c r="R130" s="221">
        <f t="shared" si="180"/>
        <v>1.9890071459796059</v>
      </c>
      <c r="S130" s="221">
        <f t="shared" si="181"/>
        <v>15</v>
      </c>
      <c r="T130" s="221">
        <f t="shared" si="182"/>
        <v>0.88342712126227529</v>
      </c>
      <c r="U130" s="221">
        <f t="shared" si="183"/>
        <v>0.51533248740299387</v>
      </c>
      <c r="V130" s="221">
        <f t="shared" si="184"/>
        <v>0.2592867861147139</v>
      </c>
      <c r="W130" s="201">
        <f t="shared" si="185"/>
        <v>350</v>
      </c>
      <c r="X130" s="451">
        <f t="shared" si="186"/>
        <v>350</v>
      </c>
      <c r="Z130" s="221">
        <f t="shared" si="187"/>
        <v>3.2584749380923919</v>
      </c>
      <c r="AA130" s="177">
        <f t="shared" si="188"/>
        <v>0.95636580992229525</v>
      </c>
      <c r="AB130" s="177">
        <f t="shared" si="189"/>
        <v>0.73256165472632317</v>
      </c>
      <c r="AC130" s="177"/>
      <c r="AD130" s="177">
        <f t="shared" si="190"/>
        <v>0.24067085953878403</v>
      </c>
      <c r="AE130" s="559">
        <f t="shared" si="191"/>
        <v>1508.8807682501917</v>
      </c>
      <c r="AF130" s="542">
        <f t="shared" si="192"/>
        <v>4.6392002252886505E-2</v>
      </c>
      <c r="AH130" s="177">
        <f t="shared" si="193"/>
        <v>1.6536909861128892</v>
      </c>
      <c r="AI130" s="177">
        <f t="shared" si="194"/>
        <v>1.6536909861128892</v>
      </c>
      <c r="AJ130" s="177">
        <f t="shared" si="195"/>
        <v>1.8175488786021401</v>
      </c>
      <c r="AL130" s="559">
        <f t="shared" si="196"/>
        <v>200</v>
      </c>
      <c r="AM130" s="469">
        <f t="shared" si="197"/>
        <v>350</v>
      </c>
      <c r="AO130" s="469">
        <f t="shared" si="198"/>
        <v>200</v>
      </c>
      <c r="AP130" s="469">
        <f t="shared" si="199"/>
        <v>350</v>
      </c>
      <c r="AR130" s="5">
        <f t="shared" si="149"/>
        <v>2.8571428571428572</v>
      </c>
      <c r="AS130" s="5">
        <f t="shared" si="234"/>
        <v>0.96465307523251875</v>
      </c>
      <c r="AT130" s="5">
        <f t="shared" si="235"/>
        <v>1.8924897819103386</v>
      </c>
      <c r="AU130" s="177">
        <f t="shared" si="236"/>
        <v>0.33762857633138155</v>
      </c>
      <c r="AW130" s="5">
        <f t="shared" si="203"/>
        <v>17.111543209876547</v>
      </c>
      <c r="AX130" s="5">
        <f t="shared" si="204"/>
        <v>2.9333922558922572</v>
      </c>
      <c r="AY130" s="5">
        <f t="shared" si="205"/>
        <v>1.2123152482368027</v>
      </c>
      <c r="AZ130" s="5">
        <f t="shared" si="206"/>
        <v>0.22714733397870568</v>
      </c>
      <c r="BA130" s="5">
        <f t="shared" si="207"/>
        <v>0.74150184437422639</v>
      </c>
      <c r="BB130" s="5"/>
      <c r="BC130" s="5"/>
      <c r="BD130" s="177">
        <f t="shared" si="208"/>
        <v>0.55477046321870704</v>
      </c>
      <c r="BE130" s="177">
        <f t="shared" si="209"/>
        <v>1.0437878383175374</v>
      </c>
      <c r="BF130" s="177">
        <f t="shared" si="210"/>
        <v>0.24509195444038376</v>
      </c>
      <c r="BG130" s="177"/>
      <c r="BH130" s="542">
        <f t="shared" si="211"/>
        <v>3.3854729354588865E-2</v>
      </c>
      <c r="BI130" s="542">
        <f t="shared" si="212"/>
        <v>0.10374843824125739</v>
      </c>
      <c r="BJ130" s="542">
        <f t="shared" si="213"/>
        <v>1.7499999999999998E-2</v>
      </c>
      <c r="BK130" s="542">
        <f t="shared" si="214"/>
        <v>0.10121127187500001</v>
      </c>
      <c r="BL130">
        <f t="shared" si="215"/>
        <v>3.48E-3</v>
      </c>
      <c r="BM130" s="469">
        <f t="shared" si="216"/>
        <v>259.79443947084621</v>
      </c>
      <c r="BN130" s="177">
        <f t="shared" si="217"/>
        <v>0.18000000000000002</v>
      </c>
      <c r="BO130" s="177">
        <f t="shared" si="218"/>
        <v>4.5000000000000005E-2</v>
      </c>
      <c r="BP130" s="542"/>
      <c r="BR130" s="469">
        <f t="shared" si="219"/>
        <v>225.00000000000003</v>
      </c>
      <c r="BS130" s="542">
        <f t="shared" si="220"/>
        <v>0</v>
      </c>
      <c r="BT130" s="542">
        <f t="shared" si="221"/>
        <v>0</v>
      </c>
      <c r="BU130" s="542">
        <f t="shared" si="222"/>
        <v>0</v>
      </c>
      <c r="BV130" s="542">
        <f t="shared" si="223"/>
        <v>0</v>
      </c>
      <c r="BW130" s="647">
        <f t="shared" si="224"/>
        <v>0</v>
      </c>
      <c r="BX130" s="469">
        <f t="shared" si="225"/>
        <v>0</v>
      </c>
      <c r="BY130" s="177">
        <f t="shared" si="226"/>
        <v>0.48479443947084627</v>
      </c>
      <c r="BZ130" s="5">
        <f t="shared" si="227"/>
        <v>3.35</v>
      </c>
      <c r="CA130" s="177">
        <f t="shared" si="228"/>
        <v>0.87358007133812843</v>
      </c>
      <c r="CB130" s="5">
        <f t="shared" si="229"/>
        <v>87.358007133812848</v>
      </c>
      <c r="CC130">
        <f t="shared" si="230"/>
        <v>20</v>
      </c>
      <c r="CE130" s="576">
        <f t="shared" si="231"/>
        <v>-50</v>
      </c>
      <c r="CF130">
        <f t="shared" si="232"/>
        <v>-50</v>
      </c>
    </row>
    <row r="131" spans="5:84" x14ac:dyDescent="0.25">
      <c r="E131" s="174">
        <v>21</v>
      </c>
      <c r="F131" s="221">
        <f t="shared" si="233"/>
        <v>0.21</v>
      </c>
      <c r="G131" s="221">
        <f t="shared" si="170"/>
        <v>5.2499999999999998E-2</v>
      </c>
      <c r="H131" s="221">
        <f t="shared" si="171"/>
        <v>3.15</v>
      </c>
      <c r="I131" s="221">
        <f t="shared" si="172"/>
        <v>0.36749999999999999</v>
      </c>
      <c r="J131" s="555">
        <f t="shared" si="173"/>
        <v>12</v>
      </c>
      <c r="K131" s="451">
        <f t="shared" si="174"/>
        <v>23.85</v>
      </c>
      <c r="L131" s="451">
        <f t="shared" si="175"/>
        <v>35.85</v>
      </c>
      <c r="M131" s="451"/>
      <c r="N131" s="221">
        <f t="shared" si="176"/>
        <v>0.66527196652719667</v>
      </c>
      <c r="O131" s="176">
        <f t="shared" si="177"/>
        <v>13.923050021857241</v>
      </c>
      <c r="P131" s="176">
        <f t="shared" si="178"/>
        <v>1.6243558358833448</v>
      </c>
      <c r="Q131" s="221">
        <f t="shared" si="179"/>
        <v>0.92820333479048278</v>
      </c>
      <c r="R131" s="221">
        <f t="shared" si="180"/>
        <v>1.9890071459796059</v>
      </c>
      <c r="S131" s="221">
        <f t="shared" si="181"/>
        <v>15</v>
      </c>
      <c r="T131" s="221">
        <f t="shared" si="182"/>
        <v>0.92759847732538903</v>
      </c>
      <c r="U131" s="221">
        <f t="shared" si="183"/>
        <v>0.54109911177314352</v>
      </c>
      <c r="V131" s="221">
        <f t="shared" si="184"/>
        <v>0.27225112542044955</v>
      </c>
      <c r="W131" s="201">
        <f t="shared" si="185"/>
        <v>350</v>
      </c>
      <c r="X131" s="451">
        <f t="shared" si="186"/>
        <v>350</v>
      </c>
      <c r="Z131" s="221">
        <f t="shared" si="187"/>
        <v>3.2584749380923919</v>
      </c>
      <c r="AA131" s="177">
        <f t="shared" si="188"/>
        <v>0.95636580992229525</v>
      </c>
      <c r="AB131" s="177">
        <f t="shared" si="189"/>
        <v>0.73256165472632317</v>
      </c>
      <c r="AC131" s="177"/>
      <c r="AD131" s="177">
        <f t="shared" si="190"/>
        <v>0.24067085953878403</v>
      </c>
      <c r="AE131" s="559">
        <f t="shared" si="191"/>
        <v>1584.3248066627011</v>
      </c>
      <c r="AF131" s="542">
        <f t="shared" si="192"/>
        <v>4.6392002252886505E-2</v>
      </c>
      <c r="AH131" s="177">
        <f t="shared" si="193"/>
        <v>1.6945290116809955</v>
      </c>
      <c r="AI131" s="177">
        <f t="shared" si="194"/>
        <v>1.6945290116809955</v>
      </c>
      <c r="AJ131" s="177">
        <f t="shared" si="195"/>
        <v>1.8477992679118485</v>
      </c>
      <c r="AL131" s="559">
        <f t="shared" si="196"/>
        <v>210</v>
      </c>
      <c r="AM131" s="469">
        <f t="shared" si="197"/>
        <v>350</v>
      </c>
      <c r="AO131" s="469">
        <f t="shared" si="198"/>
        <v>210</v>
      </c>
      <c r="AP131" s="469">
        <f t="shared" si="199"/>
        <v>350</v>
      </c>
      <c r="AR131" s="5">
        <f t="shared" si="149"/>
        <v>2.8571428571428572</v>
      </c>
      <c r="AS131" s="5">
        <f t="shared" si="234"/>
        <v>0.98847525681391413</v>
      </c>
      <c r="AT131" s="5">
        <f t="shared" si="235"/>
        <v>1.8686676003289431</v>
      </c>
      <c r="AU131" s="177">
        <f t="shared" si="236"/>
        <v>0.34596633988486991</v>
      </c>
      <c r="AW131" s="5">
        <f t="shared" si="203"/>
        <v>17.111543209876547</v>
      </c>
      <c r="AX131" s="5">
        <f t="shared" si="204"/>
        <v>3.2025649621212122</v>
      </c>
      <c r="AY131" s="5">
        <f t="shared" si="205"/>
        <v>1.2123152482368027</v>
      </c>
      <c r="AZ131" s="5">
        <f t="shared" si="206"/>
        <v>0.24255493571152295</v>
      </c>
      <c r="BA131" s="5">
        <f t="shared" si="207"/>
        <v>0.76877640750374931</v>
      </c>
      <c r="BB131" s="5"/>
      <c r="BC131" s="5"/>
      <c r="BD131" s="177">
        <f t="shared" si="208"/>
        <v>0.57544696630763559</v>
      </c>
      <c r="BE131" s="177">
        <f t="shared" si="209"/>
        <v>1.0628112384412614</v>
      </c>
      <c r="BF131" s="177">
        <f t="shared" si="210"/>
        <v>0.24955884143146073</v>
      </c>
      <c r="BG131" s="177"/>
      <c r="BH131" s="542">
        <f t="shared" si="211"/>
        <v>3.6425313213592721E-2</v>
      </c>
      <c r="BI131" s="542">
        <f t="shared" si="212"/>
        <v>0.10631051387033645</v>
      </c>
      <c r="BJ131" s="542">
        <f t="shared" si="213"/>
        <v>1.7499999999999998E-2</v>
      </c>
      <c r="BK131" s="542">
        <f t="shared" si="214"/>
        <v>0.10121127187500001</v>
      </c>
      <c r="BL131">
        <f t="shared" si="215"/>
        <v>3.48E-3</v>
      </c>
      <c r="BM131" s="469">
        <f t="shared" si="216"/>
        <v>264.92709895892915</v>
      </c>
      <c r="BN131" s="177">
        <f t="shared" si="217"/>
        <v>0.189</v>
      </c>
      <c r="BO131" s="177">
        <f t="shared" si="218"/>
        <v>4.725E-2</v>
      </c>
      <c r="BP131" s="542"/>
      <c r="BR131" s="469">
        <f t="shared" si="219"/>
        <v>236.25000000000003</v>
      </c>
      <c r="BS131" s="542">
        <f t="shared" si="220"/>
        <v>0</v>
      </c>
      <c r="BT131" s="542">
        <f t="shared" si="221"/>
        <v>0</v>
      </c>
      <c r="BU131" s="542">
        <f t="shared" si="222"/>
        <v>0</v>
      </c>
      <c r="BV131" s="542">
        <f t="shared" si="223"/>
        <v>0</v>
      </c>
      <c r="BW131" s="647">
        <f t="shared" si="224"/>
        <v>0</v>
      </c>
      <c r="BX131" s="469">
        <f t="shared" si="225"/>
        <v>0</v>
      </c>
      <c r="BY131" s="177">
        <f t="shared" si="226"/>
        <v>0.50117709895892915</v>
      </c>
      <c r="BZ131" s="5">
        <f t="shared" si="227"/>
        <v>3.5175000000000001</v>
      </c>
      <c r="CA131" s="177">
        <f t="shared" si="228"/>
        <v>0.8752880396663959</v>
      </c>
      <c r="CB131" s="5">
        <f t="shared" si="229"/>
        <v>87.528803966639586</v>
      </c>
      <c r="CC131">
        <f t="shared" si="230"/>
        <v>21</v>
      </c>
      <c r="CE131" s="576">
        <f t="shared" si="231"/>
        <v>-50</v>
      </c>
      <c r="CF131">
        <f t="shared" si="232"/>
        <v>-50</v>
      </c>
    </row>
    <row r="132" spans="5:84" x14ac:dyDescent="0.25">
      <c r="E132" s="174">
        <v>22</v>
      </c>
      <c r="F132" s="221">
        <f t="shared" si="233"/>
        <v>0.22</v>
      </c>
      <c r="G132" s="221">
        <f t="shared" si="170"/>
        <v>5.5E-2</v>
      </c>
      <c r="H132" s="221">
        <f t="shared" si="171"/>
        <v>3.3</v>
      </c>
      <c r="I132" s="221">
        <f t="shared" si="172"/>
        <v>0.38500000000000001</v>
      </c>
      <c r="J132" s="555">
        <f t="shared" si="173"/>
        <v>12</v>
      </c>
      <c r="K132" s="451">
        <f t="shared" si="174"/>
        <v>23.85</v>
      </c>
      <c r="L132" s="451">
        <f t="shared" si="175"/>
        <v>35.85</v>
      </c>
      <c r="M132" s="451"/>
      <c r="N132" s="221">
        <f t="shared" si="176"/>
        <v>0.66527196652719667</v>
      </c>
      <c r="O132" s="176">
        <f t="shared" si="177"/>
        <v>13.923050021857241</v>
      </c>
      <c r="P132" s="176">
        <f t="shared" si="178"/>
        <v>1.6243558358833448</v>
      </c>
      <c r="Q132" s="221">
        <f t="shared" si="179"/>
        <v>0.92820333479048278</v>
      </c>
      <c r="R132" s="221">
        <f t="shared" si="180"/>
        <v>1.9890071459796059</v>
      </c>
      <c r="S132" s="221">
        <f t="shared" si="181"/>
        <v>15</v>
      </c>
      <c r="T132" s="221">
        <f t="shared" si="182"/>
        <v>0.97176983338850265</v>
      </c>
      <c r="U132" s="221">
        <f t="shared" si="183"/>
        <v>0.56686573614329328</v>
      </c>
      <c r="V132" s="221">
        <f t="shared" si="184"/>
        <v>0.28521546472618525</v>
      </c>
      <c r="W132" s="201">
        <f t="shared" si="185"/>
        <v>350</v>
      </c>
      <c r="X132" s="451">
        <f t="shared" si="186"/>
        <v>350</v>
      </c>
      <c r="Z132" s="221">
        <f t="shared" si="187"/>
        <v>3.2584749380923919</v>
      </c>
      <c r="AA132" s="177">
        <f t="shared" si="188"/>
        <v>0.95636580992229525</v>
      </c>
      <c r="AB132" s="177">
        <f t="shared" si="189"/>
        <v>0.73256165472632317</v>
      </c>
      <c r="AC132" s="177"/>
      <c r="AD132" s="177">
        <f t="shared" si="190"/>
        <v>0.24067085953878403</v>
      </c>
      <c r="AE132" s="559">
        <f t="shared" si="191"/>
        <v>1659.7688450752107</v>
      </c>
      <c r="AF132" s="542">
        <f t="shared" si="192"/>
        <v>4.6392002252886505E-2</v>
      </c>
      <c r="AH132" s="177">
        <f t="shared" si="193"/>
        <v>1.7344057383744214</v>
      </c>
      <c r="AI132" s="177">
        <f t="shared" si="194"/>
        <v>1.7344057383744214</v>
      </c>
      <c r="AJ132" s="177">
        <f t="shared" si="195"/>
        <v>1.8773375839810529</v>
      </c>
      <c r="AL132" s="559">
        <f t="shared" si="196"/>
        <v>220</v>
      </c>
      <c r="AM132" s="469">
        <f t="shared" si="197"/>
        <v>350</v>
      </c>
      <c r="AO132" s="469">
        <f t="shared" si="198"/>
        <v>220</v>
      </c>
      <c r="AP132" s="469">
        <f t="shared" si="199"/>
        <v>350</v>
      </c>
      <c r="AR132" s="5">
        <f t="shared" si="149"/>
        <v>2.8571428571428572</v>
      </c>
      <c r="AS132" s="5">
        <f t="shared" si="234"/>
        <v>1.0117366807184125</v>
      </c>
      <c r="AT132" s="5">
        <f t="shared" si="235"/>
        <v>1.8454061764244447</v>
      </c>
      <c r="AU132" s="177">
        <f t="shared" si="236"/>
        <v>0.35410783825144437</v>
      </c>
      <c r="AW132" s="5">
        <f t="shared" si="203"/>
        <v>17.111543209876547</v>
      </c>
      <c r="AX132" s="5">
        <f t="shared" si="204"/>
        <v>3.4834046296296308</v>
      </c>
      <c r="AY132" s="5">
        <f t="shared" si="205"/>
        <v>1.2123152482368027</v>
      </c>
      <c r="AZ132" s="5">
        <f t="shared" si="206"/>
        <v>0.25834827411423383</v>
      </c>
      <c r="BA132" s="5">
        <f t="shared" si="207"/>
        <v>0.79535927018995078</v>
      </c>
      <c r="BB132" s="5"/>
      <c r="BC132" s="5"/>
      <c r="BD132" s="177">
        <f t="shared" si="208"/>
        <v>0.59587867640568037</v>
      </c>
      <c r="BE132" s="177">
        <f t="shared" si="209"/>
        <v>1.0810301041768393</v>
      </c>
      <c r="BF132" s="177">
        <f t="shared" si="210"/>
        <v>0.25383681560101734</v>
      </c>
      <c r="BG132" s="177"/>
      <c r="BH132" s="542">
        <f t="shared" si="211"/>
        <v>3.905785366944841E-2</v>
      </c>
      <c r="BI132" s="542">
        <f t="shared" si="212"/>
        <v>0.10881228001126526</v>
      </c>
      <c r="BJ132" s="542">
        <f t="shared" si="213"/>
        <v>1.7499999999999998E-2</v>
      </c>
      <c r="BK132" s="542">
        <f t="shared" si="214"/>
        <v>0.10121127187500001</v>
      </c>
      <c r="BL132">
        <f t="shared" si="215"/>
        <v>3.48E-3</v>
      </c>
      <c r="BM132" s="469">
        <f t="shared" si="216"/>
        <v>270.06140555571363</v>
      </c>
      <c r="BN132" s="177">
        <f t="shared" si="217"/>
        <v>0.19800000000000001</v>
      </c>
      <c r="BO132" s="177">
        <f t="shared" si="218"/>
        <v>4.9500000000000002E-2</v>
      </c>
      <c r="BP132" s="542"/>
      <c r="BR132" s="469">
        <f t="shared" si="219"/>
        <v>247.5</v>
      </c>
      <c r="BS132" s="542">
        <f t="shared" si="220"/>
        <v>0</v>
      </c>
      <c r="BT132" s="542">
        <f t="shared" si="221"/>
        <v>0</v>
      </c>
      <c r="BU132" s="542">
        <f t="shared" si="222"/>
        <v>0</v>
      </c>
      <c r="BV132" s="542">
        <f t="shared" si="223"/>
        <v>0</v>
      </c>
      <c r="BW132" s="647">
        <f t="shared" si="224"/>
        <v>0</v>
      </c>
      <c r="BX132" s="469">
        <f t="shared" si="225"/>
        <v>0</v>
      </c>
      <c r="BY132" s="177">
        <f t="shared" si="226"/>
        <v>0.51756140555571362</v>
      </c>
      <c r="BZ132" s="5">
        <f t="shared" si="227"/>
        <v>3.6849999999999996</v>
      </c>
      <c r="CA132" s="177">
        <f t="shared" si="228"/>
        <v>0.87684620030262828</v>
      </c>
      <c r="CB132" s="5">
        <f t="shared" si="229"/>
        <v>87.684620030262835</v>
      </c>
      <c r="CC132">
        <f t="shared" si="230"/>
        <v>22</v>
      </c>
      <c r="CE132" s="576">
        <f t="shared" si="231"/>
        <v>-50</v>
      </c>
      <c r="CF132">
        <f t="shared" si="232"/>
        <v>-50</v>
      </c>
    </row>
    <row r="133" spans="5:84" x14ac:dyDescent="0.25">
      <c r="E133" s="174">
        <v>23</v>
      </c>
      <c r="F133" s="221">
        <f t="shared" si="233"/>
        <v>0.23</v>
      </c>
      <c r="G133" s="221">
        <f t="shared" si="170"/>
        <v>5.7500000000000002E-2</v>
      </c>
      <c r="H133" s="221">
        <f t="shared" si="171"/>
        <v>3.45</v>
      </c>
      <c r="I133" s="221">
        <f t="shared" si="172"/>
        <v>0.40250000000000002</v>
      </c>
      <c r="J133" s="555">
        <f t="shared" si="173"/>
        <v>12</v>
      </c>
      <c r="K133" s="451">
        <f t="shared" si="174"/>
        <v>23.85</v>
      </c>
      <c r="L133" s="451">
        <f t="shared" si="175"/>
        <v>35.85</v>
      </c>
      <c r="M133" s="451"/>
      <c r="N133" s="221">
        <f t="shared" si="176"/>
        <v>0.66527196652719667</v>
      </c>
      <c r="O133" s="176">
        <f t="shared" si="177"/>
        <v>13.923050021857241</v>
      </c>
      <c r="P133" s="176">
        <f t="shared" si="178"/>
        <v>1.6243558358833448</v>
      </c>
      <c r="Q133" s="221">
        <f t="shared" si="179"/>
        <v>0.92820333479048278</v>
      </c>
      <c r="R133" s="221">
        <f t="shared" si="180"/>
        <v>1.9890071459796059</v>
      </c>
      <c r="S133" s="221">
        <f t="shared" si="181"/>
        <v>15</v>
      </c>
      <c r="T133" s="221">
        <f t="shared" si="182"/>
        <v>1.0159411894516166</v>
      </c>
      <c r="U133" s="221">
        <f t="shared" si="183"/>
        <v>0.59263236051344304</v>
      </c>
      <c r="V133" s="221">
        <f t="shared" si="184"/>
        <v>0.29817980403192096</v>
      </c>
      <c r="W133" s="201">
        <f t="shared" si="185"/>
        <v>350</v>
      </c>
      <c r="X133" s="451">
        <f t="shared" si="186"/>
        <v>350</v>
      </c>
      <c r="Z133" s="221">
        <f t="shared" si="187"/>
        <v>3.2584749380923919</v>
      </c>
      <c r="AA133" s="177">
        <f t="shared" si="188"/>
        <v>0.95636580992229525</v>
      </c>
      <c r="AB133" s="177">
        <f t="shared" si="189"/>
        <v>0.73256165472632317</v>
      </c>
      <c r="AC133" s="177"/>
      <c r="AD133" s="177">
        <f t="shared" si="190"/>
        <v>0.24067085953878403</v>
      </c>
      <c r="AE133" s="559">
        <f t="shared" si="191"/>
        <v>1735.2128834877205</v>
      </c>
      <c r="AF133" s="542">
        <f t="shared" si="192"/>
        <v>4.6392002252886505E-2</v>
      </c>
      <c r="AH133" s="177">
        <f t="shared" si="193"/>
        <v>1.7733860152780254</v>
      </c>
      <c r="AI133" s="177">
        <f t="shared" si="194"/>
        <v>1.7733860152780254</v>
      </c>
      <c r="AJ133" s="177">
        <f t="shared" si="195"/>
        <v>1.9062118631689078</v>
      </c>
      <c r="AL133" s="559">
        <f t="shared" si="196"/>
        <v>230</v>
      </c>
      <c r="AM133" s="469">
        <f t="shared" si="197"/>
        <v>350</v>
      </c>
      <c r="AO133" s="469">
        <f t="shared" si="198"/>
        <v>230</v>
      </c>
      <c r="AP133" s="469">
        <f t="shared" si="199"/>
        <v>350</v>
      </c>
      <c r="AR133" s="5">
        <f t="shared" si="149"/>
        <v>2.8571428571428572</v>
      </c>
      <c r="AS133" s="5">
        <f t="shared" si="234"/>
        <v>1.0344751755788482</v>
      </c>
      <c r="AT133" s="5">
        <f t="shared" si="235"/>
        <v>1.822667681564009</v>
      </c>
      <c r="AU133" s="177">
        <f t="shared" si="236"/>
        <v>0.36206631145259682</v>
      </c>
      <c r="AW133" s="5">
        <f t="shared" si="203"/>
        <v>17.111543209876547</v>
      </c>
      <c r="AX133" s="5">
        <f t="shared" si="204"/>
        <v>3.7759112584175094</v>
      </c>
      <c r="AY133" s="5">
        <f t="shared" si="205"/>
        <v>1.2123152482368027</v>
      </c>
      <c r="AZ133" s="5">
        <f t="shared" si="206"/>
        <v>0.27452734918683824</v>
      </c>
      <c r="BA133" s="5">
        <f t="shared" si="207"/>
        <v>0.8212663442368825</v>
      </c>
      <c r="BB133" s="5"/>
      <c r="BC133" s="5"/>
      <c r="BD133" s="177">
        <f t="shared" si="208"/>
        <v>0.61607943318385816</v>
      </c>
      <c r="BE133" s="177">
        <f t="shared" si="209"/>
        <v>1.0984951085308259</v>
      </c>
      <c r="BF133" s="177">
        <f t="shared" si="210"/>
        <v>0.25793777548413699</v>
      </c>
      <c r="BG133" s="177"/>
      <c r="BH133" s="542">
        <f t="shared" si="211"/>
        <v>4.1750925479135836E-2</v>
      </c>
      <c r="BI133" s="542">
        <f t="shared" si="212"/>
        <v>0.11125780513350511</v>
      </c>
      <c r="BJ133" s="542">
        <f t="shared" si="213"/>
        <v>1.7499999999999998E-2</v>
      </c>
      <c r="BK133" s="542">
        <f t="shared" si="214"/>
        <v>0.10121127187500001</v>
      </c>
      <c r="BL133">
        <f t="shared" si="215"/>
        <v>3.48E-3</v>
      </c>
      <c r="BM133" s="469">
        <f t="shared" si="216"/>
        <v>275.20000248764092</v>
      </c>
      <c r="BN133" s="177">
        <f t="shared" si="217"/>
        <v>0.20700000000000002</v>
      </c>
      <c r="BO133" s="177">
        <f t="shared" si="218"/>
        <v>5.1750000000000004E-2</v>
      </c>
      <c r="BP133" s="542"/>
      <c r="BR133" s="469">
        <f t="shared" si="219"/>
        <v>258.75000000000006</v>
      </c>
      <c r="BS133" s="542">
        <f t="shared" si="220"/>
        <v>0</v>
      </c>
      <c r="BT133" s="542">
        <f t="shared" si="221"/>
        <v>0</v>
      </c>
      <c r="BU133" s="542">
        <f t="shared" si="222"/>
        <v>0</v>
      </c>
      <c r="BV133" s="542">
        <f t="shared" si="223"/>
        <v>0</v>
      </c>
      <c r="BW133" s="647">
        <f t="shared" si="224"/>
        <v>0</v>
      </c>
      <c r="BX133" s="469">
        <f t="shared" si="225"/>
        <v>0</v>
      </c>
      <c r="BY133" s="177">
        <f t="shared" si="226"/>
        <v>0.53395000248764091</v>
      </c>
      <c r="BZ133" s="5">
        <f t="shared" si="227"/>
        <v>3.8525</v>
      </c>
      <c r="CA133" s="177">
        <f t="shared" si="228"/>
        <v>0.8782728625232642</v>
      </c>
      <c r="CB133" s="5">
        <f t="shared" si="229"/>
        <v>87.827286252326417</v>
      </c>
      <c r="CC133">
        <f t="shared" si="230"/>
        <v>23</v>
      </c>
      <c r="CE133" s="576">
        <f t="shared" si="231"/>
        <v>-50</v>
      </c>
      <c r="CF133">
        <f t="shared" si="232"/>
        <v>-50</v>
      </c>
    </row>
    <row r="134" spans="5:84" x14ac:dyDescent="0.25">
      <c r="E134" s="174">
        <v>24</v>
      </c>
      <c r="F134" s="221">
        <f t="shared" si="233"/>
        <v>0.24</v>
      </c>
      <c r="G134" s="221">
        <f t="shared" si="170"/>
        <v>0.06</v>
      </c>
      <c r="H134" s="221">
        <f t="shared" si="171"/>
        <v>3.5999999999999996</v>
      </c>
      <c r="I134" s="221">
        <f t="shared" si="172"/>
        <v>0.42</v>
      </c>
      <c r="J134" s="555">
        <f t="shared" si="173"/>
        <v>12</v>
      </c>
      <c r="K134" s="451">
        <f t="shared" si="174"/>
        <v>23.85</v>
      </c>
      <c r="L134" s="451">
        <f t="shared" si="175"/>
        <v>35.85</v>
      </c>
      <c r="M134" s="451"/>
      <c r="N134" s="221">
        <f t="shared" si="176"/>
        <v>0.66527196652719667</v>
      </c>
      <c r="O134" s="176">
        <f t="shared" si="177"/>
        <v>13.923050021857241</v>
      </c>
      <c r="P134" s="176">
        <f t="shared" si="178"/>
        <v>1.6243558358833448</v>
      </c>
      <c r="Q134" s="221">
        <f t="shared" si="179"/>
        <v>0.92820333479048278</v>
      </c>
      <c r="R134" s="221">
        <f t="shared" si="180"/>
        <v>1.9890071459796059</v>
      </c>
      <c r="S134" s="221">
        <f t="shared" si="181"/>
        <v>15</v>
      </c>
      <c r="T134" s="221">
        <f t="shared" si="182"/>
        <v>1.0601125455147302</v>
      </c>
      <c r="U134" s="221">
        <f t="shared" si="183"/>
        <v>0.61839898488359268</v>
      </c>
      <c r="V134" s="221">
        <f t="shared" si="184"/>
        <v>0.31114414333765666</v>
      </c>
      <c r="W134" s="201">
        <f t="shared" si="185"/>
        <v>350</v>
      </c>
      <c r="X134" s="451">
        <f t="shared" si="186"/>
        <v>350</v>
      </c>
      <c r="Z134" s="221">
        <f t="shared" si="187"/>
        <v>3.2584749380923919</v>
      </c>
      <c r="AA134" s="177">
        <f t="shared" si="188"/>
        <v>0.95636580992229525</v>
      </c>
      <c r="AB134" s="177">
        <f t="shared" si="189"/>
        <v>0.73256165472632317</v>
      </c>
      <c r="AC134" s="177"/>
      <c r="AD134" s="177">
        <f t="shared" si="190"/>
        <v>0.24067085953878403</v>
      </c>
      <c r="AE134" s="559">
        <f t="shared" si="191"/>
        <v>1810.6569219002297</v>
      </c>
      <c r="AF134" s="542">
        <f t="shared" si="192"/>
        <v>4.6392002252886505E-2</v>
      </c>
      <c r="AH134" s="177">
        <f t="shared" si="193"/>
        <v>1.8115277124739837</v>
      </c>
      <c r="AI134" s="177">
        <f t="shared" si="194"/>
        <v>1.8115277124739837</v>
      </c>
      <c r="AJ134" s="177">
        <f t="shared" si="195"/>
        <v>1.9344649722029508</v>
      </c>
      <c r="AL134" s="559">
        <f t="shared" si="196"/>
        <v>240</v>
      </c>
      <c r="AM134" s="469">
        <f t="shared" si="197"/>
        <v>350</v>
      </c>
      <c r="AO134" s="469">
        <f t="shared" si="198"/>
        <v>240</v>
      </c>
      <c r="AP134" s="469">
        <f t="shared" si="199"/>
        <v>350</v>
      </c>
      <c r="AR134" s="5">
        <f t="shared" ref="AR134:AR197" si="237">1/AM134*1000</f>
        <v>2.8571428571428572</v>
      </c>
      <c r="AS134" s="5">
        <f t="shared" si="234"/>
        <v>1.056724498943157</v>
      </c>
      <c r="AT134" s="5">
        <f t="shared" si="235"/>
        <v>1.8004183581997002</v>
      </c>
      <c r="AU134" s="177">
        <f t="shared" si="236"/>
        <v>0.36985357463010493</v>
      </c>
      <c r="AW134" s="5">
        <f t="shared" si="203"/>
        <v>17.111543209876547</v>
      </c>
      <c r="AX134" s="5">
        <f t="shared" si="204"/>
        <v>4.0800848484848489</v>
      </c>
      <c r="AY134" s="5">
        <f t="shared" si="205"/>
        <v>1.2123152482368027</v>
      </c>
      <c r="AZ134" s="5">
        <f t="shared" si="206"/>
        <v>0.2910921609293361</v>
      </c>
      <c r="BA134" s="5">
        <f t="shared" si="207"/>
        <v>0.84651249122371863</v>
      </c>
      <c r="BB134" s="5"/>
      <c r="BC134" s="5"/>
      <c r="BD134" s="177">
        <f t="shared" si="208"/>
        <v>0.63606172849222964</v>
      </c>
      <c r="BE134" s="177">
        <f t="shared" si="209"/>
        <v>1.1152514589777642</v>
      </c>
      <c r="BF134" s="177">
        <f t="shared" si="210"/>
        <v>0.26187233625363959</v>
      </c>
      <c r="BG134" s="177"/>
      <c r="BH134" s="542">
        <f t="shared" si="211"/>
        <v>4.450319746977751E-2</v>
      </c>
      <c r="BI134" s="542">
        <f t="shared" si="212"/>
        <v>0.11365071986133655</v>
      </c>
      <c r="BJ134" s="542">
        <f t="shared" si="213"/>
        <v>1.7499999999999998E-2</v>
      </c>
      <c r="BK134" s="542">
        <f t="shared" si="214"/>
        <v>0.10121127187500001</v>
      </c>
      <c r="BL134">
        <f t="shared" si="215"/>
        <v>3.48E-3</v>
      </c>
      <c r="BM134" s="469">
        <f t="shared" si="216"/>
        <v>280.34518920611401</v>
      </c>
      <c r="BN134" s="177">
        <f t="shared" si="217"/>
        <v>0.216</v>
      </c>
      <c r="BO134" s="177">
        <f t="shared" si="218"/>
        <v>5.3999999999999999E-2</v>
      </c>
      <c r="BP134" s="542"/>
      <c r="BR134" s="469">
        <f t="shared" si="219"/>
        <v>270</v>
      </c>
      <c r="BS134" s="542">
        <f t="shared" si="220"/>
        <v>0</v>
      </c>
      <c r="BT134" s="542">
        <f t="shared" si="221"/>
        <v>0</v>
      </c>
      <c r="BU134" s="542">
        <f t="shared" si="222"/>
        <v>0</v>
      </c>
      <c r="BV134" s="542">
        <f t="shared" si="223"/>
        <v>0</v>
      </c>
      <c r="BW134" s="647">
        <f t="shared" si="224"/>
        <v>0</v>
      </c>
      <c r="BX134" s="469">
        <f t="shared" si="225"/>
        <v>0</v>
      </c>
      <c r="BY134" s="177">
        <f t="shared" si="226"/>
        <v>0.55034518920611408</v>
      </c>
      <c r="BZ134" s="5">
        <f t="shared" si="227"/>
        <v>4.0199999999999996</v>
      </c>
      <c r="CA134" s="177">
        <f t="shared" si="228"/>
        <v>0.8795834523602557</v>
      </c>
      <c r="CB134" s="5">
        <f t="shared" si="229"/>
        <v>87.958345236025565</v>
      </c>
      <c r="CC134">
        <f t="shared" si="230"/>
        <v>24</v>
      </c>
      <c r="CE134" s="576">
        <f t="shared" si="231"/>
        <v>-50</v>
      </c>
      <c r="CF134">
        <f t="shared" si="232"/>
        <v>-50</v>
      </c>
    </row>
    <row r="135" spans="5:84" x14ac:dyDescent="0.25">
      <c r="E135" s="174">
        <v>25</v>
      </c>
      <c r="F135" s="221">
        <f t="shared" si="233"/>
        <v>0.25</v>
      </c>
      <c r="G135" s="221">
        <f t="shared" si="170"/>
        <v>6.25E-2</v>
      </c>
      <c r="H135" s="221">
        <f t="shared" si="171"/>
        <v>3.75</v>
      </c>
      <c r="I135" s="221">
        <f t="shared" si="172"/>
        <v>0.4375</v>
      </c>
      <c r="J135" s="555">
        <f t="shared" si="173"/>
        <v>12</v>
      </c>
      <c r="K135" s="451">
        <f t="shared" si="174"/>
        <v>23.85</v>
      </c>
      <c r="L135" s="451">
        <f t="shared" si="175"/>
        <v>35.85</v>
      </c>
      <c r="M135" s="451"/>
      <c r="N135" s="221">
        <f t="shared" si="176"/>
        <v>0.66527196652719667</v>
      </c>
      <c r="O135" s="176">
        <f t="shared" si="177"/>
        <v>13.923050021857241</v>
      </c>
      <c r="P135" s="176">
        <f t="shared" si="178"/>
        <v>1.6243558358833448</v>
      </c>
      <c r="Q135" s="221">
        <f t="shared" si="179"/>
        <v>0.92820333479048278</v>
      </c>
      <c r="R135" s="221">
        <f t="shared" si="180"/>
        <v>1.9890071459796059</v>
      </c>
      <c r="S135" s="221">
        <f t="shared" si="181"/>
        <v>15</v>
      </c>
      <c r="T135" s="221">
        <f t="shared" si="182"/>
        <v>1.1042839015778441</v>
      </c>
      <c r="U135" s="221">
        <f t="shared" si="183"/>
        <v>0.64416560925374233</v>
      </c>
      <c r="V135" s="221">
        <f t="shared" si="184"/>
        <v>0.32410848264339237</v>
      </c>
      <c r="W135" s="201">
        <f t="shared" si="185"/>
        <v>350</v>
      </c>
      <c r="X135" s="451">
        <f t="shared" si="186"/>
        <v>350</v>
      </c>
      <c r="Z135" s="221">
        <f t="shared" si="187"/>
        <v>3.2584749380923919</v>
      </c>
      <c r="AA135" s="177">
        <f t="shared" si="188"/>
        <v>0.95636580992229525</v>
      </c>
      <c r="AB135" s="177">
        <f t="shared" si="189"/>
        <v>0.73256165472632317</v>
      </c>
      <c r="AC135" s="177"/>
      <c r="AD135" s="177">
        <f t="shared" si="190"/>
        <v>0.24067085953878403</v>
      </c>
      <c r="AE135" s="559">
        <f t="shared" si="191"/>
        <v>1886.1009603127393</v>
      </c>
      <c r="AF135" s="542">
        <f t="shared" si="192"/>
        <v>4.6392002252886505E-2</v>
      </c>
      <c r="AH135" s="177">
        <f t="shared" si="193"/>
        <v>1.8488827293635406</v>
      </c>
      <c r="AI135" s="177">
        <f t="shared" si="194"/>
        <v>1.8488827293635406</v>
      </c>
      <c r="AJ135" s="177">
        <f t="shared" si="195"/>
        <v>1.9621353550841041</v>
      </c>
      <c r="AL135" s="559">
        <f t="shared" si="196"/>
        <v>250</v>
      </c>
      <c r="AM135" s="469">
        <f t="shared" si="197"/>
        <v>350</v>
      </c>
      <c r="AO135" s="469">
        <f t="shared" si="198"/>
        <v>250</v>
      </c>
      <c r="AP135" s="469">
        <f t="shared" si="199"/>
        <v>350</v>
      </c>
      <c r="AR135" s="5">
        <f t="shared" si="237"/>
        <v>2.8571428571428572</v>
      </c>
      <c r="AS135" s="5">
        <f t="shared" si="234"/>
        <v>1.0785149254620654</v>
      </c>
      <c r="AT135" s="5">
        <f t="shared" si="235"/>
        <v>1.7786279316807918</v>
      </c>
      <c r="AU135" s="177">
        <f t="shared" si="236"/>
        <v>0.37748022391172287</v>
      </c>
      <c r="AW135" s="5">
        <f t="shared" si="203"/>
        <v>17.111543209876547</v>
      </c>
      <c r="AX135" s="5">
        <f t="shared" si="204"/>
        <v>4.3959253998316505</v>
      </c>
      <c r="AY135" s="5">
        <f t="shared" si="205"/>
        <v>1.2123152482368027</v>
      </c>
      <c r="AZ135" s="5">
        <f t="shared" si="206"/>
        <v>0.30804270934172756</v>
      </c>
      <c r="BA135" s="5">
        <f t="shared" si="207"/>
        <v>0.87111163320623575</v>
      </c>
      <c r="BB135" s="5"/>
      <c r="BC135" s="5"/>
      <c r="BD135" s="177">
        <f t="shared" si="208"/>
        <v>0.65583688813987151</v>
      </c>
      <c r="BE135" s="177">
        <f t="shared" si="209"/>
        <v>1.1313396845126733</v>
      </c>
      <c r="BF135" s="177">
        <f t="shared" si="210"/>
        <v>0.26565001452797576</v>
      </c>
      <c r="BG135" s="177"/>
      <c r="BH135" s="542">
        <f t="shared" si="211"/>
        <v>4.7313422622948936E-2</v>
      </c>
      <c r="BI135" s="542">
        <f t="shared" si="212"/>
        <v>0.11599428023344513</v>
      </c>
      <c r="BJ135" s="542">
        <f t="shared" si="213"/>
        <v>1.7499999999999998E-2</v>
      </c>
      <c r="BK135" s="542">
        <f t="shared" si="214"/>
        <v>0.10121127187500001</v>
      </c>
      <c r="BL135">
        <f t="shared" si="215"/>
        <v>3.48E-3</v>
      </c>
      <c r="BM135" s="469">
        <f t="shared" si="216"/>
        <v>285.49897473139401</v>
      </c>
      <c r="BN135" s="177">
        <f t="shared" si="217"/>
        <v>0.22500000000000001</v>
      </c>
      <c r="BO135" s="177">
        <f t="shared" si="218"/>
        <v>5.6250000000000001E-2</v>
      </c>
      <c r="BP135" s="542"/>
      <c r="BR135" s="469">
        <f t="shared" si="219"/>
        <v>281.25</v>
      </c>
      <c r="BS135" s="542">
        <f t="shared" si="220"/>
        <v>0</v>
      </c>
      <c r="BT135" s="542">
        <f t="shared" si="221"/>
        <v>0</v>
      </c>
      <c r="BU135" s="542">
        <f t="shared" si="222"/>
        <v>0</v>
      </c>
      <c r="BV135" s="542">
        <f t="shared" si="223"/>
        <v>0</v>
      </c>
      <c r="BW135" s="647">
        <f t="shared" si="224"/>
        <v>0</v>
      </c>
      <c r="BX135" s="469">
        <f t="shared" si="225"/>
        <v>0</v>
      </c>
      <c r="BY135" s="177">
        <f t="shared" si="226"/>
        <v>0.56674897473139407</v>
      </c>
      <c r="BZ135" s="5">
        <f t="shared" si="227"/>
        <v>4.1875</v>
      </c>
      <c r="CA135" s="177">
        <f t="shared" si="228"/>
        <v>0.88079106127095208</v>
      </c>
      <c r="CB135" s="5">
        <f t="shared" si="229"/>
        <v>88.079106127095201</v>
      </c>
      <c r="CC135">
        <f t="shared" si="230"/>
        <v>25</v>
      </c>
      <c r="CE135" s="576">
        <f t="shared" si="231"/>
        <v>-50</v>
      </c>
      <c r="CF135">
        <f t="shared" si="232"/>
        <v>-50</v>
      </c>
    </row>
    <row r="136" spans="5:84" x14ac:dyDescent="0.25">
      <c r="E136" s="174">
        <v>26</v>
      </c>
      <c r="F136" s="221">
        <f t="shared" si="233"/>
        <v>0.26</v>
      </c>
      <c r="G136" s="221">
        <f t="shared" si="170"/>
        <v>6.5000000000000002E-2</v>
      </c>
      <c r="H136" s="221">
        <f t="shared" si="171"/>
        <v>3.9000000000000004</v>
      </c>
      <c r="I136" s="221">
        <f t="shared" si="172"/>
        <v>0.45500000000000002</v>
      </c>
      <c r="J136" s="555">
        <f t="shared" si="173"/>
        <v>12</v>
      </c>
      <c r="K136" s="451">
        <f t="shared" si="174"/>
        <v>23.85</v>
      </c>
      <c r="L136" s="451">
        <f t="shared" si="175"/>
        <v>35.85</v>
      </c>
      <c r="M136" s="451"/>
      <c r="N136" s="221">
        <f t="shared" si="176"/>
        <v>0.66527196652719667</v>
      </c>
      <c r="O136" s="176">
        <f t="shared" si="177"/>
        <v>13.923050021857241</v>
      </c>
      <c r="P136" s="176">
        <f t="shared" si="178"/>
        <v>1.6243558358833448</v>
      </c>
      <c r="Q136" s="221">
        <f t="shared" si="179"/>
        <v>0.92820333479048278</v>
      </c>
      <c r="R136" s="221">
        <f t="shared" si="180"/>
        <v>1.9890071459796059</v>
      </c>
      <c r="S136" s="221">
        <f t="shared" si="181"/>
        <v>15</v>
      </c>
      <c r="T136" s="221">
        <f t="shared" si="182"/>
        <v>1.1484552576409579</v>
      </c>
      <c r="U136" s="221">
        <f t="shared" si="183"/>
        <v>0.66993223362389198</v>
      </c>
      <c r="V136" s="221">
        <f t="shared" si="184"/>
        <v>0.33707282194912808</v>
      </c>
      <c r="W136" s="201">
        <f t="shared" si="185"/>
        <v>350</v>
      </c>
      <c r="X136" s="451">
        <f t="shared" si="186"/>
        <v>350</v>
      </c>
      <c r="Z136" s="221">
        <f t="shared" si="187"/>
        <v>3.2584749380923919</v>
      </c>
      <c r="AA136" s="177">
        <f t="shared" si="188"/>
        <v>0.95636580992229525</v>
      </c>
      <c r="AB136" s="177">
        <f t="shared" si="189"/>
        <v>0.73256165472632317</v>
      </c>
      <c r="AC136" s="177"/>
      <c r="AD136" s="177">
        <f t="shared" si="190"/>
        <v>0.24067085953878403</v>
      </c>
      <c r="AE136" s="559">
        <f t="shared" si="191"/>
        <v>1961.5449987252491</v>
      </c>
      <c r="AF136" s="542">
        <f t="shared" si="192"/>
        <v>4.6392002252886505E-2</v>
      </c>
      <c r="AH136" s="177">
        <f t="shared" si="193"/>
        <v>1.8854978230738764</v>
      </c>
      <c r="AI136" s="177">
        <f t="shared" si="194"/>
        <v>1.8854978230738764</v>
      </c>
      <c r="AJ136" s="177">
        <f t="shared" si="195"/>
        <v>1.9892576467213898</v>
      </c>
      <c r="AL136" s="559">
        <f t="shared" si="196"/>
        <v>260</v>
      </c>
      <c r="AM136" s="469">
        <f t="shared" si="197"/>
        <v>350</v>
      </c>
      <c r="AO136" s="469">
        <f t="shared" si="198"/>
        <v>260</v>
      </c>
      <c r="AP136" s="469">
        <f t="shared" si="199"/>
        <v>350</v>
      </c>
      <c r="AR136" s="5">
        <f t="shared" si="237"/>
        <v>2.8571428571428572</v>
      </c>
      <c r="AS136" s="5">
        <f t="shared" si="234"/>
        <v>1.0998737301264279</v>
      </c>
      <c r="AT136" s="5">
        <f t="shared" si="235"/>
        <v>1.7572691270164293</v>
      </c>
      <c r="AU136" s="177">
        <f t="shared" si="236"/>
        <v>0.38495580554424974</v>
      </c>
      <c r="AW136" s="5">
        <f t="shared" si="203"/>
        <v>17.111543209876547</v>
      </c>
      <c r="AX136" s="5">
        <f t="shared" si="204"/>
        <v>4.7234329124579135</v>
      </c>
      <c r="AY136" s="5">
        <f t="shared" si="205"/>
        <v>1.2123152482368027</v>
      </c>
      <c r="AZ136" s="5">
        <f t="shared" si="206"/>
        <v>0.32537899442401252</v>
      </c>
      <c r="BA136" s="5">
        <f t="shared" si="207"/>
        <v>0.89507684773760821</v>
      </c>
      <c r="BB136" s="5"/>
      <c r="BC136" s="5"/>
      <c r="BD136" s="177">
        <f t="shared" si="208"/>
        <v>0.67541522288501787</v>
      </c>
      <c r="BE136" s="177">
        <f t="shared" si="209"/>
        <v>1.1467962824303588</v>
      </c>
      <c r="BF136" s="177">
        <f t="shared" si="210"/>
        <v>0.2692793802415589</v>
      </c>
      <c r="BG136" s="177"/>
      <c r="BH136" s="542">
        <f t="shared" si="211"/>
        <v>5.018042956353002E-2</v>
      </c>
      <c r="BI136" s="542">
        <f t="shared" si="212"/>
        <v>0.11829141967509732</v>
      </c>
      <c r="BJ136" s="542">
        <f t="shared" si="213"/>
        <v>1.7499999999999998E-2</v>
      </c>
      <c r="BK136" s="542">
        <f t="shared" si="214"/>
        <v>0.10121127187500001</v>
      </c>
      <c r="BL136">
        <f t="shared" si="215"/>
        <v>3.48E-3</v>
      </c>
      <c r="BM136" s="469">
        <f t="shared" si="216"/>
        <v>290.66312111362731</v>
      </c>
      <c r="BN136" s="177">
        <f t="shared" si="217"/>
        <v>0.23400000000000001</v>
      </c>
      <c r="BO136" s="177">
        <f t="shared" si="218"/>
        <v>5.8500000000000003E-2</v>
      </c>
      <c r="BP136" s="542"/>
      <c r="BR136" s="469">
        <f t="shared" si="219"/>
        <v>292.50000000000006</v>
      </c>
      <c r="BS136" s="542">
        <f t="shared" si="220"/>
        <v>0</v>
      </c>
      <c r="BT136" s="542">
        <f t="shared" si="221"/>
        <v>0</v>
      </c>
      <c r="BU136" s="542">
        <f t="shared" si="222"/>
        <v>0</v>
      </c>
      <c r="BV136" s="542">
        <f t="shared" si="223"/>
        <v>0</v>
      </c>
      <c r="BW136" s="647">
        <f t="shared" si="224"/>
        <v>0</v>
      </c>
      <c r="BX136" s="469">
        <f t="shared" si="225"/>
        <v>0</v>
      </c>
      <c r="BY136" s="177">
        <f t="shared" si="226"/>
        <v>0.58316312111362734</v>
      </c>
      <c r="BZ136" s="5">
        <f t="shared" si="227"/>
        <v>4.3550000000000004</v>
      </c>
      <c r="CA136" s="177">
        <f t="shared" si="228"/>
        <v>0.8819068737077046</v>
      </c>
      <c r="CB136" s="5">
        <f t="shared" si="229"/>
        <v>88.190687370770462</v>
      </c>
      <c r="CC136">
        <f t="shared" si="230"/>
        <v>26</v>
      </c>
      <c r="CE136" s="576">
        <f t="shared" si="231"/>
        <v>-50</v>
      </c>
      <c r="CF136">
        <f t="shared" si="232"/>
        <v>-50</v>
      </c>
    </row>
    <row r="137" spans="5:84" x14ac:dyDescent="0.25">
      <c r="E137" s="174">
        <v>27</v>
      </c>
      <c r="F137" s="221">
        <f t="shared" si="233"/>
        <v>0.27</v>
      </c>
      <c r="G137" s="221">
        <f t="shared" si="170"/>
        <v>6.7500000000000004E-2</v>
      </c>
      <c r="H137" s="221">
        <f t="shared" si="171"/>
        <v>4.0500000000000007</v>
      </c>
      <c r="I137" s="221">
        <f t="shared" si="172"/>
        <v>0.47250000000000003</v>
      </c>
      <c r="J137" s="555">
        <f t="shared" si="173"/>
        <v>12</v>
      </c>
      <c r="K137" s="451">
        <f t="shared" si="174"/>
        <v>23.85</v>
      </c>
      <c r="L137" s="451">
        <f t="shared" si="175"/>
        <v>35.85</v>
      </c>
      <c r="M137" s="451"/>
      <c r="N137" s="221">
        <f t="shared" si="176"/>
        <v>0.66527196652719667</v>
      </c>
      <c r="O137" s="176">
        <f t="shared" si="177"/>
        <v>13.923050021857241</v>
      </c>
      <c r="P137" s="176">
        <f t="shared" si="178"/>
        <v>1.6243558358833448</v>
      </c>
      <c r="Q137" s="221">
        <f t="shared" si="179"/>
        <v>0.92820333479048278</v>
      </c>
      <c r="R137" s="221">
        <f t="shared" si="180"/>
        <v>1.9890071459796059</v>
      </c>
      <c r="S137" s="221">
        <f t="shared" si="181"/>
        <v>15</v>
      </c>
      <c r="T137" s="221">
        <f t="shared" si="182"/>
        <v>1.1926266137040717</v>
      </c>
      <c r="U137" s="221">
        <f t="shared" si="183"/>
        <v>0.69569885799404185</v>
      </c>
      <c r="V137" s="221">
        <f t="shared" si="184"/>
        <v>0.35003716125486378</v>
      </c>
      <c r="W137" s="201">
        <f t="shared" si="185"/>
        <v>350</v>
      </c>
      <c r="X137" s="451">
        <f t="shared" si="186"/>
        <v>350</v>
      </c>
      <c r="Z137" s="221">
        <f t="shared" si="187"/>
        <v>3.2584749380923919</v>
      </c>
      <c r="AA137" s="177">
        <f t="shared" si="188"/>
        <v>0.95636580992229525</v>
      </c>
      <c r="AB137" s="177">
        <f t="shared" si="189"/>
        <v>0.73256165472632317</v>
      </c>
      <c r="AC137" s="177"/>
      <c r="AD137" s="177">
        <f t="shared" si="190"/>
        <v>0.24067085953878403</v>
      </c>
      <c r="AE137" s="559">
        <f t="shared" si="191"/>
        <v>2036.9890371377587</v>
      </c>
      <c r="AF137" s="542">
        <f t="shared" si="192"/>
        <v>4.6392002252886505E-2</v>
      </c>
      <c r="AH137" s="177">
        <f t="shared" si="193"/>
        <v>1.9214152946965626</v>
      </c>
      <c r="AI137" s="177">
        <f t="shared" si="194"/>
        <v>1.9214152946965626</v>
      </c>
      <c r="AJ137" s="177">
        <f t="shared" si="195"/>
        <v>2.0158631812567132</v>
      </c>
      <c r="AL137" s="559">
        <f t="shared" si="196"/>
        <v>270</v>
      </c>
      <c r="AM137" s="469">
        <f t="shared" si="197"/>
        <v>350</v>
      </c>
      <c r="AO137" s="469">
        <f t="shared" si="198"/>
        <v>270</v>
      </c>
      <c r="AP137" s="469">
        <f t="shared" si="199"/>
        <v>350</v>
      </c>
      <c r="AR137" s="5">
        <f t="shared" si="237"/>
        <v>2.8571428571428572</v>
      </c>
      <c r="AS137" s="5">
        <f t="shared" si="234"/>
        <v>1.1208255885729947</v>
      </c>
      <c r="AT137" s="5">
        <f t="shared" si="235"/>
        <v>1.7363172685698625</v>
      </c>
      <c r="AU137" s="177">
        <f t="shared" si="236"/>
        <v>0.39228895600054814</v>
      </c>
      <c r="AW137" s="5">
        <f t="shared" si="203"/>
        <v>17.111543209876547</v>
      </c>
      <c r="AX137" s="5">
        <f t="shared" si="204"/>
        <v>5.0626073863636378</v>
      </c>
      <c r="AY137" s="5">
        <f t="shared" si="205"/>
        <v>1.2123152482368027</v>
      </c>
      <c r="AZ137" s="5">
        <f t="shared" si="206"/>
        <v>0.34310101617619104</v>
      </c>
      <c r="BA137" s="5">
        <f t="shared" si="207"/>
        <v>0.91842044995405903</v>
      </c>
      <c r="BB137" s="5"/>
      <c r="BC137" s="5"/>
      <c r="BD137" s="177">
        <f t="shared" si="208"/>
        <v>0.6948061548320591</v>
      </c>
      <c r="BE137" s="177">
        <f t="shared" si="209"/>
        <v>1.1616542542353934</v>
      </c>
      <c r="BF137" s="177">
        <f t="shared" si="210"/>
        <v>0.27276818248185497</v>
      </c>
      <c r="BG137" s="177"/>
      <c r="BH137" s="542">
        <f t="shared" si="211"/>
        <v>5.3103115207176241E-2</v>
      </c>
      <c r="BI137" s="542">
        <f t="shared" si="212"/>
        <v>0.1205447920510256</v>
      </c>
      <c r="BJ137" s="542">
        <f t="shared" si="213"/>
        <v>1.7499999999999998E-2</v>
      </c>
      <c r="BK137" s="542">
        <f t="shared" si="214"/>
        <v>0.10121127187500001</v>
      </c>
      <c r="BL137">
        <f t="shared" si="215"/>
        <v>3.48E-3</v>
      </c>
      <c r="BM137" s="469">
        <f t="shared" si="216"/>
        <v>295.83917913320187</v>
      </c>
      <c r="BN137" s="177">
        <f t="shared" si="217"/>
        <v>0.24300000000000002</v>
      </c>
      <c r="BO137" s="177">
        <f t="shared" si="218"/>
        <v>6.0750000000000005E-2</v>
      </c>
      <c r="BP137" s="542"/>
      <c r="BR137" s="469">
        <f t="shared" si="219"/>
        <v>303.75</v>
      </c>
      <c r="BS137" s="542">
        <f t="shared" si="220"/>
        <v>0</v>
      </c>
      <c r="BT137" s="542">
        <f t="shared" si="221"/>
        <v>0</v>
      </c>
      <c r="BU137" s="542">
        <f t="shared" si="222"/>
        <v>0</v>
      </c>
      <c r="BV137" s="542">
        <f t="shared" si="223"/>
        <v>0</v>
      </c>
      <c r="BW137" s="647">
        <f t="shared" si="224"/>
        <v>0</v>
      </c>
      <c r="BX137" s="469">
        <f t="shared" si="225"/>
        <v>0</v>
      </c>
      <c r="BY137" s="177">
        <f t="shared" si="226"/>
        <v>0.59958917913320187</v>
      </c>
      <c r="BZ137" s="5">
        <f t="shared" si="227"/>
        <v>4.5225000000000009</v>
      </c>
      <c r="CA137" s="177">
        <f t="shared" si="228"/>
        <v>0.88294050373510513</v>
      </c>
      <c r="CB137" s="5">
        <f t="shared" si="229"/>
        <v>88.294050373510515</v>
      </c>
      <c r="CC137">
        <f t="shared" si="230"/>
        <v>27</v>
      </c>
      <c r="CE137" s="576">
        <f t="shared" si="231"/>
        <v>-50</v>
      </c>
      <c r="CF137">
        <f t="shared" si="232"/>
        <v>-50</v>
      </c>
    </row>
    <row r="138" spans="5:84" x14ac:dyDescent="0.25">
      <c r="E138" s="174">
        <v>28</v>
      </c>
      <c r="F138" s="221">
        <f t="shared" si="233"/>
        <v>0.28000000000000003</v>
      </c>
      <c r="G138" s="221">
        <f t="shared" si="170"/>
        <v>7.0000000000000007E-2</v>
      </c>
      <c r="H138" s="221">
        <f t="shared" si="171"/>
        <v>4.2</v>
      </c>
      <c r="I138" s="221">
        <f t="shared" si="172"/>
        <v>0.49000000000000005</v>
      </c>
      <c r="J138" s="555">
        <f t="shared" si="173"/>
        <v>12</v>
      </c>
      <c r="K138" s="451">
        <f t="shared" si="174"/>
        <v>23.85</v>
      </c>
      <c r="L138" s="451">
        <f t="shared" si="175"/>
        <v>35.85</v>
      </c>
      <c r="M138" s="451"/>
      <c r="N138" s="221">
        <f t="shared" si="176"/>
        <v>0.66527196652719667</v>
      </c>
      <c r="O138" s="176">
        <f t="shared" si="177"/>
        <v>13.923050021857241</v>
      </c>
      <c r="P138" s="176">
        <f t="shared" si="178"/>
        <v>1.6243558358833448</v>
      </c>
      <c r="Q138" s="221">
        <f t="shared" si="179"/>
        <v>0.92820333479048278</v>
      </c>
      <c r="R138" s="221">
        <f t="shared" si="180"/>
        <v>1.9890071459796059</v>
      </c>
      <c r="S138" s="221">
        <f t="shared" si="181"/>
        <v>15</v>
      </c>
      <c r="T138" s="221">
        <f t="shared" si="182"/>
        <v>1.2367979697671856</v>
      </c>
      <c r="U138" s="221">
        <f t="shared" si="183"/>
        <v>0.72146548236419161</v>
      </c>
      <c r="V138" s="221">
        <f t="shared" si="184"/>
        <v>0.36300150056059949</v>
      </c>
      <c r="W138" s="201">
        <f t="shared" si="185"/>
        <v>350</v>
      </c>
      <c r="X138" s="451">
        <f t="shared" si="186"/>
        <v>350</v>
      </c>
      <c r="Z138" s="221">
        <f t="shared" si="187"/>
        <v>3.2584749380923919</v>
      </c>
      <c r="AA138" s="177">
        <f t="shared" si="188"/>
        <v>0.95636580992229525</v>
      </c>
      <c r="AB138" s="177">
        <f t="shared" si="189"/>
        <v>0.73256165472632317</v>
      </c>
      <c r="AC138" s="177"/>
      <c r="AD138" s="177">
        <f t="shared" si="190"/>
        <v>0.24067085953878403</v>
      </c>
      <c r="AE138" s="559">
        <f t="shared" si="191"/>
        <v>2112.4330755502683</v>
      </c>
      <c r="AF138" s="542">
        <f t="shared" si="192"/>
        <v>4.6392002252886505E-2</v>
      </c>
      <c r="AH138" s="177">
        <f t="shared" si="193"/>
        <v>1.9566735620873066</v>
      </c>
      <c r="AI138" s="177">
        <f t="shared" si="194"/>
        <v>1.9566735620873066</v>
      </c>
      <c r="AJ138" s="177">
        <f t="shared" si="195"/>
        <v>2.0419804163609676</v>
      </c>
      <c r="AL138" s="559">
        <f t="shared" si="196"/>
        <v>280</v>
      </c>
      <c r="AM138" s="469">
        <f t="shared" si="197"/>
        <v>350</v>
      </c>
      <c r="AO138" s="469">
        <f t="shared" si="198"/>
        <v>280</v>
      </c>
      <c r="AP138" s="469">
        <f t="shared" si="199"/>
        <v>350</v>
      </c>
      <c r="AR138" s="5">
        <f t="shared" si="237"/>
        <v>2.8571428571428572</v>
      </c>
      <c r="AS138" s="5">
        <f t="shared" si="234"/>
        <v>1.1413929112175953</v>
      </c>
      <c r="AT138" s="5">
        <f t="shared" si="235"/>
        <v>1.7157499459252619</v>
      </c>
      <c r="AU138" s="177">
        <f t="shared" si="236"/>
        <v>0.39948751892615836</v>
      </c>
      <c r="AW138" s="5">
        <f t="shared" si="203"/>
        <v>17.111543209876547</v>
      </c>
      <c r="AX138" s="5">
        <f t="shared" si="204"/>
        <v>5.4134488215488226</v>
      </c>
      <c r="AY138" s="5">
        <f t="shared" si="205"/>
        <v>1.2123152482368027</v>
      </c>
      <c r="AZ138" s="5">
        <f t="shared" si="206"/>
        <v>0.36120877459826306</v>
      </c>
      <c r="BA138" s="5">
        <f t="shared" si="207"/>
        <v>0.94115406390520218</v>
      </c>
      <c r="BB138" s="5"/>
      <c r="BC138" s="5"/>
      <c r="BD138" s="177">
        <f t="shared" si="208"/>
        <v>0.71401832400193055</v>
      </c>
      <c r="BE138" s="177">
        <f t="shared" si="209"/>
        <v>1.1759435530668403</v>
      </c>
      <c r="BF138" s="177">
        <f t="shared" si="210"/>
        <v>0.27612345454923909</v>
      </c>
      <c r="BG138" s="177"/>
      <c r="BH138" s="542">
        <f t="shared" si="211"/>
        <v>5.6080438371157844E-2</v>
      </c>
      <c r="BI138" s="542">
        <f t="shared" si="212"/>
        <v>0.12275680760145241</v>
      </c>
      <c r="BJ138" s="542">
        <f t="shared" si="213"/>
        <v>1.7499999999999998E-2</v>
      </c>
      <c r="BK138" s="542">
        <f t="shared" si="214"/>
        <v>0.10121127187500001</v>
      </c>
      <c r="BL138">
        <f t="shared" si="215"/>
        <v>3.48E-3</v>
      </c>
      <c r="BM138" s="469">
        <f t="shared" si="216"/>
        <v>301.02851784761026</v>
      </c>
      <c r="BN138" s="177">
        <f t="shared" si="217"/>
        <v>0.25200000000000006</v>
      </c>
      <c r="BO138" s="177">
        <f t="shared" si="218"/>
        <v>6.3000000000000014E-2</v>
      </c>
      <c r="BP138" s="542"/>
      <c r="BR138" s="469">
        <f t="shared" si="219"/>
        <v>315.00000000000006</v>
      </c>
      <c r="BS138" s="542">
        <f t="shared" si="220"/>
        <v>0</v>
      </c>
      <c r="BT138" s="542">
        <f t="shared" si="221"/>
        <v>0</v>
      </c>
      <c r="BU138" s="542">
        <f t="shared" si="222"/>
        <v>0</v>
      </c>
      <c r="BV138" s="542">
        <f t="shared" si="223"/>
        <v>0</v>
      </c>
      <c r="BW138" s="647">
        <f t="shared" si="224"/>
        <v>0</v>
      </c>
      <c r="BX138" s="469">
        <f t="shared" si="225"/>
        <v>0</v>
      </c>
      <c r="BY138" s="177">
        <f t="shared" si="226"/>
        <v>0.61602851784761037</v>
      </c>
      <c r="BZ138" s="5">
        <f t="shared" si="227"/>
        <v>4.6900000000000004</v>
      </c>
      <c r="CA138" s="177">
        <f t="shared" si="228"/>
        <v>0.88390026254561072</v>
      </c>
      <c r="CB138" s="5">
        <f t="shared" si="229"/>
        <v>88.390026254561064</v>
      </c>
      <c r="CC138">
        <f t="shared" si="230"/>
        <v>28.000000000000004</v>
      </c>
      <c r="CE138" s="576">
        <f t="shared" si="231"/>
        <v>-50</v>
      </c>
      <c r="CF138">
        <f t="shared" si="232"/>
        <v>-50</v>
      </c>
    </row>
    <row r="139" spans="5:84" x14ac:dyDescent="0.25">
      <c r="E139" s="174">
        <v>29</v>
      </c>
      <c r="F139" s="221">
        <f t="shared" si="233"/>
        <v>0.28999999999999998</v>
      </c>
      <c r="G139" s="221">
        <f t="shared" si="170"/>
        <v>7.2499999999999995E-2</v>
      </c>
      <c r="H139" s="221">
        <f t="shared" si="171"/>
        <v>4.3499999999999996</v>
      </c>
      <c r="I139" s="221">
        <f t="shared" si="172"/>
        <v>0.50749999999999995</v>
      </c>
      <c r="J139" s="555">
        <f t="shared" si="173"/>
        <v>12</v>
      </c>
      <c r="K139" s="451">
        <f t="shared" si="174"/>
        <v>23.85</v>
      </c>
      <c r="L139" s="451">
        <f t="shared" si="175"/>
        <v>35.85</v>
      </c>
      <c r="M139" s="451"/>
      <c r="N139" s="221">
        <f t="shared" si="176"/>
        <v>0.66527196652719667</v>
      </c>
      <c r="O139" s="176">
        <f t="shared" si="177"/>
        <v>13.923050021857241</v>
      </c>
      <c r="P139" s="176">
        <f t="shared" si="178"/>
        <v>1.6243558358833448</v>
      </c>
      <c r="Q139" s="221">
        <f t="shared" si="179"/>
        <v>0.92820333479048278</v>
      </c>
      <c r="R139" s="221">
        <f t="shared" si="180"/>
        <v>1.9890071459796059</v>
      </c>
      <c r="S139" s="221">
        <f t="shared" si="181"/>
        <v>15</v>
      </c>
      <c r="T139" s="221">
        <f t="shared" si="182"/>
        <v>1.2809693258302992</v>
      </c>
      <c r="U139" s="221">
        <f t="shared" si="183"/>
        <v>0.74723210673434115</v>
      </c>
      <c r="V139" s="221">
        <f t="shared" si="184"/>
        <v>0.37596583986633519</v>
      </c>
      <c r="W139" s="201">
        <f t="shared" si="185"/>
        <v>350</v>
      </c>
      <c r="X139" s="451">
        <f t="shared" si="186"/>
        <v>350</v>
      </c>
      <c r="Z139" s="221">
        <f t="shared" si="187"/>
        <v>3.2584749380923919</v>
      </c>
      <c r="AA139" s="177">
        <f t="shared" si="188"/>
        <v>0.95636580992229525</v>
      </c>
      <c r="AB139" s="177">
        <f t="shared" si="189"/>
        <v>0.73256165472632317</v>
      </c>
      <c r="AC139" s="177"/>
      <c r="AD139" s="177">
        <f t="shared" si="190"/>
        <v>0.24067085953878403</v>
      </c>
      <c r="AE139" s="559">
        <f t="shared" si="191"/>
        <v>2187.8771139627775</v>
      </c>
      <c r="AF139" s="542">
        <f t="shared" si="192"/>
        <v>4.6392002252886505E-2</v>
      </c>
      <c r="AH139" s="177">
        <f t="shared" si="193"/>
        <v>1.9913076413374653</v>
      </c>
      <c r="AI139" s="177">
        <f t="shared" si="194"/>
        <v>1.9913076413374653</v>
      </c>
      <c r="AJ139" s="177">
        <f t="shared" si="195"/>
        <v>2.067635289879604</v>
      </c>
      <c r="AL139" s="559">
        <f t="shared" si="196"/>
        <v>290</v>
      </c>
      <c r="AM139" s="469">
        <f t="shared" si="197"/>
        <v>350</v>
      </c>
      <c r="AO139" s="469">
        <f t="shared" si="198"/>
        <v>290</v>
      </c>
      <c r="AP139" s="469">
        <f t="shared" si="199"/>
        <v>350</v>
      </c>
      <c r="AR139" s="5">
        <f t="shared" si="237"/>
        <v>2.8571428571428572</v>
      </c>
      <c r="AS139" s="5">
        <f t="shared" si="234"/>
        <v>1.1615961241135213</v>
      </c>
      <c r="AT139" s="5">
        <f t="shared" si="235"/>
        <v>1.6955467330293359</v>
      </c>
      <c r="AU139" s="177">
        <f t="shared" si="236"/>
        <v>0.40655864343973247</v>
      </c>
      <c r="AW139" s="5">
        <f t="shared" si="203"/>
        <v>17.111543209876547</v>
      </c>
      <c r="AX139" s="5">
        <f t="shared" si="204"/>
        <v>5.7759572180134695</v>
      </c>
      <c r="AY139" s="5">
        <f t="shared" si="205"/>
        <v>1.2123152482368027</v>
      </c>
      <c r="AZ139" s="5">
        <f t="shared" si="206"/>
        <v>0.37970226969022858</v>
      </c>
      <c r="BA139" s="5">
        <f t="shared" si="207"/>
        <v>0.96328868487602337</v>
      </c>
      <c r="BB139" s="5"/>
      <c r="BC139" s="5"/>
      <c r="BD139" s="177">
        <f t="shared" si="208"/>
        <v>0.73305967878159428</v>
      </c>
      <c r="BE139" s="177">
        <f t="shared" si="209"/>
        <v>1.1896914598677553</v>
      </c>
      <c r="BF139" s="177">
        <f t="shared" si="210"/>
        <v>0.27935160228540329</v>
      </c>
      <c r="BG139" s="177"/>
      <c r="BH139" s="542">
        <f t="shared" si="211"/>
        <v>5.9111414192091163E-2</v>
      </c>
      <c r="BI139" s="542">
        <f t="shared" si="212"/>
        <v>0.12492966314840924</v>
      </c>
      <c r="BJ139" s="542">
        <f t="shared" si="213"/>
        <v>1.7499999999999998E-2</v>
      </c>
      <c r="BK139" s="542">
        <f t="shared" si="214"/>
        <v>0.10121127187500001</v>
      </c>
      <c r="BL139">
        <f t="shared" si="215"/>
        <v>3.48E-3</v>
      </c>
      <c r="BM139" s="469">
        <f t="shared" si="216"/>
        <v>306.23234921550039</v>
      </c>
      <c r="BN139" s="177">
        <f t="shared" si="217"/>
        <v>0.26100000000000001</v>
      </c>
      <c r="BO139" s="177">
        <f t="shared" si="218"/>
        <v>6.5250000000000002E-2</v>
      </c>
      <c r="BP139" s="542"/>
      <c r="BR139" s="469">
        <f t="shared" si="219"/>
        <v>326.25000000000006</v>
      </c>
      <c r="BS139" s="542">
        <f t="shared" si="220"/>
        <v>0</v>
      </c>
      <c r="BT139" s="542">
        <f t="shared" si="221"/>
        <v>0</v>
      </c>
      <c r="BU139" s="542">
        <f t="shared" si="222"/>
        <v>0</v>
      </c>
      <c r="BV139" s="542">
        <f t="shared" si="223"/>
        <v>0</v>
      </c>
      <c r="BW139" s="647">
        <f t="shared" si="224"/>
        <v>0</v>
      </c>
      <c r="BX139" s="469">
        <f t="shared" si="225"/>
        <v>0</v>
      </c>
      <c r="BY139" s="177">
        <f t="shared" si="226"/>
        <v>0.63248234921550051</v>
      </c>
      <c r="BZ139" s="5">
        <f t="shared" si="227"/>
        <v>4.8574999999999999</v>
      </c>
      <c r="CA139" s="177">
        <f t="shared" si="228"/>
        <v>0.88479337291387106</v>
      </c>
      <c r="CB139" s="5">
        <f t="shared" si="229"/>
        <v>88.479337291387111</v>
      </c>
      <c r="CC139">
        <f t="shared" si="230"/>
        <v>28.999999999999996</v>
      </c>
      <c r="CE139" s="576">
        <f t="shared" si="231"/>
        <v>-50</v>
      </c>
      <c r="CF139">
        <f t="shared" si="232"/>
        <v>-50</v>
      </c>
    </row>
    <row r="140" spans="5:84" x14ac:dyDescent="0.25">
      <c r="E140" s="174">
        <v>30</v>
      </c>
      <c r="F140" s="221">
        <f t="shared" si="233"/>
        <v>0.3</v>
      </c>
      <c r="G140" s="221">
        <f t="shared" si="170"/>
        <v>7.4999999999999997E-2</v>
      </c>
      <c r="H140" s="221">
        <f t="shared" si="171"/>
        <v>4.5</v>
      </c>
      <c r="I140" s="221">
        <f t="shared" si="172"/>
        <v>0.52500000000000002</v>
      </c>
      <c r="J140" s="555">
        <f t="shared" si="173"/>
        <v>12</v>
      </c>
      <c r="K140" s="451">
        <f t="shared" si="174"/>
        <v>23.85</v>
      </c>
      <c r="L140" s="451">
        <f t="shared" si="175"/>
        <v>35.85</v>
      </c>
      <c r="M140" s="451"/>
      <c r="N140" s="221">
        <f t="shared" si="176"/>
        <v>0.66527196652719667</v>
      </c>
      <c r="O140" s="176">
        <f t="shared" si="177"/>
        <v>13.923050021857241</v>
      </c>
      <c r="P140" s="176">
        <f t="shared" si="178"/>
        <v>1.6243558358833448</v>
      </c>
      <c r="Q140" s="221">
        <f t="shared" si="179"/>
        <v>0.92820333479048278</v>
      </c>
      <c r="R140" s="221">
        <f t="shared" si="180"/>
        <v>1.9890071459796059</v>
      </c>
      <c r="S140" s="221">
        <f t="shared" si="181"/>
        <v>15</v>
      </c>
      <c r="T140" s="221">
        <f t="shared" si="182"/>
        <v>1.3251406818934131</v>
      </c>
      <c r="U140" s="221">
        <f t="shared" si="183"/>
        <v>0.77299873110449091</v>
      </c>
      <c r="V140" s="221">
        <f t="shared" si="184"/>
        <v>0.38893017917207084</v>
      </c>
      <c r="W140" s="201">
        <f t="shared" si="185"/>
        <v>350</v>
      </c>
      <c r="X140" s="451">
        <f t="shared" si="186"/>
        <v>350</v>
      </c>
      <c r="Z140" s="221">
        <f t="shared" si="187"/>
        <v>3.2584749380923919</v>
      </c>
      <c r="AA140" s="177">
        <f t="shared" si="188"/>
        <v>0.95636580992229525</v>
      </c>
      <c r="AB140" s="177">
        <f t="shared" si="189"/>
        <v>0.73256165472632317</v>
      </c>
      <c r="AC140" s="177"/>
      <c r="AD140" s="177">
        <f t="shared" si="190"/>
        <v>0.24067085953878403</v>
      </c>
      <c r="AE140" s="559">
        <f t="shared" si="191"/>
        <v>2263.3211523752875</v>
      </c>
      <c r="AF140" s="542">
        <f t="shared" si="192"/>
        <v>4.6392002252886505E-2</v>
      </c>
      <c r="AH140" s="177">
        <f t="shared" si="193"/>
        <v>2.0253495541082609</v>
      </c>
      <c r="AI140" s="177">
        <f t="shared" si="194"/>
        <v>2.0253495541082609</v>
      </c>
      <c r="AJ140" s="177">
        <f t="shared" si="195"/>
        <v>2.0928515215616748</v>
      </c>
      <c r="AL140" s="559">
        <f t="shared" si="196"/>
        <v>300</v>
      </c>
      <c r="AM140" s="469">
        <f t="shared" si="197"/>
        <v>350</v>
      </c>
      <c r="AO140" s="469">
        <f t="shared" si="198"/>
        <v>300</v>
      </c>
      <c r="AP140" s="469">
        <f t="shared" si="199"/>
        <v>350</v>
      </c>
      <c r="AR140" s="5">
        <f t="shared" si="237"/>
        <v>2.8571428571428572</v>
      </c>
      <c r="AS140" s="5">
        <f t="shared" si="234"/>
        <v>1.1814539065631522</v>
      </c>
      <c r="AT140" s="5">
        <f t="shared" si="235"/>
        <v>1.675688950579705</v>
      </c>
      <c r="AU140" s="177">
        <f t="shared" si="236"/>
        <v>0.41350886729710323</v>
      </c>
      <c r="AW140" s="5">
        <f t="shared" si="203"/>
        <v>17.111543209876547</v>
      </c>
      <c r="AX140" s="5">
        <f t="shared" si="204"/>
        <v>6.1501325757575778</v>
      </c>
      <c r="AY140" s="5">
        <f t="shared" si="205"/>
        <v>1.2123152482368027</v>
      </c>
      <c r="AZ140" s="5">
        <f t="shared" si="206"/>
        <v>0.39858150145208771</v>
      </c>
      <c r="BA140" s="5">
        <f t="shared" si="207"/>
        <v>0.98483473411263367</v>
      </c>
      <c r="BB140" s="5"/>
      <c r="BC140" s="5"/>
      <c r="BD140" s="177">
        <f t="shared" si="208"/>
        <v>0.7519375531619783</v>
      </c>
      <c r="BE140" s="177">
        <f t="shared" si="209"/>
        <v>1.2029229016982907</v>
      </c>
      <c r="BF140" s="177">
        <f t="shared" si="210"/>
        <v>0.28245847881649744</v>
      </c>
      <c r="BG140" s="177"/>
      <c r="BH140" s="542">
        <f t="shared" si="211"/>
        <v>6.2195109224074528E-2</v>
      </c>
      <c r="BI140" s="542">
        <f t="shared" si="212"/>
        <v>0.12706536765086704</v>
      </c>
      <c r="BJ140" s="542">
        <f t="shared" si="213"/>
        <v>1.7499999999999998E-2</v>
      </c>
      <c r="BK140" s="542">
        <f t="shared" si="214"/>
        <v>0.10121127187500001</v>
      </c>
      <c r="BL140">
        <f t="shared" si="215"/>
        <v>3.48E-3</v>
      </c>
      <c r="BM140" s="469">
        <f t="shared" si="216"/>
        <v>311.4517487499416</v>
      </c>
      <c r="BN140" s="177">
        <f t="shared" si="217"/>
        <v>0.27</v>
      </c>
      <c r="BO140" s="177">
        <f t="shared" si="218"/>
        <v>6.7500000000000004E-2</v>
      </c>
      <c r="BP140" s="542"/>
      <c r="BR140" s="469">
        <f t="shared" si="219"/>
        <v>337.5</v>
      </c>
      <c r="BS140" s="542">
        <f t="shared" si="220"/>
        <v>0</v>
      </c>
      <c r="BT140" s="542">
        <f t="shared" si="221"/>
        <v>0</v>
      </c>
      <c r="BU140" s="542">
        <f t="shared" si="222"/>
        <v>0</v>
      </c>
      <c r="BV140" s="542">
        <f t="shared" si="223"/>
        <v>0</v>
      </c>
      <c r="BW140" s="647">
        <f t="shared" si="224"/>
        <v>0</v>
      </c>
      <c r="BX140" s="469">
        <f t="shared" si="225"/>
        <v>0</v>
      </c>
      <c r="BY140" s="177">
        <f t="shared" si="226"/>
        <v>0.64895174874994155</v>
      </c>
      <c r="BZ140" s="5">
        <f t="shared" si="227"/>
        <v>5.0250000000000004</v>
      </c>
      <c r="CA140" s="177">
        <f t="shared" si="228"/>
        <v>0.88562614250413474</v>
      </c>
      <c r="CB140" s="5">
        <f t="shared" si="229"/>
        <v>88.562614250413475</v>
      </c>
      <c r="CC140">
        <f t="shared" si="230"/>
        <v>30</v>
      </c>
      <c r="CE140" s="576">
        <f t="shared" si="231"/>
        <v>-50</v>
      </c>
      <c r="CF140">
        <f t="shared" si="232"/>
        <v>-50</v>
      </c>
    </row>
    <row r="141" spans="5:84" x14ac:dyDescent="0.25">
      <c r="E141" s="174">
        <v>31</v>
      </c>
      <c r="F141" s="221">
        <f t="shared" si="233"/>
        <v>0.31</v>
      </c>
      <c r="G141" s="221">
        <f t="shared" si="170"/>
        <v>7.7499999999999999E-2</v>
      </c>
      <c r="H141" s="221">
        <f t="shared" si="171"/>
        <v>4.6500000000000004</v>
      </c>
      <c r="I141" s="221">
        <f t="shared" si="172"/>
        <v>0.54249999999999998</v>
      </c>
      <c r="J141" s="555">
        <f t="shared" si="173"/>
        <v>12</v>
      </c>
      <c r="K141" s="451">
        <f t="shared" si="174"/>
        <v>23.85</v>
      </c>
      <c r="L141" s="451">
        <f t="shared" si="175"/>
        <v>35.85</v>
      </c>
      <c r="M141" s="451"/>
      <c r="N141" s="221">
        <f t="shared" si="176"/>
        <v>0.66527196652719667</v>
      </c>
      <c r="O141" s="176">
        <f t="shared" si="177"/>
        <v>13.923050021857241</v>
      </c>
      <c r="P141" s="176">
        <f t="shared" si="178"/>
        <v>1.6243558358833448</v>
      </c>
      <c r="Q141" s="221">
        <f t="shared" si="179"/>
        <v>0.92820333479048278</v>
      </c>
      <c r="R141" s="221">
        <f t="shared" si="180"/>
        <v>1.9890071459796059</v>
      </c>
      <c r="S141" s="221">
        <f t="shared" si="181"/>
        <v>15</v>
      </c>
      <c r="T141" s="221">
        <f t="shared" si="182"/>
        <v>1.3693120379565269</v>
      </c>
      <c r="U141" s="221">
        <f t="shared" si="183"/>
        <v>0.79876535547464056</v>
      </c>
      <c r="V141" s="221">
        <f t="shared" si="184"/>
        <v>0.40189451847780661</v>
      </c>
      <c r="W141" s="201">
        <f t="shared" si="185"/>
        <v>350</v>
      </c>
      <c r="X141" s="451">
        <f t="shared" si="186"/>
        <v>350</v>
      </c>
      <c r="Z141" s="221">
        <f t="shared" si="187"/>
        <v>3.2584749380923919</v>
      </c>
      <c r="AA141" s="177">
        <f t="shared" si="188"/>
        <v>0.95636580992229525</v>
      </c>
      <c r="AB141" s="177">
        <f t="shared" si="189"/>
        <v>0.73256165472632317</v>
      </c>
      <c r="AC141" s="177"/>
      <c r="AD141" s="177">
        <f t="shared" si="190"/>
        <v>0.24067085953878403</v>
      </c>
      <c r="AE141" s="559">
        <f t="shared" si="191"/>
        <v>2338.7651907877967</v>
      </c>
      <c r="AF141" s="542">
        <f t="shared" si="192"/>
        <v>4.6392002252886505E-2</v>
      </c>
      <c r="AH141" s="177">
        <f t="shared" si="193"/>
        <v>2.0588286743204454</v>
      </c>
      <c r="AI141" s="177">
        <f t="shared" si="194"/>
        <v>2.0588286743204454</v>
      </c>
      <c r="AJ141" s="177">
        <f t="shared" si="195"/>
        <v>2.1176508698669965</v>
      </c>
      <c r="AL141" s="559">
        <f t="shared" si="196"/>
        <v>310</v>
      </c>
      <c r="AM141" s="469">
        <f t="shared" si="197"/>
        <v>350</v>
      </c>
      <c r="AO141" s="469">
        <f t="shared" si="198"/>
        <v>310</v>
      </c>
      <c r="AP141" s="469">
        <f t="shared" si="199"/>
        <v>350</v>
      </c>
      <c r="AR141" s="5">
        <f t="shared" si="237"/>
        <v>2.8571428571428572</v>
      </c>
      <c r="AS141" s="5">
        <f t="shared" si="234"/>
        <v>1.2009833933535932</v>
      </c>
      <c r="AT141" s="5">
        <f t="shared" si="235"/>
        <v>1.656159463789264</v>
      </c>
      <c r="AU141" s="177">
        <f t="shared" si="236"/>
        <v>0.42034418767375759</v>
      </c>
      <c r="AW141" s="5">
        <f t="shared" si="203"/>
        <v>17.111543209876547</v>
      </c>
      <c r="AX141" s="5">
        <f t="shared" si="204"/>
        <v>6.5359748947811465</v>
      </c>
      <c r="AY141" s="5">
        <f t="shared" si="205"/>
        <v>1.2123152482368027</v>
      </c>
      <c r="AZ141" s="5">
        <f t="shared" si="206"/>
        <v>0.41784646988384028</v>
      </c>
      <c r="BA141" s="5">
        <f t="shared" si="207"/>
        <v>1.0058021071024277</v>
      </c>
      <c r="BB141" s="5"/>
      <c r="BC141" s="5"/>
      <c r="BD141" s="177">
        <f t="shared" si="208"/>
        <v>0.77065873306934696</v>
      </c>
      <c r="BE141" s="177">
        <f t="shared" si="209"/>
        <v>1.2156607227107377</v>
      </c>
      <c r="BF141" s="177">
        <f t="shared" si="210"/>
        <v>0.28544944818081247</v>
      </c>
      <c r="BG141" s="177"/>
      <c r="BH141" s="542">
        <f t="shared" si="211"/>
        <v>6.5330637114165604E-2</v>
      </c>
      <c r="BI141" s="542">
        <f t="shared" si="212"/>
        <v>0.12916576395517892</v>
      </c>
      <c r="BJ141" s="542">
        <f t="shared" si="213"/>
        <v>1.7499999999999998E-2</v>
      </c>
      <c r="BK141" s="542">
        <f t="shared" si="214"/>
        <v>0.10121127187500001</v>
      </c>
      <c r="BL141">
        <f t="shared" si="215"/>
        <v>3.48E-3</v>
      </c>
      <c r="BM141" s="469">
        <f t="shared" si="216"/>
        <v>316.68767294434446</v>
      </c>
      <c r="BN141" s="177">
        <f t="shared" si="217"/>
        <v>0.27900000000000003</v>
      </c>
      <c r="BO141" s="177">
        <f t="shared" si="218"/>
        <v>6.9750000000000006E-2</v>
      </c>
      <c r="BP141" s="542"/>
      <c r="BR141" s="469">
        <f t="shared" si="219"/>
        <v>348.75</v>
      </c>
      <c r="BS141" s="542">
        <f t="shared" si="220"/>
        <v>0</v>
      </c>
      <c r="BT141" s="542">
        <f t="shared" si="221"/>
        <v>0</v>
      </c>
      <c r="BU141" s="542">
        <f t="shared" si="222"/>
        <v>0</v>
      </c>
      <c r="BV141" s="542">
        <f t="shared" si="223"/>
        <v>0</v>
      </c>
      <c r="BW141" s="647">
        <f t="shared" si="224"/>
        <v>0</v>
      </c>
      <c r="BX141" s="469">
        <f t="shared" si="225"/>
        <v>0</v>
      </c>
      <c r="BY141" s="177">
        <f t="shared" si="226"/>
        <v>0.66543767294434453</v>
      </c>
      <c r="BZ141" s="5">
        <f t="shared" si="227"/>
        <v>5.1925000000000008</v>
      </c>
      <c r="CA141" s="177">
        <f t="shared" si="228"/>
        <v>0.88640410497746402</v>
      </c>
      <c r="CB141" s="5">
        <f t="shared" si="229"/>
        <v>88.640410497746402</v>
      </c>
      <c r="CC141">
        <f t="shared" si="230"/>
        <v>31</v>
      </c>
      <c r="CE141" s="576">
        <f t="shared" si="231"/>
        <v>-50</v>
      </c>
      <c r="CF141">
        <f t="shared" si="232"/>
        <v>-50</v>
      </c>
    </row>
    <row r="142" spans="5:84" x14ac:dyDescent="0.25">
      <c r="E142" s="174">
        <v>32</v>
      </c>
      <c r="F142" s="221">
        <f t="shared" si="233"/>
        <v>0.32</v>
      </c>
      <c r="G142" s="221">
        <f t="shared" ref="G142:G173" si="238">IF(PLOT_TYPE=1, E142/100*Iout2, min_I*EXP(Q142*rr/100))</f>
        <v>0.08</v>
      </c>
      <c r="H142" s="221">
        <f t="shared" ref="H142:H173" si="239">F142*Vout</f>
        <v>4.8</v>
      </c>
      <c r="I142" s="221">
        <f t="shared" ref="I142:I173" si="240">Vout2*G142</f>
        <v>0.56000000000000005</v>
      </c>
      <c r="J142" s="555">
        <f t="shared" si="173"/>
        <v>12</v>
      </c>
      <c r="K142" s="451">
        <f t="shared" si="174"/>
        <v>23.85</v>
      </c>
      <c r="L142" s="451">
        <f t="shared" si="175"/>
        <v>35.85</v>
      </c>
      <c r="M142" s="451"/>
      <c r="N142" s="221">
        <f t="shared" si="176"/>
        <v>0.66527196652719667</v>
      </c>
      <c r="O142" s="176">
        <f t="shared" ref="O142:O173" si="241">N142*J142*Isw_max*0.5*Efficiency*Pout/(Pout+Pout2)</f>
        <v>13.923050021857241</v>
      </c>
      <c r="P142" s="176">
        <f t="shared" ref="P142:P173" si="242">N142*J142*Isw_max*0.5*Efficiency*(Pout2/Pout_total)</f>
        <v>1.6243558358833448</v>
      </c>
      <c r="Q142" s="221">
        <f t="shared" si="179"/>
        <v>0.92820333479048278</v>
      </c>
      <c r="R142" s="221">
        <f t="shared" ref="R142:R173" si="243">O142/Vout2</f>
        <v>1.9890071459796059</v>
      </c>
      <c r="S142" s="221">
        <f t="shared" ref="S142:S173" si="244">MIN(Vout,O142/F142)</f>
        <v>15</v>
      </c>
      <c r="T142" s="221">
        <f t="shared" ref="T142:T173" si="245">MIN(2*(Vout*F142+Vout2*G142)/(Efficiency*J142*N142), Isw_max)</f>
        <v>1.4134833940196403</v>
      </c>
      <c r="U142" s="221">
        <f t="shared" si="183"/>
        <v>0.8245319798447901</v>
      </c>
      <c r="V142" s="221">
        <f t="shared" si="184"/>
        <v>0.41485885778354215</v>
      </c>
      <c r="W142" s="201">
        <f t="shared" si="185"/>
        <v>350</v>
      </c>
      <c r="X142" s="451">
        <f t="shared" si="186"/>
        <v>350</v>
      </c>
      <c r="Z142" s="221">
        <f t="shared" si="187"/>
        <v>3.2584749380923919</v>
      </c>
      <c r="AA142" s="177">
        <f t="shared" si="188"/>
        <v>0.95636580992229525</v>
      </c>
      <c r="AB142" s="177">
        <f t="shared" ref="AB142:AB173" si="246">0.5*AA142*Z142*Nps*W142/1000*(Pout/(Pout+Pout2))</f>
        <v>0.73256165472632317</v>
      </c>
      <c r="AC142" s="177"/>
      <c r="AD142" s="177">
        <f t="shared" si="190"/>
        <v>0.24067085953878403</v>
      </c>
      <c r="AE142" s="559">
        <f t="shared" ref="AE142:AE173" si="247">MAX(10, F142/(0.5*AD142/1000000*Isw_min*Nps)/1000*Pout_total/Pout)</f>
        <v>2414.2092292003067</v>
      </c>
      <c r="AF142" s="542">
        <f t="shared" ref="AF142:AF173" si="248">0.5*AD142/1000000*Isw_min*Nps*W142*1000*(Pout/Pout_total)</f>
        <v>4.6392002252886505E-2</v>
      </c>
      <c r="AH142" s="177">
        <f t="shared" ref="AH142:AH173" si="249">SQRT((H142+I142)/(0.5*L*Fsw_DCM))</f>
        <v>2.0917720248826428</v>
      </c>
      <c r="AI142" s="177">
        <f t="shared" ref="AI142:AI173" si="250">MAX(IF(F142&gt;AB142,T142,AH142),Isw_min)</f>
        <v>2.0917720248826428</v>
      </c>
      <c r="AJ142" s="177">
        <f t="shared" ref="AJ142:AJ173" si="251">IF(F142&gt;AF142, (AI142-Isw_min)/1.08*0.8+1.2, AE142*0.2/350+1)</f>
        <v>2.1420533517649205</v>
      </c>
      <c r="AL142" s="559">
        <f t="shared" ref="AL142:AL173" si="252">F142*1000</f>
        <v>320</v>
      </c>
      <c r="AM142" s="469">
        <f t="shared" ref="AM142:AM173" si="253">IF(F142&gt;AF142, X142, AE142)</f>
        <v>350</v>
      </c>
      <c r="AO142" s="469">
        <f t="shared" si="198"/>
        <v>320</v>
      </c>
      <c r="AP142" s="469">
        <f t="shared" si="199"/>
        <v>350</v>
      </c>
      <c r="AR142" s="5">
        <f t="shared" si="237"/>
        <v>2.8571428571428572</v>
      </c>
      <c r="AS142" s="5">
        <f t="shared" si="234"/>
        <v>1.2202003478482082</v>
      </c>
      <c r="AT142" s="5">
        <f t="shared" si="235"/>
        <v>1.636942509294649</v>
      </c>
      <c r="AU142" s="177">
        <f t="shared" si="236"/>
        <v>0.42707012174687287</v>
      </c>
      <c r="AW142" s="5">
        <f t="shared" ref="AW142:AW173" si="254">L*Iout^2/(2*Vripple1_spec*Vout*Npri_sec1^2)*1000000000*((1+N142)/(1-N142))^2</f>
        <v>17.111543209876547</v>
      </c>
      <c r="AX142" s="5">
        <f t="shared" ref="AX142:AX173" si="255">L*F142^2/(2*Cout*Vout*Nps^2)*1000000000*((1+N142)/(1-N142))^2+F142*RCoutEsr</f>
        <v>6.9334841750841774</v>
      </c>
      <c r="AY142" s="5">
        <f t="shared" ref="AY142:AY173" si="256">L*Iout2^2/(2*Vout_ripple2*Vout2*Npri_sec2^2)*1000000000*((1+N142)/(1-N142))^2</f>
        <v>1.2123152482368027</v>
      </c>
      <c r="AZ142" s="5">
        <f t="shared" ref="AZ142:AZ173" si="257">L*G142^2/(2*Cout2*Vout2*Npri_sec2^2)*1000000000*((1+N142)/(1-N142))^2+G142*CoutEsr2</f>
        <v>0.4374971749854864</v>
      </c>
      <c r="BA142" s="5">
        <f t="shared" ref="BA142:BA173" si="258">(H142+I142)/Efficiency/J142*AT142/Vinripple1</f>
        <v>1.0262002163531367</v>
      </c>
      <c r="BB142" s="5"/>
      <c r="BC142" s="5"/>
      <c r="BD142" s="177">
        <f t="shared" si="208"/>
        <v>0.78922951363166582</v>
      </c>
      <c r="BE142" s="177">
        <f t="shared" si="209"/>
        <v>1.2279259161161546</v>
      </c>
      <c r="BF142" s="177">
        <f t="shared" si="210"/>
        <v>0.28832943979689452</v>
      </c>
      <c r="BG142" s="177"/>
      <c r="BH142" s="542">
        <f t="shared" si="211"/>
        <v>6.8517154770600344E-2</v>
      </c>
      <c r="BI142" s="542">
        <f t="shared" si="212"/>
        <v>0.13123254741107482</v>
      </c>
      <c r="BJ142" s="542">
        <f t="shared" si="213"/>
        <v>1.7499999999999998E-2</v>
      </c>
      <c r="BK142" s="542">
        <f t="shared" si="214"/>
        <v>0.10121127187500001</v>
      </c>
      <c r="BL142">
        <f t="shared" si="215"/>
        <v>3.48E-3</v>
      </c>
      <c r="BM142" s="469">
        <f t="shared" si="216"/>
        <v>321.94097405667515</v>
      </c>
      <c r="BN142" s="177">
        <f t="shared" si="217"/>
        <v>0.28800000000000003</v>
      </c>
      <c r="BO142" s="177">
        <f t="shared" si="218"/>
        <v>7.2000000000000008E-2</v>
      </c>
      <c r="BP142" s="542"/>
      <c r="BR142" s="469">
        <f t="shared" si="219"/>
        <v>360.00000000000006</v>
      </c>
      <c r="BS142" s="542">
        <f t="shared" si="220"/>
        <v>0</v>
      </c>
      <c r="BT142" s="542">
        <f t="shared" si="221"/>
        <v>0</v>
      </c>
      <c r="BU142" s="542">
        <f t="shared" si="222"/>
        <v>0</v>
      </c>
      <c r="BV142" s="542">
        <f t="shared" si="223"/>
        <v>0</v>
      </c>
      <c r="BW142" s="647">
        <f t="shared" ref="BW142:BW173" si="259">0.5*Lleak*0.000000001*AI142^2*AM142*1000</f>
        <v>0</v>
      </c>
      <c r="BX142" s="469">
        <f t="shared" si="225"/>
        <v>0</v>
      </c>
      <c r="BY142" s="177">
        <f t="shared" si="226"/>
        <v>0.68194097405667531</v>
      </c>
      <c r="BZ142" s="5">
        <f t="shared" si="227"/>
        <v>5.3599999999999994</v>
      </c>
      <c r="CA142" s="177">
        <f t="shared" si="228"/>
        <v>0.88713213568539595</v>
      </c>
      <c r="CB142" s="5">
        <f t="shared" si="229"/>
        <v>88.713213568539601</v>
      </c>
      <c r="CC142">
        <f t="shared" si="230"/>
        <v>32</v>
      </c>
      <c r="CE142" s="576">
        <f t="shared" ref="CE142:CE173" si="260">IF(ABS(F142-Ioutmax_Vinmin)&lt;Iout/200, AM142, -50)</f>
        <v>-50</v>
      </c>
      <c r="CF142">
        <f t="shared" ref="CF142:CF173" si="261">IF(ABS(F142-Ioutmax_Vinmin)&lt;Iout/200, (O142+P142)*CA142, -50)</f>
        <v>-50</v>
      </c>
    </row>
    <row r="143" spans="5:84" x14ac:dyDescent="0.25">
      <c r="E143" s="174">
        <v>33</v>
      </c>
      <c r="F143" s="221">
        <f t="shared" ref="F143:F174" si="262">IF(PLOT_TYPE=1, E143/100*Iout_max, min_I*EXP(O143*rr/100))</f>
        <v>0.33</v>
      </c>
      <c r="G143" s="221">
        <f t="shared" si="238"/>
        <v>8.2500000000000004E-2</v>
      </c>
      <c r="H143" s="221">
        <f t="shared" si="239"/>
        <v>4.95</v>
      </c>
      <c r="I143" s="221">
        <f t="shared" si="240"/>
        <v>0.57750000000000001</v>
      </c>
      <c r="J143" s="555">
        <f t="shared" si="173"/>
        <v>12</v>
      </c>
      <c r="K143" s="451">
        <f t="shared" si="174"/>
        <v>23.85</v>
      </c>
      <c r="L143" s="451">
        <f t="shared" si="175"/>
        <v>35.85</v>
      </c>
      <c r="M143" s="451"/>
      <c r="N143" s="221">
        <f t="shared" si="176"/>
        <v>0.66527196652719667</v>
      </c>
      <c r="O143" s="176">
        <f t="shared" si="241"/>
        <v>13.923050021857241</v>
      </c>
      <c r="P143" s="176">
        <f t="shared" si="242"/>
        <v>1.6243558358833448</v>
      </c>
      <c r="Q143" s="221">
        <f t="shared" si="179"/>
        <v>0.92820333479048278</v>
      </c>
      <c r="R143" s="221">
        <f t="shared" si="243"/>
        <v>1.9890071459796059</v>
      </c>
      <c r="S143" s="221">
        <f t="shared" si="244"/>
        <v>15</v>
      </c>
      <c r="T143" s="221">
        <f t="shared" si="245"/>
        <v>1.4576547500827541</v>
      </c>
      <c r="U143" s="221">
        <f t="shared" si="183"/>
        <v>0.85029860421493986</v>
      </c>
      <c r="V143" s="221">
        <f t="shared" si="184"/>
        <v>0.42782319708927791</v>
      </c>
      <c r="W143" s="201">
        <f t="shared" si="185"/>
        <v>350</v>
      </c>
      <c r="X143" s="451">
        <f t="shared" si="186"/>
        <v>350</v>
      </c>
      <c r="Z143" s="221">
        <f t="shared" si="187"/>
        <v>3.2584749380923919</v>
      </c>
      <c r="AA143" s="177">
        <f t="shared" si="188"/>
        <v>0.95636580992229525</v>
      </c>
      <c r="AB143" s="177">
        <f t="shared" si="246"/>
        <v>0.73256165472632317</v>
      </c>
      <c r="AC143" s="177"/>
      <c r="AD143" s="177">
        <f t="shared" si="190"/>
        <v>0.24067085953878403</v>
      </c>
      <c r="AE143" s="559">
        <f t="shared" si="247"/>
        <v>2489.6532676128159</v>
      </c>
      <c r="AF143" s="542">
        <f t="shared" si="248"/>
        <v>4.6392002252886505E-2</v>
      </c>
      <c r="AH143" s="177">
        <f t="shared" si="249"/>
        <v>2.1242045329862149</v>
      </c>
      <c r="AI143" s="177">
        <f t="shared" si="250"/>
        <v>2.1242045329862149</v>
      </c>
      <c r="AJ143" s="177">
        <f t="shared" si="251"/>
        <v>2.1660774318416407</v>
      </c>
      <c r="AL143" s="559">
        <f t="shared" si="252"/>
        <v>330</v>
      </c>
      <c r="AM143" s="469">
        <f t="shared" si="253"/>
        <v>350</v>
      </c>
      <c r="AO143" s="469">
        <f t="shared" si="198"/>
        <v>330</v>
      </c>
      <c r="AP143" s="469">
        <f t="shared" si="199"/>
        <v>350</v>
      </c>
      <c r="AR143" s="5">
        <f t="shared" si="237"/>
        <v>2.8571428571428572</v>
      </c>
      <c r="AS143" s="5">
        <f t="shared" si="234"/>
        <v>1.2391193109086251</v>
      </c>
      <c r="AT143" s="5">
        <f t="shared" si="235"/>
        <v>1.6180235462342321</v>
      </c>
      <c r="AU143" s="177">
        <f t="shared" si="236"/>
        <v>0.4336917588180188</v>
      </c>
      <c r="AW143" s="5">
        <f t="shared" si="254"/>
        <v>17.111543209876547</v>
      </c>
      <c r="AX143" s="5">
        <f t="shared" si="255"/>
        <v>7.3426604166666696</v>
      </c>
      <c r="AY143" s="5">
        <f t="shared" si="256"/>
        <v>1.2123152482368027</v>
      </c>
      <c r="AZ143" s="5">
        <f t="shared" si="257"/>
        <v>0.45753361675702614</v>
      </c>
      <c r="BA143" s="5">
        <f t="shared" si="258"/>
        <v>1.0460380294514289</v>
      </c>
      <c r="BB143" s="5"/>
      <c r="BC143" s="5"/>
      <c r="BD143" s="177">
        <f t="shared" si="208"/>
        <v>0.80765574886283276</v>
      </c>
      <c r="BE143" s="177">
        <f t="shared" si="209"/>
        <v>1.2397378237928982</v>
      </c>
      <c r="BF143" s="177">
        <f t="shared" si="210"/>
        <v>0.29110299533364886</v>
      </c>
      <c r="BG143" s="177"/>
      <c r="BH143" s="542">
        <f t="shared" si="211"/>
        <v>7.1753858953830157E-2</v>
      </c>
      <c r="BI143" s="542">
        <f t="shared" si="212"/>
        <v>0.13326728188822268</v>
      </c>
      <c r="BJ143" s="542">
        <f t="shared" si="213"/>
        <v>1.7499999999999998E-2</v>
      </c>
      <c r="BK143" s="542">
        <f t="shared" si="214"/>
        <v>0.10121127187500001</v>
      </c>
      <c r="BL143">
        <f t="shared" si="215"/>
        <v>3.48E-3</v>
      </c>
      <c r="BM143" s="469">
        <f t="shared" si="216"/>
        <v>327.21241271705281</v>
      </c>
      <c r="BN143" s="177">
        <f t="shared" si="217"/>
        <v>0.29700000000000004</v>
      </c>
      <c r="BO143" s="177">
        <f t="shared" si="218"/>
        <v>7.425000000000001E-2</v>
      </c>
      <c r="BP143" s="542"/>
      <c r="BR143" s="469">
        <f t="shared" si="219"/>
        <v>371.25000000000006</v>
      </c>
      <c r="BS143" s="542">
        <f t="shared" si="220"/>
        <v>0</v>
      </c>
      <c r="BT143" s="542">
        <f t="shared" si="221"/>
        <v>0</v>
      </c>
      <c r="BU143" s="542">
        <f t="shared" si="222"/>
        <v>0</v>
      </c>
      <c r="BV143" s="542">
        <f t="shared" si="223"/>
        <v>0</v>
      </c>
      <c r="BW143" s="647">
        <f t="shared" si="259"/>
        <v>0</v>
      </c>
      <c r="BX143" s="469">
        <f t="shared" si="225"/>
        <v>0</v>
      </c>
      <c r="BY143" s="177">
        <f t="shared" si="226"/>
        <v>0.69846241271705289</v>
      </c>
      <c r="BZ143" s="5">
        <f t="shared" si="227"/>
        <v>5.5274999999999999</v>
      </c>
      <c r="CA143" s="177">
        <f t="shared" si="228"/>
        <v>0.88781454714689823</v>
      </c>
      <c r="CB143" s="5">
        <f t="shared" si="229"/>
        <v>88.781454714689829</v>
      </c>
      <c r="CC143">
        <f t="shared" si="230"/>
        <v>33</v>
      </c>
      <c r="CE143" s="576">
        <f t="shared" si="260"/>
        <v>-50</v>
      </c>
      <c r="CF143">
        <f t="shared" si="261"/>
        <v>-50</v>
      </c>
    </row>
    <row r="144" spans="5:84" x14ac:dyDescent="0.25">
      <c r="E144" s="174">
        <v>34</v>
      </c>
      <c r="F144" s="221">
        <f t="shared" si="262"/>
        <v>0.34</v>
      </c>
      <c r="G144" s="221">
        <f t="shared" si="238"/>
        <v>8.5000000000000006E-2</v>
      </c>
      <c r="H144" s="221">
        <f t="shared" si="239"/>
        <v>5.1000000000000005</v>
      </c>
      <c r="I144" s="221">
        <f t="shared" si="240"/>
        <v>0.59500000000000008</v>
      </c>
      <c r="J144" s="555">
        <f t="shared" si="173"/>
        <v>12</v>
      </c>
      <c r="K144" s="451">
        <f t="shared" si="174"/>
        <v>23.85</v>
      </c>
      <c r="L144" s="451">
        <f t="shared" si="175"/>
        <v>35.85</v>
      </c>
      <c r="M144" s="451"/>
      <c r="N144" s="221">
        <f t="shared" si="176"/>
        <v>0.66527196652719667</v>
      </c>
      <c r="O144" s="176">
        <f t="shared" si="241"/>
        <v>13.923050021857241</v>
      </c>
      <c r="P144" s="176">
        <f t="shared" si="242"/>
        <v>1.6243558358833448</v>
      </c>
      <c r="Q144" s="221">
        <f t="shared" si="179"/>
        <v>0.92820333479048278</v>
      </c>
      <c r="R144" s="221">
        <f t="shared" si="243"/>
        <v>1.9890071459796059</v>
      </c>
      <c r="S144" s="221">
        <f t="shared" si="244"/>
        <v>15</v>
      </c>
      <c r="T144" s="221">
        <f t="shared" si="245"/>
        <v>1.501826106145868</v>
      </c>
      <c r="U144" s="221">
        <f t="shared" si="183"/>
        <v>0.87606522858508962</v>
      </c>
      <c r="V144" s="221">
        <f t="shared" si="184"/>
        <v>0.44078753639501361</v>
      </c>
      <c r="W144" s="201">
        <f t="shared" si="185"/>
        <v>350</v>
      </c>
      <c r="X144" s="451">
        <f t="shared" si="186"/>
        <v>350</v>
      </c>
      <c r="Z144" s="221">
        <f t="shared" si="187"/>
        <v>3.2584749380923919</v>
      </c>
      <c r="AA144" s="177">
        <f t="shared" si="188"/>
        <v>0.95636580992229525</v>
      </c>
      <c r="AB144" s="177">
        <f t="shared" si="246"/>
        <v>0.73256165472632317</v>
      </c>
      <c r="AC144" s="177"/>
      <c r="AD144" s="177">
        <f t="shared" si="190"/>
        <v>0.24067085953878403</v>
      </c>
      <c r="AE144" s="559">
        <f t="shared" si="247"/>
        <v>2565.0973060253255</v>
      </c>
      <c r="AF144" s="542">
        <f t="shared" si="248"/>
        <v>4.6392002252886505E-2</v>
      </c>
      <c r="AH144" s="177">
        <f t="shared" si="249"/>
        <v>2.1561492508258175</v>
      </c>
      <c r="AI144" s="177">
        <f t="shared" si="250"/>
        <v>2.1561492508258175</v>
      </c>
      <c r="AJ144" s="177">
        <f t="shared" si="251"/>
        <v>2.1897401857969019</v>
      </c>
      <c r="AL144" s="559">
        <f t="shared" si="252"/>
        <v>340</v>
      </c>
      <c r="AM144" s="469">
        <f t="shared" si="253"/>
        <v>350</v>
      </c>
      <c r="AO144" s="469">
        <f t="shared" si="198"/>
        <v>340</v>
      </c>
      <c r="AP144" s="469">
        <f t="shared" si="199"/>
        <v>350</v>
      </c>
      <c r="AR144" s="5">
        <f t="shared" si="237"/>
        <v>2.8571428571428572</v>
      </c>
      <c r="AS144" s="5">
        <f t="shared" si="234"/>
        <v>1.2577537296483936</v>
      </c>
      <c r="AT144" s="5">
        <f t="shared" si="235"/>
        <v>1.5993891274944636</v>
      </c>
      <c r="AU144" s="177">
        <f t="shared" si="236"/>
        <v>0.44021380537693777</v>
      </c>
      <c r="AW144" s="5">
        <f t="shared" si="254"/>
        <v>17.111543209876547</v>
      </c>
      <c r="AX144" s="5">
        <f t="shared" si="255"/>
        <v>7.7635036195286222</v>
      </c>
      <c r="AY144" s="5">
        <f t="shared" si="256"/>
        <v>1.2123152482368027</v>
      </c>
      <c r="AZ144" s="5">
        <f t="shared" si="257"/>
        <v>0.47795579519845932</v>
      </c>
      <c r="BA144" s="5">
        <f t="shared" si="258"/>
        <v>1.0653241030504059</v>
      </c>
      <c r="BB144" s="5"/>
      <c r="BC144" s="5"/>
      <c r="BD144" s="177">
        <f t="shared" si="208"/>
        <v>0.82594289496755802</v>
      </c>
      <c r="BE144" s="177">
        <f t="shared" si="209"/>
        <v>1.251114308887014</v>
      </c>
      <c r="BF144" s="177">
        <f t="shared" si="210"/>
        <v>0.2937743092386596</v>
      </c>
      <c r="BG144" s="177"/>
      <c r="BH144" s="542">
        <f t="shared" si="211"/>
        <v>7.5039983232212962E-2</v>
      </c>
      <c r="BI144" s="542">
        <f t="shared" si="212"/>
        <v>0.13527141362368475</v>
      </c>
      <c r="BJ144" s="542">
        <f t="shared" si="213"/>
        <v>1.7499999999999998E-2</v>
      </c>
      <c r="BK144" s="542">
        <f t="shared" si="214"/>
        <v>0.10121127187500001</v>
      </c>
      <c r="BL144">
        <f t="shared" si="215"/>
        <v>3.48E-3</v>
      </c>
      <c r="BM144" s="469">
        <f t="shared" si="216"/>
        <v>332.50266873089765</v>
      </c>
      <c r="BN144" s="177">
        <f t="shared" si="217"/>
        <v>0.30600000000000005</v>
      </c>
      <c r="BO144" s="177">
        <f t="shared" si="218"/>
        <v>7.6500000000000012E-2</v>
      </c>
      <c r="BP144" s="542"/>
      <c r="BR144" s="469">
        <f t="shared" si="219"/>
        <v>382.50000000000006</v>
      </c>
      <c r="BS144" s="542">
        <f t="shared" si="220"/>
        <v>0</v>
      </c>
      <c r="BT144" s="542">
        <f t="shared" si="221"/>
        <v>0</v>
      </c>
      <c r="BU144" s="542">
        <f t="shared" si="222"/>
        <v>0</v>
      </c>
      <c r="BV144" s="542">
        <f t="shared" si="223"/>
        <v>0</v>
      </c>
      <c r="BW144" s="647">
        <f t="shared" si="259"/>
        <v>0</v>
      </c>
      <c r="BX144" s="469">
        <f t="shared" si="225"/>
        <v>0</v>
      </c>
      <c r="BY144" s="177">
        <f t="shared" si="226"/>
        <v>0.71500266873089768</v>
      </c>
      <c r="BZ144" s="5">
        <f t="shared" si="227"/>
        <v>5.6950000000000003</v>
      </c>
      <c r="CA144" s="177">
        <f t="shared" si="228"/>
        <v>0.88845516832328253</v>
      </c>
      <c r="CB144" s="5">
        <f t="shared" si="229"/>
        <v>88.845516832328258</v>
      </c>
      <c r="CC144">
        <f t="shared" si="230"/>
        <v>34</v>
      </c>
      <c r="CE144" s="576">
        <f t="shared" si="260"/>
        <v>-50</v>
      </c>
      <c r="CF144">
        <f t="shared" si="261"/>
        <v>-50</v>
      </c>
    </row>
    <row r="145" spans="5:84" x14ac:dyDescent="0.25">
      <c r="E145" s="174">
        <v>35</v>
      </c>
      <c r="F145" s="221">
        <f t="shared" si="262"/>
        <v>0.35</v>
      </c>
      <c r="G145" s="221">
        <f t="shared" si="238"/>
        <v>8.7499999999999994E-2</v>
      </c>
      <c r="H145" s="221">
        <f t="shared" si="239"/>
        <v>5.25</v>
      </c>
      <c r="I145" s="221">
        <f t="shared" si="240"/>
        <v>0.61249999999999993</v>
      </c>
      <c r="J145" s="555">
        <f t="shared" si="173"/>
        <v>12</v>
      </c>
      <c r="K145" s="451">
        <f t="shared" si="174"/>
        <v>23.85</v>
      </c>
      <c r="L145" s="451">
        <f t="shared" si="175"/>
        <v>35.85</v>
      </c>
      <c r="M145" s="451"/>
      <c r="N145" s="221">
        <f t="shared" si="176"/>
        <v>0.66527196652719667</v>
      </c>
      <c r="O145" s="176">
        <f t="shared" si="241"/>
        <v>13.923050021857241</v>
      </c>
      <c r="P145" s="176">
        <f t="shared" si="242"/>
        <v>1.6243558358833448</v>
      </c>
      <c r="Q145" s="221">
        <f t="shared" si="179"/>
        <v>0.92820333479048278</v>
      </c>
      <c r="R145" s="221">
        <f t="shared" si="243"/>
        <v>1.9890071459796059</v>
      </c>
      <c r="S145" s="221">
        <f t="shared" si="244"/>
        <v>15</v>
      </c>
      <c r="T145" s="221">
        <f t="shared" si="245"/>
        <v>1.5459974622089816</v>
      </c>
      <c r="U145" s="221">
        <f t="shared" si="183"/>
        <v>0.90183185295523915</v>
      </c>
      <c r="V145" s="221">
        <f t="shared" si="184"/>
        <v>0.45375187570074926</v>
      </c>
      <c r="W145" s="201">
        <f t="shared" si="185"/>
        <v>350</v>
      </c>
      <c r="X145" s="451">
        <f t="shared" si="186"/>
        <v>350</v>
      </c>
      <c r="Z145" s="221">
        <f t="shared" si="187"/>
        <v>3.2584749380923919</v>
      </c>
      <c r="AA145" s="177">
        <f t="shared" si="188"/>
        <v>0.95636580992229525</v>
      </c>
      <c r="AB145" s="177">
        <f t="shared" si="246"/>
        <v>0.73256165472632317</v>
      </c>
      <c r="AC145" s="177"/>
      <c r="AD145" s="177">
        <f t="shared" si="190"/>
        <v>0.24067085953878403</v>
      </c>
      <c r="AE145" s="559">
        <f t="shared" si="247"/>
        <v>2640.5413444378351</v>
      </c>
      <c r="AF145" s="542">
        <f t="shared" si="248"/>
        <v>4.6392002252886505E-2</v>
      </c>
      <c r="AH145" s="177">
        <f t="shared" si="249"/>
        <v>2.1876275473019362</v>
      </c>
      <c r="AI145" s="177">
        <f t="shared" si="250"/>
        <v>2.1876275473019362</v>
      </c>
      <c r="AJ145" s="177">
        <f t="shared" si="251"/>
        <v>2.2130574424458787</v>
      </c>
      <c r="AL145" s="559">
        <f t="shared" si="252"/>
        <v>350</v>
      </c>
      <c r="AM145" s="469">
        <f t="shared" si="253"/>
        <v>350</v>
      </c>
      <c r="AO145" s="469">
        <f t="shared" si="198"/>
        <v>350</v>
      </c>
      <c r="AP145" s="469">
        <f t="shared" si="199"/>
        <v>350</v>
      </c>
      <c r="AR145" s="5">
        <f t="shared" si="237"/>
        <v>2.8571428571428572</v>
      </c>
      <c r="AS145" s="5">
        <f t="shared" si="234"/>
        <v>1.2761160692594626</v>
      </c>
      <c r="AT145" s="5">
        <f t="shared" si="235"/>
        <v>1.5810267878833946</v>
      </c>
      <c r="AU145" s="177">
        <f t="shared" si="236"/>
        <v>0.44664062424081191</v>
      </c>
      <c r="AW145" s="5">
        <f t="shared" si="254"/>
        <v>17.111543209876547</v>
      </c>
      <c r="AX145" s="5">
        <f t="shared" si="255"/>
        <v>8.1960137836700326</v>
      </c>
      <c r="AY145" s="5">
        <f t="shared" si="256"/>
        <v>1.2123152482368027</v>
      </c>
      <c r="AZ145" s="5">
        <f t="shared" si="257"/>
        <v>0.49876371030978595</v>
      </c>
      <c r="BA145" s="5">
        <f t="shared" si="258"/>
        <v>1.0840666133294037</v>
      </c>
      <c r="BB145" s="5"/>
      <c r="BC145" s="5"/>
      <c r="BD145" s="177">
        <f t="shared" si="208"/>
        <v>0.84409604824917084</v>
      </c>
      <c r="BE145" s="177">
        <f t="shared" si="209"/>
        <v>1.2620719057389949</v>
      </c>
      <c r="BF145" s="177">
        <f t="shared" si="210"/>
        <v>0.29634726394251082</v>
      </c>
      <c r="BG145" s="177"/>
      <c r="BH145" s="542">
        <f t="shared" si="211"/>
        <v>7.837479525368532E-2</v>
      </c>
      <c r="BI145" s="542">
        <f t="shared" si="212"/>
        <v>0.13724628324885521</v>
      </c>
      <c r="BJ145" s="542">
        <f t="shared" si="213"/>
        <v>1.7499999999999998E-2</v>
      </c>
      <c r="BK145" s="542">
        <f t="shared" si="214"/>
        <v>0.10121127187500001</v>
      </c>
      <c r="BL145">
        <f t="shared" si="215"/>
        <v>3.48E-3</v>
      </c>
      <c r="BM145" s="469">
        <f t="shared" si="216"/>
        <v>337.8123503775405</v>
      </c>
      <c r="BN145" s="177">
        <f t="shared" si="217"/>
        <v>0.315</v>
      </c>
      <c r="BO145" s="177">
        <f t="shared" si="218"/>
        <v>7.8750000000000001E-2</v>
      </c>
      <c r="BP145" s="542"/>
      <c r="BR145" s="469">
        <f t="shared" si="219"/>
        <v>393.75</v>
      </c>
      <c r="BS145" s="542">
        <f t="shared" si="220"/>
        <v>0</v>
      </c>
      <c r="BT145" s="542">
        <f t="shared" si="221"/>
        <v>0</v>
      </c>
      <c r="BU145" s="542">
        <f t="shared" si="222"/>
        <v>0</v>
      </c>
      <c r="BV145" s="542">
        <f t="shared" si="223"/>
        <v>0</v>
      </c>
      <c r="BW145" s="647">
        <f t="shared" si="259"/>
        <v>0</v>
      </c>
      <c r="BX145" s="469">
        <f t="shared" si="225"/>
        <v>0</v>
      </c>
      <c r="BY145" s="177">
        <f t="shared" si="226"/>
        <v>0.73156235037754047</v>
      </c>
      <c r="BZ145" s="5">
        <f t="shared" si="227"/>
        <v>5.8624999999999998</v>
      </c>
      <c r="CA145" s="177">
        <f t="shared" si="228"/>
        <v>0.88905741081813472</v>
      </c>
      <c r="CB145" s="5">
        <f t="shared" si="229"/>
        <v>88.905741081813474</v>
      </c>
      <c r="CC145">
        <f t="shared" si="230"/>
        <v>35</v>
      </c>
      <c r="CE145" s="576">
        <f t="shared" si="260"/>
        <v>-50</v>
      </c>
      <c r="CF145">
        <f t="shared" si="261"/>
        <v>-50</v>
      </c>
    </row>
    <row r="146" spans="5:84" x14ac:dyDescent="0.25">
      <c r="E146" s="174">
        <v>36</v>
      </c>
      <c r="F146" s="221">
        <f t="shared" si="262"/>
        <v>0.36</v>
      </c>
      <c r="G146" s="221">
        <f t="shared" si="238"/>
        <v>0.09</v>
      </c>
      <c r="H146" s="221">
        <f t="shared" si="239"/>
        <v>5.3999999999999995</v>
      </c>
      <c r="I146" s="221">
        <f t="shared" si="240"/>
        <v>0.63</v>
      </c>
      <c r="J146" s="555">
        <f t="shared" si="173"/>
        <v>12</v>
      </c>
      <c r="K146" s="451">
        <f t="shared" si="174"/>
        <v>23.85</v>
      </c>
      <c r="L146" s="451">
        <f t="shared" si="175"/>
        <v>35.85</v>
      </c>
      <c r="M146" s="451"/>
      <c r="N146" s="221">
        <f t="shared" si="176"/>
        <v>0.66527196652719667</v>
      </c>
      <c r="O146" s="176">
        <f t="shared" si="241"/>
        <v>13.923050021857241</v>
      </c>
      <c r="P146" s="176">
        <f t="shared" si="242"/>
        <v>1.6243558358833448</v>
      </c>
      <c r="Q146" s="221">
        <f t="shared" si="179"/>
        <v>0.92820333479048278</v>
      </c>
      <c r="R146" s="221">
        <f t="shared" si="243"/>
        <v>1.9890071459796059</v>
      </c>
      <c r="S146" s="221">
        <f t="shared" si="244"/>
        <v>15</v>
      </c>
      <c r="T146" s="221">
        <f t="shared" si="245"/>
        <v>1.5901688182720952</v>
      </c>
      <c r="U146" s="221">
        <f t="shared" si="183"/>
        <v>0.9275984773253888</v>
      </c>
      <c r="V146" s="221">
        <f t="shared" si="184"/>
        <v>0.46671621500648491</v>
      </c>
      <c r="W146" s="201">
        <f t="shared" si="185"/>
        <v>350</v>
      </c>
      <c r="X146" s="451">
        <f t="shared" si="186"/>
        <v>350</v>
      </c>
      <c r="Z146" s="221">
        <f t="shared" si="187"/>
        <v>3.2584749380923919</v>
      </c>
      <c r="AA146" s="177">
        <f t="shared" si="188"/>
        <v>0.95636580992229525</v>
      </c>
      <c r="AB146" s="177">
        <f t="shared" si="246"/>
        <v>0.73256165472632317</v>
      </c>
      <c r="AC146" s="177"/>
      <c r="AD146" s="177">
        <f t="shared" si="190"/>
        <v>0.24067085953878403</v>
      </c>
      <c r="AE146" s="559">
        <f t="shared" si="247"/>
        <v>2715.9853828503451</v>
      </c>
      <c r="AF146" s="542">
        <f t="shared" si="248"/>
        <v>4.6392002252886505E-2</v>
      </c>
      <c r="AH146" s="177">
        <f t="shared" si="249"/>
        <v>2.2186592752362486</v>
      </c>
      <c r="AI146" s="177">
        <f t="shared" si="250"/>
        <v>2.2186592752362486</v>
      </c>
      <c r="AJ146" s="177">
        <f t="shared" si="251"/>
        <v>2.2360439075824066</v>
      </c>
      <c r="AL146" s="559">
        <f t="shared" si="252"/>
        <v>360</v>
      </c>
      <c r="AM146" s="469">
        <f t="shared" si="253"/>
        <v>350</v>
      </c>
      <c r="AO146" s="469">
        <f t="shared" si="198"/>
        <v>360</v>
      </c>
      <c r="AP146" s="469">
        <f t="shared" si="199"/>
        <v>350</v>
      </c>
      <c r="AR146" s="5">
        <f t="shared" si="237"/>
        <v>2.8571428571428572</v>
      </c>
      <c r="AS146" s="5">
        <f t="shared" si="234"/>
        <v>1.2942179105544784</v>
      </c>
      <c r="AT146" s="5">
        <f t="shared" si="235"/>
        <v>1.5629249465883788</v>
      </c>
      <c r="AU146" s="177">
        <f t="shared" si="236"/>
        <v>0.45297626869406743</v>
      </c>
      <c r="AW146" s="5">
        <f t="shared" si="254"/>
        <v>17.111543209876547</v>
      </c>
      <c r="AX146" s="5">
        <f t="shared" si="255"/>
        <v>8.6401909090909115</v>
      </c>
      <c r="AY146" s="5">
        <f t="shared" si="256"/>
        <v>1.2123152482368027</v>
      </c>
      <c r="AZ146" s="5">
        <f t="shared" si="257"/>
        <v>0.51995736209100629</v>
      </c>
      <c r="BA146" s="5">
        <f t="shared" si="258"/>
        <v>1.1022733833833829</v>
      </c>
      <c r="BB146" s="5"/>
      <c r="BC146" s="5"/>
      <c r="BD146" s="177">
        <f t="shared" si="208"/>
        <v>0.86211997842767985</v>
      </c>
      <c r="BE146" s="177">
        <f t="shared" si="209"/>
        <v>1.2726259506720705</v>
      </c>
      <c r="BF146" s="177">
        <f t="shared" si="210"/>
        <v>0.2988254605692014</v>
      </c>
      <c r="BG146" s="177"/>
      <c r="BH146" s="542">
        <f t="shared" si="211"/>
        <v>8.1757594292455757E-2</v>
      </c>
      <c r="BI146" s="542">
        <f t="shared" si="212"/>
        <v>0.13919313628013416</v>
      </c>
      <c r="BJ146" s="542">
        <f t="shared" si="213"/>
        <v>1.7499999999999998E-2</v>
      </c>
      <c r="BK146" s="542">
        <f t="shared" si="214"/>
        <v>0.10121127187500001</v>
      </c>
      <c r="BL146">
        <f t="shared" si="215"/>
        <v>3.48E-3</v>
      </c>
      <c r="BM146" s="469">
        <f t="shared" si="216"/>
        <v>343.1420024475899</v>
      </c>
      <c r="BN146" s="177">
        <f t="shared" si="217"/>
        <v>0.32400000000000001</v>
      </c>
      <c r="BO146" s="177">
        <f t="shared" si="218"/>
        <v>8.1000000000000003E-2</v>
      </c>
      <c r="BP146" s="542"/>
      <c r="BR146" s="469">
        <f t="shared" si="219"/>
        <v>405</v>
      </c>
      <c r="BS146" s="542">
        <f t="shared" si="220"/>
        <v>0</v>
      </c>
      <c r="BT146" s="542">
        <f t="shared" si="221"/>
        <v>0</v>
      </c>
      <c r="BU146" s="542">
        <f t="shared" si="222"/>
        <v>0</v>
      </c>
      <c r="BV146" s="542">
        <f t="shared" si="223"/>
        <v>0</v>
      </c>
      <c r="BW146" s="647">
        <f t="shared" si="259"/>
        <v>0</v>
      </c>
      <c r="BX146" s="469">
        <f t="shared" si="225"/>
        <v>0</v>
      </c>
      <c r="BY146" s="177">
        <f t="shared" si="226"/>
        <v>0.74814200244758988</v>
      </c>
      <c r="BZ146" s="5">
        <f t="shared" si="227"/>
        <v>6.0299999999999994</v>
      </c>
      <c r="CA146" s="177">
        <f t="shared" si="228"/>
        <v>0.88962432445684436</v>
      </c>
      <c r="CB146" s="5">
        <f t="shared" si="229"/>
        <v>88.962432445684442</v>
      </c>
      <c r="CC146">
        <f t="shared" si="230"/>
        <v>36</v>
      </c>
      <c r="CE146" s="576">
        <f t="shared" si="260"/>
        <v>-50</v>
      </c>
      <c r="CF146">
        <f t="shared" si="261"/>
        <v>-50</v>
      </c>
    </row>
    <row r="147" spans="5:84" x14ac:dyDescent="0.25">
      <c r="E147" s="174">
        <v>37</v>
      </c>
      <c r="F147" s="221">
        <f t="shared" si="262"/>
        <v>0.37</v>
      </c>
      <c r="G147" s="221">
        <f t="shared" si="238"/>
        <v>9.2499999999999999E-2</v>
      </c>
      <c r="H147" s="221">
        <f t="shared" si="239"/>
        <v>5.55</v>
      </c>
      <c r="I147" s="221">
        <f t="shared" si="240"/>
        <v>0.64749999999999996</v>
      </c>
      <c r="J147" s="555">
        <f t="shared" si="173"/>
        <v>12</v>
      </c>
      <c r="K147" s="451">
        <f t="shared" si="174"/>
        <v>23.85</v>
      </c>
      <c r="L147" s="451">
        <f t="shared" si="175"/>
        <v>35.85</v>
      </c>
      <c r="M147" s="451"/>
      <c r="N147" s="221">
        <f t="shared" si="176"/>
        <v>0.66527196652719667</v>
      </c>
      <c r="O147" s="176">
        <f t="shared" si="241"/>
        <v>13.923050021857241</v>
      </c>
      <c r="P147" s="176">
        <f t="shared" si="242"/>
        <v>1.6243558358833448</v>
      </c>
      <c r="Q147" s="221">
        <f t="shared" si="179"/>
        <v>0.92820333479048278</v>
      </c>
      <c r="R147" s="221">
        <f t="shared" si="243"/>
        <v>1.9890071459796059</v>
      </c>
      <c r="S147" s="221">
        <f t="shared" si="244"/>
        <v>15</v>
      </c>
      <c r="T147" s="221">
        <f t="shared" si="245"/>
        <v>1.6343401743352093</v>
      </c>
      <c r="U147" s="221">
        <f t="shared" si="183"/>
        <v>0.95336510169553867</v>
      </c>
      <c r="V147" s="221">
        <f t="shared" si="184"/>
        <v>0.47968055431222067</v>
      </c>
      <c r="W147" s="201">
        <f t="shared" si="185"/>
        <v>350</v>
      </c>
      <c r="X147" s="451">
        <f t="shared" si="186"/>
        <v>350</v>
      </c>
      <c r="Z147" s="221">
        <f t="shared" si="187"/>
        <v>3.2584749380923919</v>
      </c>
      <c r="AA147" s="177">
        <f t="shared" si="188"/>
        <v>0.95636580992229525</v>
      </c>
      <c r="AB147" s="177">
        <f t="shared" si="246"/>
        <v>0.73256165472632317</v>
      </c>
      <c r="AC147" s="177"/>
      <c r="AD147" s="177">
        <f t="shared" si="190"/>
        <v>0.24067085953878403</v>
      </c>
      <c r="AE147" s="559">
        <f t="shared" si="247"/>
        <v>2791.4294212628542</v>
      </c>
      <c r="AF147" s="542">
        <f t="shared" si="248"/>
        <v>4.6392002252886505E-2</v>
      </c>
      <c r="AH147" s="177">
        <f t="shared" si="249"/>
        <v>2.2492629178176098</v>
      </c>
      <c r="AI147" s="177">
        <f t="shared" si="250"/>
        <v>2.2492629178176098</v>
      </c>
      <c r="AJ147" s="177">
        <f t="shared" si="251"/>
        <v>2.2587132724574888</v>
      </c>
      <c r="AL147" s="559">
        <f t="shared" si="252"/>
        <v>370</v>
      </c>
      <c r="AM147" s="469">
        <f t="shared" si="253"/>
        <v>350</v>
      </c>
      <c r="AO147" s="469">
        <f t="shared" si="198"/>
        <v>370</v>
      </c>
      <c r="AP147" s="469">
        <f t="shared" si="199"/>
        <v>350</v>
      </c>
      <c r="AR147" s="5">
        <f t="shared" si="237"/>
        <v>2.8571428571428572</v>
      </c>
      <c r="AS147" s="5">
        <f t="shared" si="234"/>
        <v>1.3120700353936054</v>
      </c>
      <c r="AT147" s="5">
        <f t="shared" si="235"/>
        <v>1.5450728217492518</v>
      </c>
      <c r="AU147" s="177">
        <f t="shared" si="236"/>
        <v>0.45922451238776191</v>
      </c>
      <c r="AW147" s="5">
        <f t="shared" si="254"/>
        <v>17.111543209876547</v>
      </c>
      <c r="AX147" s="5">
        <f t="shared" si="255"/>
        <v>9.0960349957912481</v>
      </c>
      <c r="AY147" s="5">
        <f t="shared" si="256"/>
        <v>1.2123152482368027</v>
      </c>
      <c r="AZ147" s="5">
        <f t="shared" si="257"/>
        <v>0.54153675054212003</v>
      </c>
      <c r="BA147" s="5">
        <f t="shared" si="258"/>
        <v>1.1199519079287705</v>
      </c>
      <c r="BB147" s="5"/>
      <c r="BC147" s="5"/>
      <c r="BD147" s="177">
        <f t="shared" si="208"/>
        <v>0.88001915803560882</v>
      </c>
      <c r="BE147" s="177">
        <f t="shared" si="209"/>
        <v>1.2827906965433069</v>
      </c>
      <c r="BF147" s="177">
        <f t="shared" si="210"/>
        <v>0.3012122458339031</v>
      </c>
      <c r="BG147" s="177"/>
      <c r="BH147" s="542">
        <f t="shared" si="211"/>
        <v>8.5187709036067205E-2</v>
      </c>
      <c r="BI147" s="542">
        <f t="shared" si="212"/>
        <v>0.14111313230658229</v>
      </c>
      <c r="BJ147" s="542">
        <f t="shared" si="213"/>
        <v>1.7499999999999998E-2</v>
      </c>
      <c r="BK147" s="542">
        <f t="shared" si="214"/>
        <v>0.10121127187500001</v>
      </c>
      <c r="BL147">
        <f t="shared" si="215"/>
        <v>3.48E-3</v>
      </c>
      <c r="BM147" s="469">
        <f t="shared" si="216"/>
        <v>348.49211321764943</v>
      </c>
      <c r="BN147" s="177">
        <f t="shared" si="217"/>
        <v>0.33300000000000002</v>
      </c>
      <c r="BO147" s="177">
        <f t="shared" si="218"/>
        <v>8.3250000000000005E-2</v>
      </c>
      <c r="BP147" s="542"/>
      <c r="BR147" s="469">
        <f t="shared" si="219"/>
        <v>416.25</v>
      </c>
      <c r="BS147" s="542">
        <f t="shared" si="220"/>
        <v>0</v>
      </c>
      <c r="BT147" s="542">
        <f t="shared" si="221"/>
        <v>0</v>
      </c>
      <c r="BU147" s="542">
        <f t="shared" si="222"/>
        <v>0</v>
      </c>
      <c r="BV147" s="542">
        <f t="shared" si="223"/>
        <v>0</v>
      </c>
      <c r="BW147" s="647">
        <f t="shared" si="259"/>
        <v>0</v>
      </c>
      <c r="BX147" s="469">
        <f t="shared" si="225"/>
        <v>0</v>
      </c>
      <c r="BY147" s="177">
        <f t="shared" si="226"/>
        <v>0.76474211321764951</v>
      </c>
      <c r="BZ147" s="5">
        <f t="shared" si="227"/>
        <v>6.1974999999999998</v>
      </c>
      <c r="CA147" s="177">
        <f t="shared" si="228"/>
        <v>0.89015864418650348</v>
      </c>
      <c r="CB147" s="5">
        <f t="shared" si="229"/>
        <v>89.015864418650352</v>
      </c>
      <c r="CC147">
        <f t="shared" si="230"/>
        <v>37</v>
      </c>
      <c r="CE147" s="576">
        <f t="shared" si="260"/>
        <v>-50</v>
      </c>
      <c r="CF147">
        <f t="shared" si="261"/>
        <v>-50</v>
      </c>
    </row>
    <row r="148" spans="5:84" x14ac:dyDescent="0.25">
      <c r="E148" s="174">
        <v>38</v>
      </c>
      <c r="F148" s="221">
        <f t="shared" si="262"/>
        <v>0.38</v>
      </c>
      <c r="G148" s="221">
        <f t="shared" si="238"/>
        <v>9.5000000000000001E-2</v>
      </c>
      <c r="H148" s="221">
        <f t="shared" si="239"/>
        <v>5.7</v>
      </c>
      <c r="I148" s="221">
        <f t="shared" si="240"/>
        <v>0.66500000000000004</v>
      </c>
      <c r="J148" s="555">
        <f t="shared" si="173"/>
        <v>12</v>
      </c>
      <c r="K148" s="451">
        <f t="shared" si="174"/>
        <v>23.85</v>
      </c>
      <c r="L148" s="451">
        <f t="shared" si="175"/>
        <v>35.85</v>
      </c>
      <c r="M148" s="451"/>
      <c r="N148" s="221">
        <f t="shared" si="176"/>
        <v>0.66527196652719667</v>
      </c>
      <c r="O148" s="176">
        <f t="shared" si="241"/>
        <v>13.923050021857241</v>
      </c>
      <c r="P148" s="176">
        <f t="shared" si="242"/>
        <v>1.6243558358833448</v>
      </c>
      <c r="Q148" s="221">
        <f t="shared" si="179"/>
        <v>0.92820333479048278</v>
      </c>
      <c r="R148" s="221">
        <f t="shared" si="243"/>
        <v>1.9890071459796059</v>
      </c>
      <c r="S148" s="221">
        <f t="shared" si="244"/>
        <v>15</v>
      </c>
      <c r="T148" s="221">
        <f t="shared" si="245"/>
        <v>1.6785115303983231</v>
      </c>
      <c r="U148" s="221">
        <f t="shared" si="183"/>
        <v>0.97913172606568843</v>
      </c>
      <c r="V148" s="221">
        <f t="shared" si="184"/>
        <v>0.49264489361795644</v>
      </c>
      <c r="W148" s="201">
        <f t="shared" si="185"/>
        <v>350</v>
      </c>
      <c r="X148" s="451">
        <f t="shared" si="186"/>
        <v>350</v>
      </c>
      <c r="Z148" s="221">
        <f t="shared" si="187"/>
        <v>3.2584749380923919</v>
      </c>
      <c r="AA148" s="177">
        <f t="shared" si="188"/>
        <v>0.95636580992229525</v>
      </c>
      <c r="AB148" s="177">
        <f t="shared" si="246"/>
        <v>0.73256165472632317</v>
      </c>
      <c r="AC148" s="177"/>
      <c r="AD148" s="177">
        <f t="shared" si="190"/>
        <v>0.24067085953878403</v>
      </c>
      <c r="AE148" s="559">
        <f t="shared" si="247"/>
        <v>2866.8734596753643</v>
      </c>
      <c r="AF148" s="542">
        <f t="shared" si="248"/>
        <v>4.6392002252886505E-2</v>
      </c>
      <c r="AH148" s="177">
        <f t="shared" si="249"/>
        <v>2.2794557173472221</v>
      </c>
      <c r="AI148" s="177">
        <f t="shared" si="250"/>
        <v>2.2794557173472221</v>
      </c>
      <c r="AJ148" s="177">
        <f t="shared" si="251"/>
        <v>2.2810783091460904</v>
      </c>
      <c r="AL148" s="559">
        <f t="shared" si="252"/>
        <v>380</v>
      </c>
      <c r="AM148" s="469">
        <f t="shared" si="253"/>
        <v>350</v>
      </c>
      <c r="AO148" s="469">
        <f t="shared" si="198"/>
        <v>380</v>
      </c>
      <c r="AP148" s="469">
        <f t="shared" si="199"/>
        <v>350</v>
      </c>
      <c r="AR148" s="5">
        <f t="shared" si="237"/>
        <v>2.8571428571428572</v>
      </c>
      <c r="AS148" s="5">
        <f t="shared" si="234"/>
        <v>1.3296825017858795</v>
      </c>
      <c r="AT148" s="5">
        <f t="shared" si="235"/>
        <v>1.5274603553569777</v>
      </c>
      <c r="AU148" s="177">
        <f t="shared" si="236"/>
        <v>0.46538887562505782</v>
      </c>
      <c r="AW148" s="5">
        <f t="shared" si="254"/>
        <v>17.111543209876547</v>
      </c>
      <c r="AX148" s="5">
        <f t="shared" si="255"/>
        <v>9.563546043771046</v>
      </c>
      <c r="AY148" s="5">
        <f t="shared" si="256"/>
        <v>1.2123152482368027</v>
      </c>
      <c r="AZ148" s="5">
        <f t="shared" si="257"/>
        <v>0.56350187566312737</v>
      </c>
      <c r="BA148" s="5">
        <f t="shared" si="258"/>
        <v>1.1371093756546389</v>
      </c>
      <c r="BB148" s="5"/>
      <c r="BC148" s="5"/>
      <c r="BD148" s="177">
        <f t="shared" si="208"/>
        <v>0.8977977884466668</v>
      </c>
      <c r="BE148" s="177">
        <f t="shared" si="209"/>
        <v>1.2925794134525352</v>
      </c>
      <c r="BF148" s="177">
        <f t="shared" si="210"/>
        <v>0.30351073569043707</v>
      </c>
      <c r="BG148" s="177"/>
      <c r="BH148" s="542">
        <f t="shared" si="211"/>
        <v>8.8664495583369848E-2</v>
      </c>
      <c r="BI148" s="542">
        <f t="shared" si="212"/>
        <v>0.14300735306707135</v>
      </c>
      <c r="BJ148" s="542">
        <f t="shared" si="213"/>
        <v>1.7499999999999998E-2</v>
      </c>
      <c r="BK148" s="542">
        <f t="shared" si="214"/>
        <v>0.10121127187500001</v>
      </c>
      <c r="BL148">
        <f t="shared" si="215"/>
        <v>3.48E-3</v>
      </c>
      <c r="BM148" s="469">
        <f t="shared" si="216"/>
        <v>353.86312052544116</v>
      </c>
      <c r="BN148" s="177">
        <f t="shared" si="217"/>
        <v>0.34200000000000003</v>
      </c>
      <c r="BO148" s="177">
        <f t="shared" si="218"/>
        <v>8.5500000000000007E-2</v>
      </c>
      <c r="BP148" s="542"/>
      <c r="BR148" s="469">
        <f t="shared" si="219"/>
        <v>427.50000000000006</v>
      </c>
      <c r="BS148" s="542">
        <f t="shared" si="220"/>
        <v>0</v>
      </c>
      <c r="BT148" s="542">
        <f t="shared" si="221"/>
        <v>0</v>
      </c>
      <c r="BU148" s="542">
        <f t="shared" si="222"/>
        <v>0</v>
      </c>
      <c r="BV148" s="542">
        <f t="shared" si="223"/>
        <v>0</v>
      </c>
      <c r="BW148" s="647">
        <f t="shared" si="259"/>
        <v>0</v>
      </c>
      <c r="BX148" s="469">
        <f t="shared" si="225"/>
        <v>0</v>
      </c>
      <c r="BY148" s="177">
        <f t="shared" si="226"/>
        <v>0.78136312052544121</v>
      </c>
      <c r="BZ148" s="5">
        <f t="shared" si="227"/>
        <v>6.3650000000000002</v>
      </c>
      <c r="CA148" s="177">
        <f t="shared" si="228"/>
        <v>0.89066282984120304</v>
      </c>
      <c r="CB148" s="5">
        <f t="shared" si="229"/>
        <v>89.066282984120306</v>
      </c>
      <c r="CC148">
        <f t="shared" si="230"/>
        <v>38</v>
      </c>
      <c r="CE148" s="576">
        <f t="shared" si="260"/>
        <v>-50</v>
      </c>
      <c r="CF148">
        <f t="shared" si="261"/>
        <v>-50</v>
      </c>
    </row>
    <row r="149" spans="5:84" x14ac:dyDescent="0.25">
      <c r="E149" s="174">
        <v>39</v>
      </c>
      <c r="F149" s="221">
        <f t="shared" si="262"/>
        <v>0.39</v>
      </c>
      <c r="G149" s="221">
        <f t="shared" si="238"/>
        <v>9.7500000000000003E-2</v>
      </c>
      <c r="H149" s="221">
        <f t="shared" si="239"/>
        <v>5.8500000000000005</v>
      </c>
      <c r="I149" s="221">
        <f t="shared" si="240"/>
        <v>0.6825</v>
      </c>
      <c r="J149" s="555">
        <f t="shared" si="173"/>
        <v>12</v>
      </c>
      <c r="K149" s="451">
        <f t="shared" si="174"/>
        <v>23.85</v>
      </c>
      <c r="L149" s="451">
        <f t="shared" si="175"/>
        <v>35.85</v>
      </c>
      <c r="M149" s="451"/>
      <c r="N149" s="221">
        <f t="shared" si="176"/>
        <v>0.66527196652719667</v>
      </c>
      <c r="O149" s="176">
        <f t="shared" si="241"/>
        <v>13.923050021857241</v>
      </c>
      <c r="P149" s="176">
        <f t="shared" si="242"/>
        <v>1.6243558358833448</v>
      </c>
      <c r="Q149" s="221">
        <f t="shared" si="179"/>
        <v>0.92820333479048278</v>
      </c>
      <c r="R149" s="221">
        <f t="shared" si="243"/>
        <v>1.9890071459796059</v>
      </c>
      <c r="S149" s="221">
        <f t="shared" si="244"/>
        <v>15</v>
      </c>
      <c r="T149" s="221">
        <f t="shared" si="245"/>
        <v>1.722682886461437</v>
      </c>
      <c r="U149" s="221">
        <f t="shared" si="183"/>
        <v>1.0048983504358382</v>
      </c>
      <c r="V149" s="221">
        <f t="shared" si="184"/>
        <v>0.50560923292369209</v>
      </c>
      <c r="W149" s="201">
        <f t="shared" si="185"/>
        <v>350</v>
      </c>
      <c r="X149" s="451">
        <f t="shared" si="186"/>
        <v>350</v>
      </c>
      <c r="Z149" s="221">
        <f t="shared" si="187"/>
        <v>3.2584749380923919</v>
      </c>
      <c r="AA149" s="177">
        <f t="shared" si="188"/>
        <v>0.95636580992229525</v>
      </c>
      <c r="AB149" s="177">
        <f t="shared" si="246"/>
        <v>0.73256165472632317</v>
      </c>
      <c r="AC149" s="177"/>
      <c r="AD149" s="177">
        <f t="shared" si="190"/>
        <v>0.24067085953878403</v>
      </c>
      <c r="AE149" s="559">
        <f t="shared" si="247"/>
        <v>2942.3174980878739</v>
      </c>
      <c r="AF149" s="542">
        <f t="shared" si="248"/>
        <v>4.6392002252886505E-2</v>
      </c>
      <c r="AH149" s="177">
        <f t="shared" si="249"/>
        <v>2.3092537888297358</v>
      </c>
      <c r="AI149" s="177">
        <f t="shared" si="250"/>
        <v>2.3092537888297358</v>
      </c>
      <c r="AJ149" s="177">
        <f t="shared" si="251"/>
        <v>2.303150954688693</v>
      </c>
      <c r="AL149" s="559">
        <f t="shared" si="252"/>
        <v>390</v>
      </c>
      <c r="AM149" s="469">
        <f t="shared" si="253"/>
        <v>350</v>
      </c>
      <c r="AO149" s="469">
        <f t="shared" si="198"/>
        <v>390</v>
      </c>
      <c r="AP149" s="469">
        <f t="shared" si="199"/>
        <v>350</v>
      </c>
      <c r="AR149" s="5">
        <f t="shared" si="237"/>
        <v>2.8571428571428572</v>
      </c>
      <c r="AS149" s="5">
        <f t="shared" si="234"/>
        <v>1.3470647101506792</v>
      </c>
      <c r="AT149" s="5">
        <f t="shared" si="235"/>
        <v>1.510078146992178</v>
      </c>
      <c r="AU149" s="177">
        <f t="shared" si="236"/>
        <v>0.47147264855273768</v>
      </c>
      <c r="AW149" s="5">
        <f t="shared" si="254"/>
        <v>17.111543209876547</v>
      </c>
      <c r="AX149" s="5">
        <f t="shared" si="255"/>
        <v>10.042724053030307</v>
      </c>
      <c r="AY149" s="5">
        <f t="shared" si="256"/>
        <v>1.2123152482368027</v>
      </c>
      <c r="AZ149" s="5">
        <f t="shared" si="257"/>
        <v>0.58585273745402811</v>
      </c>
      <c r="BA149" s="5">
        <f t="shared" si="258"/>
        <v>1.1537526895001644</v>
      </c>
      <c r="BB149" s="5"/>
      <c r="BC149" s="5"/>
      <c r="BD149" s="177">
        <f t="shared" si="208"/>
        <v>0.91545982300123818</v>
      </c>
      <c r="BE149" s="177">
        <f t="shared" si="209"/>
        <v>1.3020044775971844</v>
      </c>
      <c r="BF149" s="177">
        <f t="shared" si="210"/>
        <v>0.30572383619528826</v>
      </c>
      <c r="BG149" s="177"/>
      <c r="BH149" s="542">
        <f t="shared" si="211"/>
        <v>9.2187335628240413E-2</v>
      </c>
      <c r="BI149" s="542">
        <f t="shared" si="212"/>
        <v>0.14487680957670554</v>
      </c>
      <c r="BJ149" s="542">
        <f t="shared" si="213"/>
        <v>1.7499999999999998E-2</v>
      </c>
      <c r="BK149" s="542">
        <f t="shared" si="214"/>
        <v>0.10121127187500001</v>
      </c>
      <c r="BL149">
        <f t="shared" si="215"/>
        <v>3.48E-3</v>
      </c>
      <c r="BM149" s="469">
        <f t="shared" si="216"/>
        <v>359.25541707994597</v>
      </c>
      <c r="BN149" s="177">
        <f t="shared" si="217"/>
        <v>0.35100000000000003</v>
      </c>
      <c r="BO149" s="177">
        <f t="shared" si="218"/>
        <v>8.7750000000000009E-2</v>
      </c>
      <c r="BP149" s="542"/>
      <c r="BR149" s="469">
        <f t="shared" si="219"/>
        <v>438.75000000000006</v>
      </c>
      <c r="BS149" s="542">
        <f t="shared" si="220"/>
        <v>0</v>
      </c>
      <c r="BT149" s="542">
        <f t="shared" si="221"/>
        <v>0</v>
      </c>
      <c r="BU149" s="542">
        <f t="shared" si="222"/>
        <v>0</v>
      </c>
      <c r="BV149" s="542">
        <f t="shared" si="223"/>
        <v>0</v>
      </c>
      <c r="BW149" s="647">
        <f t="shared" si="259"/>
        <v>0</v>
      </c>
      <c r="BX149" s="469">
        <f t="shared" si="225"/>
        <v>0</v>
      </c>
      <c r="BY149" s="177">
        <f t="shared" si="226"/>
        <v>0.79800541707994599</v>
      </c>
      <c r="BZ149" s="5">
        <f t="shared" si="227"/>
        <v>6.5325000000000006</v>
      </c>
      <c r="CA149" s="177">
        <f t="shared" si="228"/>
        <v>0.89113910001067498</v>
      </c>
      <c r="CB149" s="5">
        <f t="shared" si="229"/>
        <v>89.113910001067495</v>
      </c>
      <c r="CC149">
        <f t="shared" si="230"/>
        <v>39</v>
      </c>
      <c r="CE149" s="576">
        <f t="shared" si="260"/>
        <v>-50</v>
      </c>
      <c r="CF149">
        <f t="shared" si="261"/>
        <v>-50</v>
      </c>
    </row>
    <row r="150" spans="5:84" x14ac:dyDescent="0.25">
      <c r="E150" s="174">
        <v>40</v>
      </c>
      <c r="F150" s="221">
        <f t="shared" si="262"/>
        <v>0.4</v>
      </c>
      <c r="G150" s="221">
        <f t="shared" si="238"/>
        <v>0.1</v>
      </c>
      <c r="H150" s="221">
        <f t="shared" si="239"/>
        <v>6</v>
      </c>
      <c r="I150" s="221">
        <f t="shared" si="240"/>
        <v>0.70000000000000007</v>
      </c>
      <c r="J150" s="555">
        <f t="shared" si="173"/>
        <v>12</v>
      </c>
      <c r="K150" s="451">
        <f t="shared" si="174"/>
        <v>23.85</v>
      </c>
      <c r="L150" s="451">
        <f t="shared" si="175"/>
        <v>35.85</v>
      </c>
      <c r="M150" s="451"/>
      <c r="N150" s="221">
        <f t="shared" si="176"/>
        <v>0.66527196652719667</v>
      </c>
      <c r="O150" s="176">
        <f t="shared" si="241"/>
        <v>13.923050021857241</v>
      </c>
      <c r="P150" s="176">
        <f t="shared" si="242"/>
        <v>1.6243558358833448</v>
      </c>
      <c r="Q150" s="221">
        <f t="shared" si="179"/>
        <v>0.92820333479048278</v>
      </c>
      <c r="R150" s="221">
        <f t="shared" si="243"/>
        <v>1.9890071459796059</v>
      </c>
      <c r="S150" s="221">
        <f t="shared" si="244"/>
        <v>15</v>
      </c>
      <c r="T150" s="221">
        <f t="shared" si="245"/>
        <v>1.7668542425245506</v>
      </c>
      <c r="U150" s="221">
        <f t="shared" si="183"/>
        <v>1.0306649748059877</v>
      </c>
      <c r="V150" s="221">
        <f t="shared" si="184"/>
        <v>0.51857357222942779</v>
      </c>
      <c r="W150" s="201">
        <f t="shared" si="185"/>
        <v>350</v>
      </c>
      <c r="X150" s="451">
        <f t="shared" si="186"/>
        <v>350</v>
      </c>
      <c r="Z150" s="221">
        <f t="shared" si="187"/>
        <v>3.2584749380923919</v>
      </c>
      <c r="AA150" s="177">
        <f t="shared" si="188"/>
        <v>0.95636580992229525</v>
      </c>
      <c r="AB150" s="177">
        <f t="shared" si="246"/>
        <v>0.73256165472632317</v>
      </c>
      <c r="AC150" s="177"/>
      <c r="AD150" s="177">
        <f t="shared" si="190"/>
        <v>0.24067085953878403</v>
      </c>
      <c r="AE150" s="559">
        <f t="shared" si="247"/>
        <v>3017.7615365003835</v>
      </c>
      <c r="AF150" s="542">
        <f t="shared" si="248"/>
        <v>4.6392002252886505E-2</v>
      </c>
      <c r="AH150" s="177">
        <f t="shared" si="249"/>
        <v>2.3386722205349857</v>
      </c>
      <c r="AI150" s="177">
        <f t="shared" si="250"/>
        <v>2.3386722205349857</v>
      </c>
      <c r="AJ150" s="177">
        <f t="shared" si="251"/>
        <v>2.3249423855814708</v>
      </c>
      <c r="AL150" s="559">
        <f t="shared" si="252"/>
        <v>400</v>
      </c>
      <c r="AM150" s="469">
        <f t="shared" si="253"/>
        <v>350</v>
      </c>
      <c r="AO150" s="469">
        <f t="shared" si="198"/>
        <v>400</v>
      </c>
      <c r="AP150" s="469">
        <f t="shared" si="199"/>
        <v>350</v>
      </c>
      <c r="AR150" s="5">
        <f t="shared" si="237"/>
        <v>2.8571428571428572</v>
      </c>
      <c r="AS150" s="5">
        <f t="shared" si="234"/>
        <v>1.3642254619787417</v>
      </c>
      <c r="AT150" s="5">
        <f t="shared" si="235"/>
        <v>1.4929173951641155</v>
      </c>
      <c r="AU150" s="177">
        <f t="shared" si="236"/>
        <v>0.47747891169255957</v>
      </c>
      <c r="AW150" s="5">
        <f t="shared" si="254"/>
        <v>17.111543209876547</v>
      </c>
      <c r="AX150" s="5">
        <f t="shared" si="255"/>
        <v>10.533569023569029</v>
      </c>
      <c r="AY150" s="5">
        <f t="shared" si="256"/>
        <v>1.2123152482368027</v>
      </c>
      <c r="AZ150" s="5">
        <f t="shared" si="257"/>
        <v>0.60858933591482267</v>
      </c>
      <c r="BA150" s="5">
        <f t="shared" si="258"/>
        <v>1.1698884850993654</v>
      </c>
      <c r="BB150" s="5"/>
      <c r="BC150" s="5"/>
      <c r="BD150" s="177">
        <f t="shared" si="208"/>
        <v>0.93300898761850692</v>
      </c>
      <c r="BE150" s="177">
        <f t="shared" si="209"/>
        <v>1.3110774499318785</v>
      </c>
      <c r="BF150" s="177">
        <f t="shared" si="210"/>
        <v>0.30785426197767524</v>
      </c>
      <c r="BG150" s="177"/>
      <c r="BH150" s="542">
        <f t="shared" si="211"/>
        <v>9.575563480746023E-2</v>
      </c>
      <c r="BI150" s="542">
        <f t="shared" si="212"/>
        <v>0.14672244843581367</v>
      </c>
      <c r="BJ150" s="542">
        <f t="shared" si="213"/>
        <v>1.7499999999999998E-2</v>
      </c>
      <c r="BK150" s="542">
        <f t="shared" si="214"/>
        <v>0.10121127187500001</v>
      </c>
      <c r="BL150">
        <f t="shared" si="215"/>
        <v>3.48E-3</v>
      </c>
      <c r="BM150" s="469">
        <f t="shared" si="216"/>
        <v>364.66935511827393</v>
      </c>
      <c r="BN150" s="177">
        <f t="shared" si="217"/>
        <v>0.36000000000000004</v>
      </c>
      <c r="BO150" s="177">
        <f t="shared" si="218"/>
        <v>9.0000000000000011E-2</v>
      </c>
      <c r="BP150" s="542"/>
      <c r="BR150" s="469">
        <f t="shared" si="219"/>
        <v>450.00000000000006</v>
      </c>
      <c r="BS150" s="542">
        <f t="shared" si="220"/>
        <v>0</v>
      </c>
      <c r="BT150" s="542">
        <f t="shared" si="221"/>
        <v>0</v>
      </c>
      <c r="BU150" s="542">
        <f t="shared" si="222"/>
        <v>0</v>
      </c>
      <c r="BV150" s="542">
        <f t="shared" si="223"/>
        <v>0</v>
      </c>
      <c r="BW150" s="647">
        <f t="shared" si="259"/>
        <v>0</v>
      </c>
      <c r="BX150" s="469">
        <f t="shared" si="225"/>
        <v>0</v>
      </c>
      <c r="BY150" s="177">
        <f t="shared" si="226"/>
        <v>0.81466935511827387</v>
      </c>
      <c r="BZ150" s="5">
        <f t="shared" si="227"/>
        <v>6.7</v>
      </c>
      <c r="CA150" s="177">
        <f t="shared" si="228"/>
        <v>0.89158946101023073</v>
      </c>
      <c r="CB150" s="5">
        <f t="shared" si="229"/>
        <v>89.158946101023076</v>
      </c>
      <c r="CC150">
        <f t="shared" si="230"/>
        <v>40</v>
      </c>
      <c r="CE150" s="576">
        <f t="shared" si="260"/>
        <v>-50</v>
      </c>
      <c r="CF150">
        <f t="shared" si="261"/>
        <v>-50</v>
      </c>
    </row>
    <row r="151" spans="5:84" x14ac:dyDescent="0.25">
      <c r="E151" s="174">
        <v>41</v>
      </c>
      <c r="F151" s="221">
        <f t="shared" si="262"/>
        <v>0.41</v>
      </c>
      <c r="G151" s="221">
        <f t="shared" si="238"/>
        <v>0.10249999999999999</v>
      </c>
      <c r="H151" s="221">
        <f t="shared" si="239"/>
        <v>6.1499999999999995</v>
      </c>
      <c r="I151" s="221">
        <f t="shared" si="240"/>
        <v>0.71749999999999992</v>
      </c>
      <c r="J151" s="555">
        <f t="shared" si="173"/>
        <v>12</v>
      </c>
      <c r="K151" s="451">
        <f t="shared" si="174"/>
        <v>23.85</v>
      </c>
      <c r="L151" s="451">
        <f t="shared" si="175"/>
        <v>35.85</v>
      </c>
      <c r="M151" s="451"/>
      <c r="N151" s="221">
        <f t="shared" si="176"/>
        <v>0.66527196652719667</v>
      </c>
      <c r="O151" s="176">
        <f t="shared" si="241"/>
        <v>13.923050021857241</v>
      </c>
      <c r="P151" s="176">
        <f t="shared" si="242"/>
        <v>1.6243558358833448</v>
      </c>
      <c r="Q151" s="221">
        <f t="shared" si="179"/>
        <v>0.92820333479048278</v>
      </c>
      <c r="R151" s="221">
        <f t="shared" si="243"/>
        <v>1.9890071459796059</v>
      </c>
      <c r="S151" s="221">
        <f t="shared" si="244"/>
        <v>15</v>
      </c>
      <c r="T151" s="221">
        <f t="shared" si="245"/>
        <v>1.8110255985876642</v>
      </c>
      <c r="U151" s="221">
        <f t="shared" si="183"/>
        <v>1.0564315991761375</v>
      </c>
      <c r="V151" s="221">
        <f t="shared" si="184"/>
        <v>0.5315379115351635</v>
      </c>
      <c r="W151" s="201">
        <f t="shared" si="185"/>
        <v>350</v>
      </c>
      <c r="X151" s="451">
        <f t="shared" si="186"/>
        <v>350</v>
      </c>
      <c r="Z151" s="221">
        <f t="shared" si="187"/>
        <v>3.2584749380923919</v>
      </c>
      <c r="AA151" s="177">
        <f t="shared" si="188"/>
        <v>0.95636580992229525</v>
      </c>
      <c r="AB151" s="177">
        <f t="shared" si="246"/>
        <v>0.73256165472632317</v>
      </c>
      <c r="AC151" s="177"/>
      <c r="AD151" s="177">
        <f t="shared" si="190"/>
        <v>0.24067085953878403</v>
      </c>
      <c r="AE151" s="559">
        <f t="shared" si="247"/>
        <v>3093.2055749128922</v>
      </c>
      <c r="AF151" s="542">
        <f t="shared" si="248"/>
        <v>4.6392002252886505E-2</v>
      </c>
      <c r="AH151" s="177">
        <f t="shared" si="249"/>
        <v>2.3677251633117371</v>
      </c>
      <c r="AI151" s="177">
        <f t="shared" si="250"/>
        <v>2.3677251633117371</v>
      </c>
      <c r="AJ151" s="177">
        <f t="shared" si="251"/>
        <v>2.3464630839346201</v>
      </c>
      <c r="AL151" s="559">
        <f t="shared" si="252"/>
        <v>410</v>
      </c>
      <c r="AM151" s="469">
        <f t="shared" si="253"/>
        <v>350</v>
      </c>
      <c r="AO151" s="469">
        <f t="shared" si="198"/>
        <v>410</v>
      </c>
      <c r="AP151" s="469">
        <f t="shared" si="199"/>
        <v>350</v>
      </c>
      <c r="AR151" s="5">
        <f t="shared" si="237"/>
        <v>2.8571428571428572</v>
      </c>
      <c r="AS151" s="5">
        <f t="shared" si="234"/>
        <v>1.3811730119318466</v>
      </c>
      <c r="AT151" s="5">
        <f t="shared" si="235"/>
        <v>1.4759698452110106</v>
      </c>
      <c r="AU151" s="177">
        <f t="shared" si="236"/>
        <v>0.48341055417614631</v>
      </c>
      <c r="AW151" s="5">
        <f t="shared" si="254"/>
        <v>17.111543209876547</v>
      </c>
      <c r="AX151" s="5">
        <f t="shared" si="255"/>
        <v>11.036080955387208</v>
      </c>
      <c r="AY151" s="5">
        <f t="shared" si="256"/>
        <v>1.2123152482368027</v>
      </c>
      <c r="AZ151" s="5">
        <f t="shared" si="257"/>
        <v>0.6317116710455104</v>
      </c>
      <c r="BA151" s="5">
        <f t="shared" si="258"/>
        <v>1.1855231476007737</v>
      </c>
      <c r="BB151" s="5"/>
      <c r="BC151" s="5"/>
      <c r="BD151" s="177">
        <f t="shared" si="208"/>
        <v>0.95044879922426806</v>
      </c>
      <c r="BE151" s="177">
        <f t="shared" si="209"/>
        <v>1.319809146023823</v>
      </c>
      <c r="BF151" s="177">
        <f t="shared" si="210"/>
        <v>0.30990455264230277</v>
      </c>
      <c r="BG151" s="177"/>
      <c r="BH151" s="542">
        <f t="shared" si="211"/>
        <v>9.9368821194153828E-2</v>
      </c>
      <c r="BI151" s="542">
        <f t="shared" si="212"/>
        <v>0.1485451574332701</v>
      </c>
      <c r="BJ151" s="542">
        <f t="shared" si="213"/>
        <v>1.7499999999999998E-2</v>
      </c>
      <c r="BK151" s="542">
        <f t="shared" si="214"/>
        <v>0.10121127187500001</v>
      </c>
      <c r="BL151">
        <f t="shared" si="215"/>
        <v>3.48E-3</v>
      </c>
      <c r="BM151" s="469">
        <f t="shared" si="216"/>
        <v>370.10525050242393</v>
      </c>
      <c r="BN151" s="177">
        <f t="shared" si="217"/>
        <v>0.36899999999999999</v>
      </c>
      <c r="BO151" s="177">
        <f t="shared" si="218"/>
        <v>9.2249999999999999E-2</v>
      </c>
      <c r="BP151" s="542"/>
      <c r="BR151" s="469">
        <f t="shared" si="219"/>
        <v>461.25</v>
      </c>
      <c r="BS151" s="542">
        <f t="shared" si="220"/>
        <v>0</v>
      </c>
      <c r="BT151" s="542">
        <f t="shared" si="221"/>
        <v>0</v>
      </c>
      <c r="BU151" s="542">
        <f t="shared" si="222"/>
        <v>0</v>
      </c>
      <c r="BV151" s="542">
        <f t="shared" si="223"/>
        <v>0</v>
      </c>
      <c r="BW151" s="647">
        <f t="shared" si="259"/>
        <v>0</v>
      </c>
      <c r="BX151" s="469">
        <f t="shared" si="225"/>
        <v>0</v>
      </c>
      <c r="BY151" s="177">
        <f t="shared" si="226"/>
        <v>0.83135525050242398</v>
      </c>
      <c r="BZ151" s="5">
        <f t="shared" si="227"/>
        <v>6.8674999999999997</v>
      </c>
      <c r="CA151" s="177">
        <f t="shared" si="228"/>
        <v>0.89201573176113802</v>
      </c>
      <c r="CB151" s="5">
        <f t="shared" si="229"/>
        <v>89.201573176113797</v>
      </c>
      <c r="CC151">
        <f t="shared" si="230"/>
        <v>41</v>
      </c>
      <c r="CE151" s="576">
        <f t="shared" si="260"/>
        <v>-50</v>
      </c>
      <c r="CF151">
        <f t="shared" si="261"/>
        <v>-50</v>
      </c>
    </row>
    <row r="152" spans="5:84" x14ac:dyDescent="0.25">
      <c r="E152" s="174">
        <v>42</v>
      </c>
      <c r="F152" s="221">
        <f t="shared" si="262"/>
        <v>0.42</v>
      </c>
      <c r="G152" s="221">
        <f t="shared" si="238"/>
        <v>0.105</v>
      </c>
      <c r="H152" s="221">
        <f t="shared" si="239"/>
        <v>6.3</v>
      </c>
      <c r="I152" s="221">
        <f t="shared" si="240"/>
        <v>0.73499999999999999</v>
      </c>
      <c r="J152" s="555">
        <f t="shared" si="173"/>
        <v>12</v>
      </c>
      <c r="K152" s="451">
        <f t="shared" si="174"/>
        <v>23.85</v>
      </c>
      <c r="L152" s="451">
        <f t="shared" si="175"/>
        <v>35.85</v>
      </c>
      <c r="M152" s="451"/>
      <c r="N152" s="221">
        <f t="shared" si="176"/>
        <v>0.66527196652719667</v>
      </c>
      <c r="O152" s="176">
        <f t="shared" si="241"/>
        <v>13.923050021857241</v>
      </c>
      <c r="P152" s="176">
        <f t="shared" si="242"/>
        <v>1.6243558358833448</v>
      </c>
      <c r="Q152" s="221">
        <f t="shared" si="179"/>
        <v>0.92820333479048278</v>
      </c>
      <c r="R152" s="221">
        <f t="shared" si="243"/>
        <v>1.9890071459796059</v>
      </c>
      <c r="S152" s="221">
        <f t="shared" si="244"/>
        <v>15</v>
      </c>
      <c r="T152" s="221">
        <f t="shared" si="245"/>
        <v>1.8551969546507781</v>
      </c>
      <c r="U152" s="221">
        <f t="shared" si="183"/>
        <v>1.082198223546287</v>
      </c>
      <c r="V152" s="221">
        <f t="shared" si="184"/>
        <v>0.54450225084089909</v>
      </c>
      <c r="W152" s="201">
        <f t="shared" si="185"/>
        <v>350</v>
      </c>
      <c r="X152" s="451">
        <f t="shared" si="186"/>
        <v>350</v>
      </c>
      <c r="Z152" s="221">
        <f t="shared" si="187"/>
        <v>3.2584749380923919</v>
      </c>
      <c r="AA152" s="177">
        <f t="shared" si="188"/>
        <v>0.95636580992229525</v>
      </c>
      <c r="AB152" s="177">
        <f t="shared" si="246"/>
        <v>0.73256165472632317</v>
      </c>
      <c r="AC152" s="177"/>
      <c r="AD152" s="177">
        <f t="shared" si="190"/>
        <v>0.24067085953878403</v>
      </c>
      <c r="AE152" s="559">
        <f t="shared" si="247"/>
        <v>3168.6496133254022</v>
      </c>
      <c r="AF152" s="542">
        <f t="shared" si="248"/>
        <v>4.6392002252886505E-2</v>
      </c>
      <c r="AH152" s="177">
        <f t="shared" si="249"/>
        <v>2.3964259101539405</v>
      </c>
      <c r="AI152" s="177">
        <f t="shared" si="250"/>
        <v>2.3964259101539405</v>
      </c>
      <c r="AJ152" s="177">
        <f t="shared" si="251"/>
        <v>2.3677228964103261</v>
      </c>
      <c r="AL152" s="559">
        <f t="shared" si="252"/>
        <v>420</v>
      </c>
      <c r="AM152" s="469">
        <f t="shared" si="253"/>
        <v>350</v>
      </c>
      <c r="AO152" s="469">
        <f t="shared" si="198"/>
        <v>420</v>
      </c>
      <c r="AP152" s="469">
        <f t="shared" si="199"/>
        <v>350</v>
      </c>
      <c r="AR152" s="5">
        <f t="shared" si="237"/>
        <v>2.8571428571428572</v>
      </c>
      <c r="AS152" s="5">
        <f t="shared" si="234"/>
        <v>1.3979151142564654</v>
      </c>
      <c r="AT152" s="5">
        <f t="shared" si="235"/>
        <v>1.4592277428863918</v>
      </c>
      <c r="AU152" s="177">
        <f t="shared" si="236"/>
        <v>0.48927028998976291</v>
      </c>
      <c r="AW152" s="5">
        <f t="shared" si="254"/>
        <v>17.111543209876547</v>
      </c>
      <c r="AX152" s="5">
        <f t="shared" si="255"/>
        <v>11.550259848484849</v>
      </c>
      <c r="AY152" s="5">
        <f t="shared" si="256"/>
        <v>1.2123152482368027</v>
      </c>
      <c r="AZ152" s="5">
        <f t="shared" si="257"/>
        <v>0.65521974284609175</v>
      </c>
      <c r="BA152" s="5">
        <f t="shared" si="258"/>
        <v>1.20066282704161</v>
      </c>
      <c r="BB152" s="5"/>
      <c r="BC152" s="5"/>
      <c r="BD152" s="177">
        <f t="shared" si="208"/>
        <v>0.96778258227343184</v>
      </c>
      <c r="BE152" s="177">
        <f t="shared" si="209"/>
        <v>1.3282096982758391</v>
      </c>
      <c r="BF152" s="177">
        <f t="shared" si="210"/>
        <v>0.31187708737995973</v>
      </c>
      <c r="BG152" s="177"/>
      <c r="BH152" s="542">
        <f t="shared" si="211"/>
        <v>0.10302634392070151</v>
      </c>
      <c r="BI152" s="542">
        <f t="shared" si="212"/>
        <v>0.15034577053828285</v>
      </c>
      <c r="BJ152" s="542">
        <f t="shared" si="213"/>
        <v>1.7499999999999998E-2</v>
      </c>
      <c r="BK152" s="542">
        <f t="shared" si="214"/>
        <v>0.10121127187500001</v>
      </c>
      <c r="BL152">
        <f t="shared" si="215"/>
        <v>3.48E-3</v>
      </c>
      <c r="BM152" s="469">
        <f t="shared" si="216"/>
        <v>375.56338633398434</v>
      </c>
      <c r="BN152" s="177">
        <f t="shared" si="217"/>
        <v>0.378</v>
      </c>
      <c r="BO152" s="177">
        <f t="shared" si="218"/>
        <v>9.4500000000000001E-2</v>
      </c>
      <c r="BP152" s="542"/>
      <c r="BR152" s="469">
        <f t="shared" si="219"/>
        <v>472.50000000000006</v>
      </c>
      <c r="BS152" s="542">
        <f t="shared" si="220"/>
        <v>0</v>
      </c>
      <c r="BT152" s="542">
        <f t="shared" si="221"/>
        <v>0</v>
      </c>
      <c r="BU152" s="542">
        <f t="shared" si="222"/>
        <v>0</v>
      </c>
      <c r="BV152" s="542">
        <f t="shared" si="223"/>
        <v>0</v>
      </c>
      <c r="BW152" s="647">
        <f t="shared" si="259"/>
        <v>0</v>
      </c>
      <c r="BX152" s="469">
        <f t="shared" si="225"/>
        <v>0</v>
      </c>
      <c r="BY152" s="177">
        <f t="shared" si="226"/>
        <v>0.84806338633398437</v>
      </c>
      <c r="BZ152" s="5">
        <f t="shared" si="227"/>
        <v>7.0350000000000001</v>
      </c>
      <c r="CA152" s="177">
        <f t="shared" si="228"/>
        <v>0.89241956524107369</v>
      </c>
      <c r="CB152" s="5">
        <f t="shared" si="229"/>
        <v>89.241956524107366</v>
      </c>
      <c r="CC152">
        <f t="shared" si="230"/>
        <v>42</v>
      </c>
      <c r="CE152" s="576">
        <f t="shared" si="260"/>
        <v>-50</v>
      </c>
      <c r="CF152">
        <f t="shared" si="261"/>
        <v>-50</v>
      </c>
    </row>
    <row r="153" spans="5:84" x14ac:dyDescent="0.25">
      <c r="E153" s="174">
        <v>43</v>
      </c>
      <c r="F153" s="221">
        <f t="shared" si="262"/>
        <v>0.43</v>
      </c>
      <c r="G153" s="221">
        <f t="shared" si="238"/>
        <v>0.1075</v>
      </c>
      <c r="H153" s="221">
        <f t="shared" si="239"/>
        <v>6.45</v>
      </c>
      <c r="I153" s="221">
        <f t="shared" si="240"/>
        <v>0.75249999999999995</v>
      </c>
      <c r="J153" s="555">
        <f t="shared" si="173"/>
        <v>12</v>
      </c>
      <c r="K153" s="451">
        <f t="shared" si="174"/>
        <v>23.85</v>
      </c>
      <c r="L153" s="451">
        <f t="shared" si="175"/>
        <v>35.85</v>
      </c>
      <c r="M153" s="451"/>
      <c r="N153" s="221">
        <f t="shared" si="176"/>
        <v>0.66527196652719667</v>
      </c>
      <c r="O153" s="176">
        <f t="shared" si="241"/>
        <v>13.923050021857241</v>
      </c>
      <c r="P153" s="176">
        <f t="shared" si="242"/>
        <v>1.6243558358833448</v>
      </c>
      <c r="Q153" s="221">
        <f t="shared" si="179"/>
        <v>0.92820333479048278</v>
      </c>
      <c r="R153" s="221">
        <f t="shared" si="243"/>
        <v>1.9890071459796059</v>
      </c>
      <c r="S153" s="221">
        <f t="shared" si="244"/>
        <v>15</v>
      </c>
      <c r="T153" s="221">
        <f t="shared" si="245"/>
        <v>1.8993683107138919</v>
      </c>
      <c r="U153" s="221">
        <f t="shared" si="183"/>
        <v>1.1079648479164368</v>
      </c>
      <c r="V153" s="221">
        <f t="shared" si="184"/>
        <v>0.5574665901466348</v>
      </c>
      <c r="W153" s="201">
        <f t="shared" si="185"/>
        <v>350</v>
      </c>
      <c r="X153" s="451">
        <f t="shared" si="186"/>
        <v>350</v>
      </c>
      <c r="Z153" s="221">
        <f t="shared" si="187"/>
        <v>3.2584749380923919</v>
      </c>
      <c r="AA153" s="177">
        <f t="shared" si="188"/>
        <v>0.95636580992229525</v>
      </c>
      <c r="AB153" s="177">
        <f t="shared" si="246"/>
        <v>0.73256165472632317</v>
      </c>
      <c r="AC153" s="177"/>
      <c r="AD153" s="177">
        <f t="shared" si="190"/>
        <v>0.24067085953878403</v>
      </c>
      <c r="AE153" s="559">
        <f t="shared" si="247"/>
        <v>3244.0936517379114</v>
      </c>
      <c r="AF153" s="542">
        <f t="shared" si="248"/>
        <v>4.6392002252886505E-2</v>
      </c>
      <c r="AH153" s="177">
        <f t="shared" si="249"/>
        <v>2.4247869672890223</v>
      </c>
      <c r="AI153" s="177">
        <f t="shared" si="250"/>
        <v>2.4247869672890223</v>
      </c>
      <c r="AJ153" s="177">
        <f t="shared" si="251"/>
        <v>2.3887310868807572</v>
      </c>
      <c r="AL153" s="559">
        <f t="shared" si="252"/>
        <v>430</v>
      </c>
      <c r="AM153" s="469">
        <f t="shared" si="253"/>
        <v>350</v>
      </c>
      <c r="AO153" s="469">
        <f t="shared" si="198"/>
        <v>430</v>
      </c>
      <c r="AP153" s="469">
        <f t="shared" si="199"/>
        <v>350</v>
      </c>
      <c r="AR153" s="5">
        <f t="shared" si="237"/>
        <v>2.8571428571428572</v>
      </c>
      <c r="AS153" s="5">
        <f t="shared" si="234"/>
        <v>1.4144590642519297</v>
      </c>
      <c r="AT153" s="5">
        <f t="shared" si="235"/>
        <v>1.4426837928909275</v>
      </c>
      <c r="AU153" s="177">
        <f t="shared" si="236"/>
        <v>0.49506067248817537</v>
      </c>
      <c r="AW153" s="5">
        <f t="shared" si="254"/>
        <v>17.111543209876547</v>
      </c>
      <c r="AX153" s="5">
        <f t="shared" si="255"/>
        <v>12.076105702861955</v>
      </c>
      <c r="AY153" s="5">
        <f t="shared" si="256"/>
        <v>1.2123152482368027</v>
      </c>
      <c r="AZ153" s="5">
        <f t="shared" si="257"/>
        <v>0.6791135513165667</v>
      </c>
      <c r="BA153" s="5">
        <f t="shared" si="258"/>
        <v>1.2153134524323868</v>
      </c>
      <c r="BB153" s="5"/>
      <c r="BC153" s="5"/>
      <c r="BD153" s="177">
        <f t="shared" si="208"/>
        <v>0.98501348360481245</v>
      </c>
      <c r="BE153" s="177">
        <f t="shared" si="209"/>
        <v>1.3362886115086536</v>
      </c>
      <c r="BF153" s="177">
        <f t="shared" si="210"/>
        <v>0.31377409801880413</v>
      </c>
      <c r="BG153" s="177"/>
      <c r="BH153" s="542">
        <f t="shared" si="211"/>
        <v>0.10672767191716169</v>
      </c>
      <c r="BI153" s="542">
        <f t="shared" si="212"/>
        <v>0.15212507236029507</v>
      </c>
      <c r="BJ153" s="542">
        <f t="shared" si="213"/>
        <v>1.7499999999999998E-2</v>
      </c>
      <c r="BK153" s="542">
        <f t="shared" si="214"/>
        <v>0.10121127187500001</v>
      </c>
      <c r="BL153">
        <f t="shared" si="215"/>
        <v>3.48E-3</v>
      </c>
      <c r="BM153" s="469">
        <f t="shared" si="216"/>
        <v>381.04401615245678</v>
      </c>
      <c r="BN153" s="177">
        <f t="shared" si="217"/>
        <v>0.38700000000000001</v>
      </c>
      <c r="BO153" s="177">
        <f t="shared" si="218"/>
        <v>9.6750000000000003E-2</v>
      </c>
      <c r="BP153" s="542"/>
      <c r="BR153" s="469">
        <f t="shared" si="219"/>
        <v>483.75</v>
      </c>
      <c r="BS153" s="542">
        <f t="shared" si="220"/>
        <v>0</v>
      </c>
      <c r="BT153" s="542">
        <f t="shared" si="221"/>
        <v>0</v>
      </c>
      <c r="BU153" s="542">
        <f t="shared" si="222"/>
        <v>0</v>
      </c>
      <c r="BV153" s="542">
        <f t="shared" si="223"/>
        <v>0</v>
      </c>
      <c r="BW153" s="647">
        <f t="shared" si="259"/>
        <v>0</v>
      </c>
      <c r="BX153" s="469">
        <f t="shared" si="225"/>
        <v>0</v>
      </c>
      <c r="BY153" s="177">
        <f t="shared" si="226"/>
        <v>0.86479401615245677</v>
      </c>
      <c r="BZ153" s="5">
        <f t="shared" si="227"/>
        <v>7.2025000000000006</v>
      </c>
      <c r="CA153" s="177">
        <f t="shared" si="228"/>
        <v>0.89280246704521327</v>
      </c>
      <c r="CB153" s="5">
        <f t="shared" si="229"/>
        <v>89.280246704521332</v>
      </c>
      <c r="CC153">
        <f t="shared" si="230"/>
        <v>43</v>
      </c>
      <c r="CE153" s="576">
        <f t="shared" si="260"/>
        <v>-50</v>
      </c>
      <c r="CF153">
        <f t="shared" si="261"/>
        <v>-50</v>
      </c>
    </row>
    <row r="154" spans="5:84" x14ac:dyDescent="0.25">
      <c r="E154" s="174">
        <v>44</v>
      </c>
      <c r="F154" s="221">
        <f t="shared" si="262"/>
        <v>0.44</v>
      </c>
      <c r="G154" s="221">
        <f t="shared" si="238"/>
        <v>0.11</v>
      </c>
      <c r="H154" s="221">
        <f t="shared" si="239"/>
        <v>6.6</v>
      </c>
      <c r="I154" s="221">
        <f t="shared" si="240"/>
        <v>0.77</v>
      </c>
      <c r="J154" s="555">
        <f t="shared" si="173"/>
        <v>12</v>
      </c>
      <c r="K154" s="451">
        <f t="shared" si="174"/>
        <v>23.85</v>
      </c>
      <c r="L154" s="451">
        <f t="shared" si="175"/>
        <v>35.85</v>
      </c>
      <c r="M154" s="451"/>
      <c r="N154" s="221">
        <f t="shared" si="176"/>
        <v>0.66527196652719667</v>
      </c>
      <c r="O154" s="176">
        <f t="shared" si="241"/>
        <v>13.923050021857241</v>
      </c>
      <c r="P154" s="176">
        <f t="shared" si="242"/>
        <v>1.6243558358833448</v>
      </c>
      <c r="Q154" s="221">
        <f t="shared" si="179"/>
        <v>0.92820333479048278</v>
      </c>
      <c r="R154" s="221">
        <f t="shared" si="243"/>
        <v>1.9890071459796059</v>
      </c>
      <c r="S154" s="221">
        <f t="shared" si="244"/>
        <v>15</v>
      </c>
      <c r="T154" s="221">
        <f t="shared" si="245"/>
        <v>1.9435396667770053</v>
      </c>
      <c r="U154" s="221">
        <f t="shared" si="183"/>
        <v>1.1337314722865866</v>
      </c>
      <c r="V154" s="221">
        <f t="shared" si="184"/>
        <v>0.57043092945237051</v>
      </c>
      <c r="W154" s="201">
        <f t="shared" si="185"/>
        <v>350</v>
      </c>
      <c r="X154" s="451">
        <f t="shared" si="186"/>
        <v>350</v>
      </c>
      <c r="Z154" s="221">
        <f t="shared" si="187"/>
        <v>3.2584749380923919</v>
      </c>
      <c r="AA154" s="177">
        <f t="shared" si="188"/>
        <v>0.95636580992229525</v>
      </c>
      <c r="AB154" s="177">
        <f t="shared" si="246"/>
        <v>0.73256165472632317</v>
      </c>
      <c r="AC154" s="177"/>
      <c r="AD154" s="177">
        <f t="shared" si="190"/>
        <v>0.24067085953878403</v>
      </c>
      <c r="AE154" s="559">
        <f t="shared" si="247"/>
        <v>3319.5376901504214</v>
      </c>
      <c r="AF154" s="542">
        <f t="shared" si="248"/>
        <v>4.6392002252886505E-2</v>
      </c>
      <c r="AH154" s="177">
        <f t="shared" si="249"/>
        <v>2.4528201178668287</v>
      </c>
      <c r="AI154" s="177">
        <f t="shared" si="250"/>
        <v>2.4528201178668287</v>
      </c>
      <c r="AJ154" s="177">
        <f t="shared" si="251"/>
        <v>2.4094963836050587</v>
      </c>
      <c r="AL154" s="559">
        <f t="shared" si="252"/>
        <v>440</v>
      </c>
      <c r="AM154" s="469">
        <f t="shared" si="253"/>
        <v>350</v>
      </c>
      <c r="AO154" s="469">
        <f t="shared" si="198"/>
        <v>440</v>
      </c>
      <c r="AP154" s="469">
        <f t="shared" si="199"/>
        <v>350</v>
      </c>
      <c r="AR154" s="5">
        <f t="shared" si="237"/>
        <v>2.8571428571428572</v>
      </c>
      <c r="AS154" s="5">
        <f t="shared" si="234"/>
        <v>1.4308117354223167</v>
      </c>
      <c r="AT154" s="5">
        <f t="shared" si="235"/>
        <v>1.4263311217205406</v>
      </c>
      <c r="AU154" s="177">
        <f t="shared" si="236"/>
        <v>0.50078410739781076</v>
      </c>
      <c r="AW154" s="5">
        <f t="shared" si="254"/>
        <v>17.111543209876547</v>
      </c>
      <c r="AX154" s="5">
        <f t="shared" si="255"/>
        <v>12.613618518518523</v>
      </c>
      <c r="AY154" s="5">
        <f t="shared" si="256"/>
        <v>1.2123152482368027</v>
      </c>
      <c r="AZ154" s="5">
        <f t="shared" si="257"/>
        <v>0.70339309645693526</v>
      </c>
      <c r="BA154" s="5">
        <f t="shared" si="258"/>
        <v>1.2294807446877642</v>
      </c>
      <c r="BB154" s="5"/>
      <c r="BC154" s="5"/>
      <c r="BD154" s="177">
        <f t="shared" si="208"/>
        <v>1.0021444858313295</v>
      </c>
      <c r="BE154" s="177">
        <f t="shared" si="209"/>
        <v>1.344054812745044</v>
      </c>
      <c r="BF154" s="177">
        <f t="shared" si="210"/>
        <v>0.31559768071418437</v>
      </c>
      <c r="BG154" s="177"/>
      <c r="BH154" s="542">
        <f t="shared" si="211"/>
        <v>0.11047229275303538</v>
      </c>
      <c r="BI154" s="542">
        <f t="shared" si="212"/>
        <v>0.15388380214467018</v>
      </c>
      <c r="BJ154" s="542">
        <f t="shared" si="213"/>
        <v>1.7499999999999998E-2</v>
      </c>
      <c r="BK154" s="542">
        <f t="shared" si="214"/>
        <v>0.10121127187500001</v>
      </c>
      <c r="BL154">
        <f t="shared" si="215"/>
        <v>3.48E-3</v>
      </c>
      <c r="BM154" s="469">
        <f t="shared" si="216"/>
        <v>386.54736677270557</v>
      </c>
      <c r="BN154" s="177">
        <f t="shared" si="217"/>
        <v>0.39600000000000002</v>
      </c>
      <c r="BO154" s="177">
        <f t="shared" si="218"/>
        <v>9.9000000000000005E-2</v>
      </c>
      <c r="BP154" s="542"/>
      <c r="BR154" s="469">
        <f t="shared" si="219"/>
        <v>495</v>
      </c>
      <c r="BS154" s="542">
        <f t="shared" si="220"/>
        <v>0</v>
      </c>
      <c r="BT154" s="542">
        <f t="shared" si="221"/>
        <v>0</v>
      </c>
      <c r="BU154" s="542">
        <f t="shared" si="222"/>
        <v>0</v>
      </c>
      <c r="BV154" s="542">
        <f t="shared" si="223"/>
        <v>0</v>
      </c>
      <c r="BW154" s="647">
        <f t="shared" si="259"/>
        <v>0</v>
      </c>
      <c r="BX154" s="469">
        <f t="shared" si="225"/>
        <v>0</v>
      </c>
      <c r="BY154" s="177">
        <f t="shared" si="226"/>
        <v>0.88154736677270562</v>
      </c>
      <c r="BZ154" s="5">
        <f t="shared" si="227"/>
        <v>7.3699999999999992</v>
      </c>
      <c r="CA154" s="177">
        <f t="shared" si="228"/>
        <v>0.8931658115031228</v>
      </c>
      <c r="CB154" s="5">
        <f t="shared" si="229"/>
        <v>89.316581150312274</v>
      </c>
      <c r="CC154">
        <f t="shared" si="230"/>
        <v>44</v>
      </c>
      <c r="CE154" s="576">
        <f t="shared" si="260"/>
        <v>-50</v>
      </c>
      <c r="CF154">
        <f t="shared" si="261"/>
        <v>-50</v>
      </c>
    </row>
    <row r="155" spans="5:84" x14ac:dyDescent="0.25">
      <c r="E155" s="174">
        <v>45</v>
      </c>
      <c r="F155" s="221">
        <f t="shared" si="262"/>
        <v>0.45</v>
      </c>
      <c r="G155" s="221">
        <f t="shared" si="238"/>
        <v>0.1125</v>
      </c>
      <c r="H155" s="221">
        <f t="shared" si="239"/>
        <v>6.75</v>
      </c>
      <c r="I155" s="221">
        <f t="shared" si="240"/>
        <v>0.78749999999999998</v>
      </c>
      <c r="J155" s="555">
        <f t="shared" si="173"/>
        <v>12</v>
      </c>
      <c r="K155" s="451">
        <f t="shared" si="174"/>
        <v>23.85</v>
      </c>
      <c r="L155" s="451">
        <f t="shared" si="175"/>
        <v>35.85</v>
      </c>
      <c r="M155" s="451"/>
      <c r="N155" s="221">
        <f t="shared" si="176"/>
        <v>0.66527196652719667</v>
      </c>
      <c r="O155" s="176">
        <f t="shared" si="241"/>
        <v>13.923050021857241</v>
      </c>
      <c r="P155" s="176">
        <f t="shared" si="242"/>
        <v>1.6243558358833448</v>
      </c>
      <c r="Q155" s="221">
        <f t="shared" si="179"/>
        <v>0.92820333479048278</v>
      </c>
      <c r="R155" s="221">
        <f t="shared" si="243"/>
        <v>1.9890071459796059</v>
      </c>
      <c r="S155" s="221">
        <f t="shared" si="244"/>
        <v>15</v>
      </c>
      <c r="T155" s="221">
        <f t="shared" si="245"/>
        <v>1.9877110228401194</v>
      </c>
      <c r="U155" s="221">
        <f t="shared" si="183"/>
        <v>1.1594980966567361</v>
      </c>
      <c r="V155" s="221">
        <f t="shared" si="184"/>
        <v>0.58339526875810621</v>
      </c>
      <c r="W155" s="201">
        <f t="shared" si="185"/>
        <v>350</v>
      </c>
      <c r="X155" s="451">
        <f t="shared" si="186"/>
        <v>350</v>
      </c>
      <c r="Z155" s="221">
        <f t="shared" si="187"/>
        <v>3.2584749380923919</v>
      </c>
      <c r="AA155" s="177">
        <f t="shared" si="188"/>
        <v>0.95636580992229525</v>
      </c>
      <c r="AB155" s="177">
        <f t="shared" si="246"/>
        <v>0.73256165472632317</v>
      </c>
      <c r="AC155" s="177"/>
      <c r="AD155" s="177">
        <f t="shared" si="190"/>
        <v>0.24067085953878403</v>
      </c>
      <c r="AE155" s="559">
        <f t="shared" si="247"/>
        <v>3394.981728562931</v>
      </c>
      <c r="AF155" s="542">
        <f t="shared" si="248"/>
        <v>4.6392002252886505E-2</v>
      </c>
      <c r="AH155" s="177">
        <f t="shared" si="249"/>
        <v>2.4805364791693338</v>
      </c>
      <c r="AI155" s="177">
        <f t="shared" si="250"/>
        <v>2.4805364791693338</v>
      </c>
      <c r="AJ155" s="177">
        <f t="shared" si="251"/>
        <v>2.4300270216069144</v>
      </c>
      <c r="AL155" s="559">
        <f t="shared" si="252"/>
        <v>450</v>
      </c>
      <c r="AM155" s="469">
        <f t="shared" si="253"/>
        <v>350</v>
      </c>
      <c r="AO155" s="469">
        <f t="shared" si="198"/>
        <v>450</v>
      </c>
      <c r="AP155" s="469">
        <f t="shared" si="199"/>
        <v>350</v>
      </c>
      <c r="AR155" s="5">
        <f t="shared" si="237"/>
        <v>2.8571428571428572</v>
      </c>
      <c r="AS155" s="5">
        <f t="shared" si="234"/>
        <v>1.446979612848778</v>
      </c>
      <c r="AT155" s="5">
        <f t="shared" si="235"/>
        <v>1.4101632442940792</v>
      </c>
      <c r="AU155" s="177">
        <f t="shared" si="236"/>
        <v>0.50644286449707232</v>
      </c>
      <c r="AW155" s="5">
        <f t="shared" si="254"/>
        <v>17.111543209876547</v>
      </c>
      <c r="AX155" s="5">
        <f t="shared" si="255"/>
        <v>13.162798295454548</v>
      </c>
      <c r="AY155" s="5">
        <f t="shared" si="256"/>
        <v>1.2123152482368027</v>
      </c>
      <c r="AZ155" s="5">
        <f t="shared" si="257"/>
        <v>0.72805837826719721</v>
      </c>
      <c r="BA155" s="5">
        <f t="shared" si="258"/>
        <v>1.243170228522412</v>
      </c>
      <c r="BB155" s="5"/>
      <c r="BC155" s="5"/>
      <c r="BD155" s="177">
        <f t="shared" si="208"/>
        <v>1.0191784194399716</v>
      </c>
      <c r="BE155" s="177">
        <f t="shared" si="209"/>
        <v>1.3515166959146849</v>
      </c>
      <c r="BF155" s="177">
        <f t="shared" si="210"/>
        <v>0.31734980644578992</v>
      </c>
      <c r="BG155" s="177"/>
      <c r="BH155" s="542">
        <f t="shared" si="211"/>
        <v>0.11425971157173745</v>
      </c>
      <c r="BI155" s="542">
        <f t="shared" si="212"/>
        <v>0.1556226573618861</v>
      </c>
      <c r="BJ155" s="542">
        <f t="shared" si="213"/>
        <v>1.7499999999999998E-2</v>
      </c>
      <c r="BK155" s="542">
        <f t="shared" si="214"/>
        <v>0.10121127187500001</v>
      </c>
      <c r="BL155">
        <f t="shared" si="215"/>
        <v>3.48E-3</v>
      </c>
      <c r="BM155" s="469">
        <f t="shared" si="216"/>
        <v>392.07364080862357</v>
      </c>
      <c r="BN155" s="177">
        <f t="shared" si="217"/>
        <v>0.40500000000000003</v>
      </c>
      <c r="BO155" s="177">
        <f t="shared" si="218"/>
        <v>0.10125000000000001</v>
      </c>
      <c r="BP155" s="542"/>
      <c r="BR155" s="469">
        <f t="shared" si="219"/>
        <v>506.25000000000011</v>
      </c>
      <c r="BS155" s="542">
        <f t="shared" si="220"/>
        <v>0</v>
      </c>
      <c r="BT155" s="542">
        <f t="shared" si="221"/>
        <v>0</v>
      </c>
      <c r="BU155" s="542">
        <f t="shared" si="222"/>
        <v>0</v>
      </c>
      <c r="BV155" s="542">
        <f t="shared" si="223"/>
        <v>0</v>
      </c>
      <c r="BW155" s="647">
        <f t="shared" si="259"/>
        <v>0</v>
      </c>
      <c r="BX155" s="469">
        <f t="shared" si="225"/>
        <v>0</v>
      </c>
      <c r="BY155" s="177">
        <f t="shared" si="226"/>
        <v>0.8983236408086237</v>
      </c>
      <c r="BZ155" s="5">
        <f t="shared" si="227"/>
        <v>7.5374999999999996</v>
      </c>
      <c r="CA155" s="177">
        <f t="shared" si="228"/>
        <v>0.89351085571977251</v>
      </c>
      <c r="CB155" s="5">
        <f t="shared" si="229"/>
        <v>89.351085571977251</v>
      </c>
      <c r="CC155">
        <f t="shared" si="230"/>
        <v>45</v>
      </c>
      <c r="CE155" s="576">
        <f t="shared" si="260"/>
        <v>-50</v>
      </c>
      <c r="CF155">
        <f t="shared" si="261"/>
        <v>-50</v>
      </c>
    </row>
    <row r="156" spans="5:84" s="76" customFormat="1" x14ac:dyDescent="0.25">
      <c r="E156" s="193">
        <v>46</v>
      </c>
      <c r="F156" s="333">
        <f t="shared" si="262"/>
        <v>0.46</v>
      </c>
      <c r="G156" s="221">
        <f t="shared" si="238"/>
        <v>0.115</v>
      </c>
      <c r="H156" s="333">
        <f t="shared" si="239"/>
        <v>6.9</v>
      </c>
      <c r="I156" s="221">
        <f t="shared" si="240"/>
        <v>0.80500000000000005</v>
      </c>
      <c r="J156" s="555">
        <f t="shared" si="173"/>
        <v>12</v>
      </c>
      <c r="K156" s="549">
        <f t="shared" si="174"/>
        <v>23.85</v>
      </c>
      <c r="L156" s="549">
        <f t="shared" si="175"/>
        <v>35.85</v>
      </c>
      <c r="M156" s="549"/>
      <c r="N156" s="333">
        <f t="shared" si="176"/>
        <v>0.66527196652719667</v>
      </c>
      <c r="O156" s="176">
        <f t="shared" si="241"/>
        <v>13.923050021857241</v>
      </c>
      <c r="P156" s="176">
        <f t="shared" si="242"/>
        <v>1.6243558358833448</v>
      </c>
      <c r="Q156" s="333">
        <f t="shared" si="179"/>
        <v>0.92820333479048278</v>
      </c>
      <c r="R156" s="221">
        <f t="shared" si="243"/>
        <v>1.9890071459796059</v>
      </c>
      <c r="S156" s="333">
        <f t="shared" si="244"/>
        <v>15</v>
      </c>
      <c r="T156" s="221">
        <f t="shared" si="245"/>
        <v>2.0318823789032332</v>
      </c>
      <c r="U156" s="333">
        <f t="shared" si="183"/>
        <v>1.1852647210268861</v>
      </c>
      <c r="V156" s="333">
        <f t="shared" si="184"/>
        <v>0.59635960806384192</v>
      </c>
      <c r="W156" s="551">
        <f t="shared" si="185"/>
        <v>350</v>
      </c>
      <c r="X156" s="549">
        <f t="shared" si="186"/>
        <v>350</v>
      </c>
      <c r="Z156" s="333">
        <f t="shared" si="187"/>
        <v>3.2584749380923919</v>
      </c>
      <c r="AA156" s="552">
        <f t="shared" si="188"/>
        <v>0.95636580992229525</v>
      </c>
      <c r="AB156" s="177">
        <f t="shared" si="246"/>
        <v>0.73256165472632317</v>
      </c>
      <c r="AC156" s="552"/>
      <c r="AD156" s="552">
        <f t="shared" si="190"/>
        <v>0.24067085953878403</v>
      </c>
      <c r="AE156" s="559">
        <f t="shared" si="247"/>
        <v>3470.4257669754411</v>
      </c>
      <c r="AF156" s="542">
        <f t="shared" si="248"/>
        <v>4.6392002252886505E-2</v>
      </c>
      <c r="AH156" s="177">
        <f t="shared" si="249"/>
        <v>2.5079465541289645</v>
      </c>
      <c r="AI156" s="552">
        <f t="shared" si="250"/>
        <v>2.5079465541289645</v>
      </c>
      <c r="AJ156" s="552">
        <f t="shared" si="251"/>
        <v>2.4503307808362704</v>
      </c>
      <c r="AL156" s="578">
        <f t="shared" si="252"/>
        <v>460</v>
      </c>
      <c r="AM156" s="579">
        <f t="shared" si="253"/>
        <v>350</v>
      </c>
      <c r="AO156" s="76">
        <f t="shared" si="198"/>
        <v>460</v>
      </c>
      <c r="AP156" s="76">
        <f t="shared" si="199"/>
        <v>350</v>
      </c>
      <c r="AR156" s="548">
        <f t="shared" si="237"/>
        <v>2.8571428571428572</v>
      </c>
      <c r="AS156" s="5">
        <f t="shared" si="234"/>
        <v>1.462968823241896</v>
      </c>
      <c r="AT156" s="5">
        <f t="shared" si="235"/>
        <v>1.3941740339009612</v>
      </c>
      <c r="AU156" s="177">
        <f t="shared" si="236"/>
        <v>0.51203908813466359</v>
      </c>
      <c r="AW156" s="5">
        <f t="shared" si="254"/>
        <v>17.111543209876547</v>
      </c>
      <c r="AX156" s="5">
        <f t="shared" si="255"/>
        <v>13.723645033670039</v>
      </c>
      <c r="AY156" s="5">
        <f t="shared" si="256"/>
        <v>1.2123152482368027</v>
      </c>
      <c r="AZ156" s="5">
        <f t="shared" si="257"/>
        <v>0.75310939674735289</v>
      </c>
      <c r="BA156" s="5">
        <f t="shared" si="258"/>
        <v>1.2563872434160126</v>
      </c>
      <c r="BB156" s="5"/>
      <c r="BC156" s="5"/>
      <c r="BD156" s="177">
        <f t="shared" si="208"/>
        <v>1.0361179737516935</v>
      </c>
      <c r="BE156" s="177">
        <f t="shared" si="209"/>
        <v>1.358682162095294</v>
      </c>
      <c r="BF156" s="177">
        <f t="shared" si="210"/>
        <v>0.31903233046667978</v>
      </c>
      <c r="BG156" s="177"/>
      <c r="BH156" s="542">
        <f t="shared" si="211"/>
        <v>0.11808945010844463</v>
      </c>
      <c r="BI156" s="542">
        <f t="shared" si="212"/>
        <v>0.15734229693966589</v>
      </c>
      <c r="BJ156" s="542">
        <f t="shared" si="213"/>
        <v>1.7499999999999998E-2</v>
      </c>
      <c r="BK156" s="542">
        <f t="shared" si="214"/>
        <v>0.10121127187500001</v>
      </c>
      <c r="BL156">
        <f t="shared" si="215"/>
        <v>3.48E-3</v>
      </c>
      <c r="BM156" s="469">
        <f t="shared" si="216"/>
        <v>397.62301892311052</v>
      </c>
      <c r="BN156" s="177">
        <f t="shared" si="217"/>
        <v>0.41400000000000003</v>
      </c>
      <c r="BO156" s="177">
        <f t="shared" si="218"/>
        <v>0.10350000000000001</v>
      </c>
      <c r="BP156" s="542"/>
      <c r="BQ156"/>
      <c r="BR156" s="469">
        <f t="shared" si="219"/>
        <v>517.50000000000011</v>
      </c>
      <c r="BS156" s="542">
        <f t="shared" si="220"/>
        <v>0</v>
      </c>
      <c r="BT156" s="542">
        <f t="shared" si="221"/>
        <v>0</v>
      </c>
      <c r="BU156" s="542">
        <f t="shared" si="222"/>
        <v>0</v>
      </c>
      <c r="BV156" s="542">
        <f t="shared" si="223"/>
        <v>0</v>
      </c>
      <c r="BW156" s="647">
        <f t="shared" si="259"/>
        <v>0</v>
      </c>
      <c r="BX156" s="469">
        <f t="shared" si="225"/>
        <v>0</v>
      </c>
      <c r="BY156" s="177">
        <f t="shared" si="226"/>
        <v>0.91512301892311065</v>
      </c>
      <c r="BZ156" s="5">
        <f t="shared" si="227"/>
        <v>7.7050000000000001</v>
      </c>
      <c r="CA156" s="177">
        <f t="shared" si="228"/>
        <v>0.89383875184678796</v>
      </c>
      <c r="CB156" s="5">
        <f t="shared" si="229"/>
        <v>89.3838751846788</v>
      </c>
      <c r="CC156">
        <f t="shared" si="230"/>
        <v>46</v>
      </c>
      <c r="CE156" s="576">
        <f t="shared" si="260"/>
        <v>-50</v>
      </c>
      <c r="CF156">
        <f t="shared" si="261"/>
        <v>-50</v>
      </c>
    </row>
    <row r="157" spans="5:84" x14ac:dyDescent="0.25">
      <c r="E157" s="174">
        <v>47</v>
      </c>
      <c r="F157" s="221">
        <f t="shared" si="262"/>
        <v>0.47</v>
      </c>
      <c r="G157" s="221">
        <f t="shared" si="238"/>
        <v>0.11749999999999999</v>
      </c>
      <c r="H157" s="221">
        <f t="shared" si="239"/>
        <v>7.05</v>
      </c>
      <c r="I157" s="221">
        <f t="shared" si="240"/>
        <v>0.82250000000000001</v>
      </c>
      <c r="J157" s="555">
        <f t="shared" si="173"/>
        <v>12</v>
      </c>
      <c r="K157" s="451">
        <f t="shared" si="174"/>
        <v>23.85</v>
      </c>
      <c r="L157" s="451">
        <f t="shared" si="175"/>
        <v>35.85</v>
      </c>
      <c r="M157" s="451"/>
      <c r="N157" s="221">
        <f t="shared" si="176"/>
        <v>0.66527196652719667</v>
      </c>
      <c r="O157" s="176">
        <f t="shared" si="241"/>
        <v>13.923050021857241</v>
      </c>
      <c r="P157" s="176">
        <f t="shared" si="242"/>
        <v>1.6243558358833448</v>
      </c>
      <c r="Q157" s="221">
        <f t="shared" si="179"/>
        <v>0.92820333479048278</v>
      </c>
      <c r="R157" s="221">
        <f t="shared" si="243"/>
        <v>1.9890071459796059</v>
      </c>
      <c r="S157" s="221">
        <f t="shared" si="244"/>
        <v>15</v>
      </c>
      <c r="T157" s="221">
        <f t="shared" si="245"/>
        <v>2.0760537349663468</v>
      </c>
      <c r="U157" s="221">
        <f t="shared" si="183"/>
        <v>1.2110313453970354</v>
      </c>
      <c r="V157" s="221">
        <f t="shared" si="184"/>
        <v>0.60932394736957762</v>
      </c>
      <c r="W157" s="201">
        <f t="shared" si="185"/>
        <v>350</v>
      </c>
      <c r="X157" s="451">
        <f t="shared" si="186"/>
        <v>350</v>
      </c>
      <c r="Z157" s="221">
        <f t="shared" si="187"/>
        <v>3.2584749380923919</v>
      </c>
      <c r="AA157" s="177">
        <f t="shared" si="188"/>
        <v>0.95636580992229525</v>
      </c>
      <c r="AB157" s="177">
        <f t="shared" si="246"/>
        <v>0.73256165472632317</v>
      </c>
      <c r="AC157" s="177"/>
      <c r="AD157" s="177">
        <f t="shared" si="190"/>
        <v>0.24067085953878403</v>
      </c>
      <c r="AE157" s="559">
        <f t="shared" si="247"/>
        <v>3545.8698053879498</v>
      </c>
      <c r="AF157" s="542">
        <f t="shared" si="248"/>
        <v>4.6392002252886505E-2</v>
      </c>
      <c r="AH157" s="177">
        <f t="shared" si="249"/>
        <v>2.5350602778326392</v>
      </c>
      <c r="AI157" s="177">
        <f t="shared" si="250"/>
        <v>2.5350602778326392</v>
      </c>
      <c r="AJ157" s="177">
        <f t="shared" si="251"/>
        <v>2.4704150206167697</v>
      </c>
      <c r="AL157" s="559">
        <f t="shared" si="252"/>
        <v>470</v>
      </c>
      <c r="AM157" s="469">
        <f t="shared" si="253"/>
        <v>350</v>
      </c>
      <c r="AO157">
        <f t="shared" si="198"/>
        <v>470</v>
      </c>
      <c r="AP157">
        <f t="shared" si="199"/>
        <v>350</v>
      </c>
      <c r="AR157" s="5">
        <f t="shared" si="237"/>
        <v>2.8571428571428572</v>
      </c>
      <c r="AS157" s="5">
        <f t="shared" si="234"/>
        <v>1.4787851620690395</v>
      </c>
      <c r="AT157" s="5">
        <f t="shared" si="235"/>
        <v>1.3783576950738177</v>
      </c>
      <c r="AU157" s="177">
        <f t="shared" si="236"/>
        <v>0.51757480672416378</v>
      </c>
      <c r="AW157" s="5">
        <f t="shared" si="254"/>
        <v>17.111543209876547</v>
      </c>
      <c r="AX157" s="5">
        <f t="shared" si="255"/>
        <v>14.296158733164988</v>
      </c>
      <c r="AY157" s="5">
        <f t="shared" si="256"/>
        <v>1.2123152482368027</v>
      </c>
      <c r="AZ157" s="5">
        <f t="shared" si="257"/>
        <v>0.77854615189740195</v>
      </c>
      <c r="BA157" s="5">
        <f t="shared" si="258"/>
        <v>1.2691369537390211</v>
      </c>
      <c r="BB157" s="5"/>
      <c r="BC157" s="5"/>
      <c r="BD157" s="177">
        <f t="shared" si="208"/>
        <v>1.0529657068710856</v>
      </c>
      <c r="BE157" s="177">
        <f t="shared" si="209"/>
        <v>1.3655586558191473</v>
      </c>
      <c r="BF157" s="177">
        <f t="shared" si="210"/>
        <v>0.32064700082841996</v>
      </c>
      <c r="BG157" s="177"/>
      <c r="BH157" s="542">
        <f t="shared" si="211"/>
        <v>0.12196104578311774</v>
      </c>
      <c r="BI157" s="542">
        <f t="shared" si="212"/>
        <v>0.15904334418052521</v>
      </c>
      <c r="BJ157" s="542">
        <f t="shared" si="213"/>
        <v>1.7499999999999998E-2</v>
      </c>
      <c r="BK157" s="542">
        <f t="shared" si="214"/>
        <v>0.10121127187500001</v>
      </c>
      <c r="BL157">
        <f t="shared" si="215"/>
        <v>3.48E-3</v>
      </c>
      <c r="BM157" s="469">
        <f t="shared" si="216"/>
        <v>403.19566183864299</v>
      </c>
      <c r="BN157" s="177">
        <f t="shared" si="217"/>
        <v>0.42299999999999999</v>
      </c>
      <c r="BO157" s="177">
        <f t="shared" si="218"/>
        <v>0.10575</v>
      </c>
      <c r="BP157" s="542"/>
      <c r="BR157" s="469">
        <f t="shared" si="219"/>
        <v>528.74999999999989</v>
      </c>
      <c r="BS157" s="542">
        <f t="shared" si="220"/>
        <v>0</v>
      </c>
      <c r="BT157" s="542">
        <f t="shared" si="221"/>
        <v>0</v>
      </c>
      <c r="BU157" s="542">
        <f t="shared" si="222"/>
        <v>0</v>
      </c>
      <c r="BV157" s="542">
        <f t="shared" si="223"/>
        <v>0</v>
      </c>
      <c r="BW157" s="647">
        <f t="shared" si="259"/>
        <v>0</v>
      </c>
      <c r="BX157" s="469">
        <f t="shared" si="225"/>
        <v>0</v>
      </c>
      <c r="BY157" s="177">
        <f t="shared" si="226"/>
        <v>0.93194566183864302</v>
      </c>
      <c r="BZ157" s="5">
        <f t="shared" si="227"/>
        <v>7.8724999999999996</v>
      </c>
      <c r="CA157" s="177">
        <f t="shared" si="228"/>
        <v>0.8941505578394332</v>
      </c>
      <c r="CB157" s="5">
        <f t="shared" si="229"/>
        <v>89.415055783943316</v>
      </c>
      <c r="CC157">
        <f t="shared" si="230"/>
        <v>47</v>
      </c>
      <c r="CE157" s="576">
        <f t="shared" si="260"/>
        <v>-50</v>
      </c>
      <c r="CF157">
        <f t="shared" si="261"/>
        <v>-50</v>
      </c>
    </row>
    <row r="158" spans="5:84" x14ac:dyDescent="0.25">
      <c r="E158" s="174">
        <v>48</v>
      </c>
      <c r="F158" s="221">
        <f t="shared" si="262"/>
        <v>0.48</v>
      </c>
      <c r="G158" s="221">
        <f t="shared" si="238"/>
        <v>0.12</v>
      </c>
      <c r="H158" s="221">
        <f t="shared" si="239"/>
        <v>7.1999999999999993</v>
      </c>
      <c r="I158" s="221">
        <f t="shared" si="240"/>
        <v>0.84</v>
      </c>
      <c r="J158" s="555">
        <f t="shared" si="173"/>
        <v>12</v>
      </c>
      <c r="K158" s="451">
        <f t="shared" si="174"/>
        <v>23.85</v>
      </c>
      <c r="L158" s="451">
        <f t="shared" si="175"/>
        <v>35.85</v>
      </c>
      <c r="M158" s="451"/>
      <c r="N158" s="221">
        <f t="shared" si="176"/>
        <v>0.66527196652719667</v>
      </c>
      <c r="O158" s="176">
        <f t="shared" si="241"/>
        <v>13.923050021857241</v>
      </c>
      <c r="P158" s="176">
        <f t="shared" si="242"/>
        <v>1.6243558358833448</v>
      </c>
      <c r="Q158" s="221">
        <f t="shared" si="179"/>
        <v>0.92820333479048278</v>
      </c>
      <c r="R158" s="221">
        <f t="shared" si="243"/>
        <v>1.9890071459796059</v>
      </c>
      <c r="S158" s="221">
        <f t="shared" si="244"/>
        <v>15</v>
      </c>
      <c r="T158" s="221">
        <f t="shared" si="245"/>
        <v>2.1202250910294604</v>
      </c>
      <c r="U158" s="221">
        <f t="shared" si="183"/>
        <v>1.2367979697671854</v>
      </c>
      <c r="V158" s="221">
        <f t="shared" si="184"/>
        <v>0.62228828667531333</v>
      </c>
      <c r="W158" s="201">
        <f t="shared" si="185"/>
        <v>350</v>
      </c>
      <c r="X158" s="451">
        <f t="shared" si="186"/>
        <v>350</v>
      </c>
      <c r="Z158" s="221">
        <f t="shared" si="187"/>
        <v>3.2584749380923919</v>
      </c>
      <c r="AA158" s="177">
        <f t="shared" si="188"/>
        <v>0.95636580992229525</v>
      </c>
      <c r="AB158" s="177">
        <f t="shared" si="246"/>
        <v>0.73256165472632317</v>
      </c>
      <c r="AC158" s="177"/>
      <c r="AD158" s="177">
        <f t="shared" si="190"/>
        <v>0.24067085953878403</v>
      </c>
      <c r="AE158" s="559">
        <f t="shared" si="247"/>
        <v>3621.3138438004594</v>
      </c>
      <c r="AF158" s="542">
        <f t="shared" si="248"/>
        <v>4.6392002252886505E-2</v>
      </c>
      <c r="AH158" s="177">
        <f t="shared" si="249"/>
        <v>2.5618870595954162</v>
      </c>
      <c r="AI158" s="177">
        <f t="shared" si="250"/>
        <v>2.5618870595954162</v>
      </c>
      <c r="AJ158" s="177">
        <f t="shared" si="251"/>
        <v>2.4902867108114197</v>
      </c>
      <c r="AL158" s="559">
        <f t="shared" si="252"/>
        <v>480</v>
      </c>
      <c r="AM158" s="469">
        <f t="shared" si="253"/>
        <v>350</v>
      </c>
      <c r="AO158">
        <f t="shared" si="198"/>
        <v>480</v>
      </c>
      <c r="AP158">
        <f t="shared" si="199"/>
        <v>350</v>
      </c>
      <c r="AR158" s="5">
        <f t="shared" si="237"/>
        <v>2.8571428571428572</v>
      </c>
      <c r="AS158" s="5">
        <f t="shared" si="234"/>
        <v>1.494434118097326</v>
      </c>
      <c r="AT158" s="5">
        <f t="shared" si="235"/>
        <v>1.3627087390455312</v>
      </c>
      <c r="AU158" s="177">
        <f t="shared" si="236"/>
        <v>0.52305194133406407</v>
      </c>
      <c r="AW158" s="5">
        <f t="shared" si="254"/>
        <v>17.111543209876547</v>
      </c>
      <c r="AX158" s="5">
        <f t="shared" si="255"/>
        <v>14.880339393939396</v>
      </c>
      <c r="AY158" s="5">
        <f t="shared" si="256"/>
        <v>1.2123152482368027</v>
      </c>
      <c r="AZ158" s="5">
        <f t="shared" si="257"/>
        <v>0.8043686437173444</v>
      </c>
      <c r="BA158" s="5">
        <f t="shared" si="258"/>
        <v>1.2814243581200082</v>
      </c>
      <c r="BB158" s="5"/>
      <c r="BC158" s="5"/>
      <c r="BD158" s="177">
        <f t="shared" si="208"/>
        <v>1.0697240547383948</v>
      </c>
      <c r="BE158" s="177">
        <f t="shared" si="209"/>
        <v>1.3721531979012656</v>
      </c>
      <c r="BF158" s="177">
        <f t="shared" si="210"/>
        <v>0.32219546608947441</v>
      </c>
      <c r="BG158" s="177"/>
      <c r="BH158" s="542">
        <f t="shared" si="211"/>
        <v>0.12587405086145476</v>
      </c>
      <c r="BI158" s="542">
        <f t="shared" si="212"/>
        <v>0.16072638940136741</v>
      </c>
      <c r="BJ158" s="542">
        <f t="shared" si="213"/>
        <v>1.7499999999999998E-2</v>
      </c>
      <c r="BK158" s="542">
        <f t="shared" si="214"/>
        <v>0.10121127187500001</v>
      </c>
      <c r="BL158">
        <f t="shared" si="215"/>
        <v>3.48E-3</v>
      </c>
      <c r="BM158" s="469">
        <f t="shared" si="216"/>
        <v>408.79171213782217</v>
      </c>
      <c r="BN158" s="177">
        <f t="shared" si="217"/>
        <v>0.432</v>
      </c>
      <c r="BO158" s="177">
        <f t="shared" si="218"/>
        <v>0.108</v>
      </c>
      <c r="BP158" s="542"/>
      <c r="BR158" s="469">
        <f t="shared" si="219"/>
        <v>540</v>
      </c>
      <c r="BS158" s="542">
        <f t="shared" si="220"/>
        <v>0</v>
      </c>
      <c r="BT158" s="542">
        <f t="shared" si="221"/>
        <v>0</v>
      </c>
      <c r="BU158" s="542">
        <f t="shared" si="222"/>
        <v>0</v>
      </c>
      <c r="BV158" s="542">
        <f t="shared" si="223"/>
        <v>0</v>
      </c>
      <c r="BW158" s="647">
        <f t="shared" si="259"/>
        <v>0</v>
      </c>
      <c r="BX158" s="469">
        <f t="shared" si="225"/>
        <v>0</v>
      </c>
      <c r="BY158" s="177">
        <f t="shared" si="226"/>
        <v>0.9487917121378221</v>
      </c>
      <c r="BZ158" s="5">
        <f t="shared" si="227"/>
        <v>8.0399999999999991</v>
      </c>
      <c r="CA158" s="177">
        <f t="shared" si="228"/>
        <v>0.89444724691343758</v>
      </c>
      <c r="CB158" s="5">
        <f t="shared" si="229"/>
        <v>89.444724691343751</v>
      </c>
      <c r="CC158">
        <f t="shared" si="230"/>
        <v>48</v>
      </c>
      <c r="CE158" s="576">
        <f t="shared" si="260"/>
        <v>-50</v>
      </c>
      <c r="CF158">
        <f t="shared" si="261"/>
        <v>-50</v>
      </c>
    </row>
    <row r="159" spans="5:84" x14ac:dyDescent="0.25">
      <c r="E159" s="174">
        <v>49</v>
      </c>
      <c r="F159" s="221">
        <f t="shared" si="262"/>
        <v>0.49</v>
      </c>
      <c r="G159" s="221">
        <f t="shared" si="238"/>
        <v>0.1225</v>
      </c>
      <c r="H159" s="221">
        <f t="shared" si="239"/>
        <v>7.35</v>
      </c>
      <c r="I159" s="221">
        <f t="shared" si="240"/>
        <v>0.85749999999999993</v>
      </c>
      <c r="J159" s="555">
        <f t="shared" si="173"/>
        <v>12</v>
      </c>
      <c r="K159" s="451">
        <f t="shared" si="174"/>
        <v>23.85</v>
      </c>
      <c r="L159" s="451">
        <f t="shared" si="175"/>
        <v>35.85</v>
      </c>
      <c r="M159" s="451"/>
      <c r="N159" s="221">
        <f t="shared" si="176"/>
        <v>0.66527196652719667</v>
      </c>
      <c r="O159" s="176">
        <f t="shared" si="241"/>
        <v>13.923050021857241</v>
      </c>
      <c r="P159" s="176">
        <f t="shared" si="242"/>
        <v>1.6243558358833448</v>
      </c>
      <c r="Q159" s="221">
        <f t="shared" si="179"/>
        <v>0.92820333479048278</v>
      </c>
      <c r="R159" s="221">
        <f t="shared" si="243"/>
        <v>1.9890071459796059</v>
      </c>
      <c r="S159" s="221">
        <f t="shared" si="244"/>
        <v>15</v>
      </c>
      <c r="T159" s="221">
        <f t="shared" si="245"/>
        <v>2.1643964470925745</v>
      </c>
      <c r="U159" s="221">
        <f t="shared" si="183"/>
        <v>1.2625645941373351</v>
      </c>
      <c r="V159" s="221">
        <f t="shared" si="184"/>
        <v>0.63525262598104915</v>
      </c>
      <c r="W159" s="201">
        <f t="shared" si="185"/>
        <v>350</v>
      </c>
      <c r="X159" s="451">
        <f t="shared" si="186"/>
        <v>350</v>
      </c>
      <c r="Z159" s="221">
        <f t="shared" si="187"/>
        <v>3.2584749380923919</v>
      </c>
      <c r="AA159" s="177">
        <f t="shared" si="188"/>
        <v>0.95636580992229525</v>
      </c>
      <c r="AB159" s="177">
        <f t="shared" si="246"/>
        <v>0.73256165472632317</v>
      </c>
      <c r="AC159" s="177"/>
      <c r="AD159" s="177">
        <f t="shared" si="190"/>
        <v>0.24067085953878403</v>
      </c>
      <c r="AE159" s="559">
        <f t="shared" si="247"/>
        <v>3696.7578822129694</v>
      </c>
      <c r="AF159" s="542">
        <f t="shared" si="248"/>
        <v>4.6392002252886505E-2</v>
      </c>
      <c r="AH159" s="177">
        <f t="shared" si="249"/>
        <v>2.5884358211089569</v>
      </c>
      <c r="AI159" s="177">
        <f t="shared" si="250"/>
        <v>2.5884358211089569</v>
      </c>
      <c r="AJ159" s="177">
        <f t="shared" si="251"/>
        <v>2.5099524600807088</v>
      </c>
      <c r="AL159" s="559">
        <f t="shared" si="252"/>
        <v>490</v>
      </c>
      <c r="AM159" s="469">
        <f t="shared" si="253"/>
        <v>350</v>
      </c>
      <c r="AO159">
        <f t="shared" si="198"/>
        <v>490</v>
      </c>
      <c r="AP159">
        <f t="shared" si="199"/>
        <v>350</v>
      </c>
      <c r="AR159" s="5">
        <f t="shared" si="237"/>
        <v>2.8571428571428572</v>
      </c>
      <c r="AS159" s="5">
        <f t="shared" si="234"/>
        <v>1.5099208956468917</v>
      </c>
      <c r="AT159" s="5">
        <f t="shared" si="235"/>
        <v>1.3472219614959655</v>
      </c>
      <c r="AU159" s="177">
        <f t="shared" si="236"/>
        <v>0.5284723134764121</v>
      </c>
      <c r="AW159" s="5">
        <f t="shared" si="254"/>
        <v>17.111543209876547</v>
      </c>
      <c r="AX159" s="5">
        <f t="shared" si="255"/>
        <v>15.47618701599327</v>
      </c>
      <c r="AY159" s="5">
        <f t="shared" si="256"/>
        <v>1.2123152482368027</v>
      </c>
      <c r="AZ159" s="5">
        <f t="shared" si="257"/>
        <v>0.83057687220718046</v>
      </c>
      <c r="BA159" s="5">
        <f t="shared" si="258"/>
        <v>1.2932542981260979</v>
      </c>
      <c r="BB159" s="5"/>
      <c r="BC159" s="5"/>
      <c r="BD159" s="177">
        <f t="shared" si="208"/>
        <v>1.0863953393818724</v>
      </c>
      <c r="BE159" s="177">
        <f t="shared" si="209"/>
        <v>1.3784724151840739</v>
      </c>
      <c r="BF159" s="177">
        <f t="shared" si="210"/>
        <v>0.32367928229955156</v>
      </c>
      <c r="BG159" s="177"/>
      <c r="BH159" s="542">
        <f t="shared" si="211"/>
        <v>0.12982803167737192</v>
      </c>
      <c r="BI159" s="542">
        <f t="shared" si="212"/>
        <v>0.16239199232682316</v>
      </c>
      <c r="BJ159" s="542">
        <f t="shared" si="213"/>
        <v>1.7499999999999998E-2</v>
      </c>
      <c r="BK159" s="542">
        <f t="shared" si="214"/>
        <v>0.10121127187500001</v>
      </c>
      <c r="BL159">
        <f t="shared" si="215"/>
        <v>3.48E-3</v>
      </c>
      <c r="BM159" s="469">
        <f t="shared" si="216"/>
        <v>414.41129587919511</v>
      </c>
      <c r="BN159" s="177">
        <f t="shared" si="217"/>
        <v>0.441</v>
      </c>
      <c r="BO159" s="177">
        <f t="shared" si="218"/>
        <v>0.11025</v>
      </c>
      <c r="BP159" s="542"/>
      <c r="BR159" s="469">
        <f t="shared" si="219"/>
        <v>551.25</v>
      </c>
      <c r="BS159" s="542">
        <f t="shared" si="220"/>
        <v>0</v>
      </c>
      <c r="BT159" s="542">
        <f t="shared" si="221"/>
        <v>0</v>
      </c>
      <c r="BU159" s="542">
        <f t="shared" si="222"/>
        <v>0</v>
      </c>
      <c r="BV159" s="542">
        <f t="shared" si="223"/>
        <v>0</v>
      </c>
      <c r="BW159" s="647">
        <f t="shared" si="259"/>
        <v>0</v>
      </c>
      <c r="BX159" s="469">
        <f t="shared" si="225"/>
        <v>0</v>
      </c>
      <c r="BY159" s="177">
        <f t="shared" si="226"/>
        <v>0.96566129587919503</v>
      </c>
      <c r="BZ159" s="5">
        <f t="shared" si="227"/>
        <v>8.2074999999999996</v>
      </c>
      <c r="CA159" s="177">
        <f t="shared" si="228"/>
        <v>0.89472971588180905</v>
      </c>
      <c r="CB159" s="5">
        <f t="shared" si="229"/>
        <v>89.472971588180911</v>
      </c>
      <c r="CC159">
        <f t="shared" si="230"/>
        <v>49</v>
      </c>
      <c r="CE159" s="576">
        <f t="shared" si="260"/>
        <v>-50</v>
      </c>
      <c r="CF159">
        <f t="shared" si="261"/>
        <v>-50</v>
      </c>
    </row>
    <row r="160" spans="5:84" x14ac:dyDescent="0.25">
      <c r="E160" s="174">
        <v>50</v>
      </c>
      <c r="F160" s="221">
        <f t="shared" si="262"/>
        <v>0.5</v>
      </c>
      <c r="G160" s="221">
        <f t="shared" si="238"/>
        <v>0.125</v>
      </c>
      <c r="H160" s="221">
        <f t="shared" si="239"/>
        <v>7.5</v>
      </c>
      <c r="I160" s="221">
        <f t="shared" si="240"/>
        <v>0.875</v>
      </c>
      <c r="J160" s="555">
        <f t="shared" si="173"/>
        <v>12</v>
      </c>
      <c r="K160" s="451">
        <f t="shared" si="174"/>
        <v>23.85</v>
      </c>
      <c r="L160" s="451">
        <f t="shared" si="175"/>
        <v>35.85</v>
      </c>
      <c r="M160" s="451"/>
      <c r="N160" s="221">
        <f t="shared" si="176"/>
        <v>0.66527196652719667</v>
      </c>
      <c r="O160" s="176">
        <f t="shared" si="241"/>
        <v>13.923050021857241</v>
      </c>
      <c r="P160" s="176">
        <f t="shared" si="242"/>
        <v>1.6243558358833448</v>
      </c>
      <c r="Q160" s="221">
        <f t="shared" si="179"/>
        <v>0.92820333479048278</v>
      </c>
      <c r="R160" s="221">
        <f t="shared" si="243"/>
        <v>1.9890071459796059</v>
      </c>
      <c r="S160" s="221">
        <f t="shared" si="244"/>
        <v>15</v>
      </c>
      <c r="T160" s="221">
        <f t="shared" si="245"/>
        <v>2.2085678031556881</v>
      </c>
      <c r="U160" s="221">
        <f t="shared" si="183"/>
        <v>1.2883312185074847</v>
      </c>
      <c r="V160" s="221">
        <f t="shared" si="184"/>
        <v>0.64821696528678474</v>
      </c>
      <c r="W160" s="201">
        <f t="shared" si="185"/>
        <v>350</v>
      </c>
      <c r="X160" s="451">
        <f t="shared" si="186"/>
        <v>350</v>
      </c>
      <c r="Z160" s="221">
        <f t="shared" si="187"/>
        <v>3.2584749380923919</v>
      </c>
      <c r="AA160" s="177">
        <f t="shared" si="188"/>
        <v>0.95636580992229525</v>
      </c>
      <c r="AB160" s="177">
        <f t="shared" si="246"/>
        <v>0.73256165472632317</v>
      </c>
      <c r="AC160" s="177"/>
      <c r="AD160" s="177">
        <f t="shared" si="190"/>
        <v>0.24067085953878403</v>
      </c>
      <c r="AE160" s="559">
        <f t="shared" si="247"/>
        <v>3772.2019206254786</v>
      </c>
      <c r="AF160" s="542">
        <f t="shared" si="248"/>
        <v>4.6392002252886505E-2</v>
      </c>
      <c r="AH160" s="177">
        <f t="shared" si="249"/>
        <v>2.6147150311033038</v>
      </c>
      <c r="AI160" s="177">
        <f t="shared" si="250"/>
        <v>2.6147150311033038</v>
      </c>
      <c r="AJ160" s="177">
        <f t="shared" si="251"/>
        <v>2.5294185415580026</v>
      </c>
      <c r="AL160" s="559">
        <f t="shared" si="252"/>
        <v>500</v>
      </c>
      <c r="AM160" s="469">
        <f t="shared" si="253"/>
        <v>350</v>
      </c>
      <c r="AO160">
        <f t="shared" si="198"/>
        <v>500</v>
      </c>
      <c r="AP160">
        <f t="shared" si="199"/>
        <v>350</v>
      </c>
      <c r="AR160" s="5">
        <f t="shared" si="237"/>
        <v>2.8571428571428572</v>
      </c>
      <c r="AS160" s="5">
        <f t="shared" si="234"/>
        <v>1.5252504348102605</v>
      </c>
      <c r="AT160" s="5">
        <f t="shared" si="235"/>
        <v>1.3318924223325967</v>
      </c>
      <c r="AU160" s="177">
        <f t="shared" si="236"/>
        <v>0.53383765218359114</v>
      </c>
      <c r="AW160" s="5">
        <f t="shared" si="254"/>
        <v>17.111543209876547</v>
      </c>
      <c r="AX160" s="5">
        <f t="shared" si="255"/>
        <v>16.083701599326602</v>
      </c>
      <c r="AY160" s="5">
        <f t="shared" si="256"/>
        <v>1.2123152482368027</v>
      </c>
      <c r="AZ160" s="5">
        <f t="shared" si="257"/>
        <v>0.85717083736691024</v>
      </c>
      <c r="BA160" s="5">
        <f t="shared" si="258"/>
        <v>1.3046314663199412</v>
      </c>
      <c r="BB160" s="5"/>
      <c r="BC160" s="5"/>
      <c r="BD160" s="177">
        <f t="shared" si="208"/>
        <v>1.1029817764559386</v>
      </c>
      <c r="BE160" s="177">
        <f t="shared" si="209"/>
        <v>1.3845225675412167</v>
      </c>
      <c r="BF160" s="177">
        <f t="shared" si="210"/>
        <v>0.32509991934037424</v>
      </c>
      <c r="BG160" s="177"/>
      <c r="BH160" s="542">
        <f t="shared" si="211"/>
        <v>0.13382256791132882</v>
      </c>
      <c r="BI160" s="542">
        <f t="shared" si="212"/>
        <v>0.16404068426384355</v>
      </c>
      <c r="BJ160" s="542">
        <f t="shared" si="213"/>
        <v>1.7499999999999998E-2</v>
      </c>
      <c r="BK160" s="542">
        <f t="shared" si="214"/>
        <v>0.10121127187500001</v>
      </c>
      <c r="BL160">
        <f t="shared" si="215"/>
        <v>3.48E-3</v>
      </c>
      <c r="BM160" s="469">
        <f t="shared" si="216"/>
        <v>420.0545240501724</v>
      </c>
      <c r="BN160" s="177">
        <f t="shared" si="217"/>
        <v>0.45</v>
      </c>
      <c r="BO160" s="177">
        <f t="shared" si="218"/>
        <v>0.1125</v>
      </c>
      <c r="BP160" s="542"/>
      <c r="BR160" s="469">
        <f t="shared" si="219"/>
        <v>562.5</v>
      </c>
      <c r="BS160" s="542">
        <f t="shared" si="220"/>
        <v>0</v>
      </c>
      <c r="BT160" s="542">
        <f t="shared" si="221"/>
        <v>0</v>
      </c>
      <c r="BU160" s="542">
        <f t="shared" si="222"/>
        <v>0</v>
      </c>
      <c r="BV160" s="542">
        <f t="shared" si="223"/>
        <v>0</v>
      </c>
      <c r="BW160" s="647">
        <f t="shared" si="259"/>
        <v>0</v>
      </c>
      <c r="BX160" s="469">
        <f t="shared" si="225"/>
        <v>0</v>
      </c>
      <c r="BY160" s="177">
        <f t="shared" si="226"/>
        <v>0.98255452405017252</v>
      </c>
      <c r="BZ160" s="5">
        <f t="shared" si="227"/>
        <v>8.375</v>
      </c>
      <c r="CA160" s="177">
        <f t="shared" si="228"/>
        <v>0.8949987925237437</v>
      </c>
      <c r="CB160" s="5">
        <f t="shared" si="229"/>
        <v>89.49987925237437</v>
      </c>
      <c r="CC160">
        <f t="shared" si="230"/>
        <v>50</v>
      </c>
      <c r="CE160" s="576">
        <f t="shared" si="260"/>
        <v>-50</v>
      </c>
      <c r="CF160">
        <f t="shared" si="261"/>
        <v>-50</v>
      </c>
    </row>
    <row r="161" spans="5:84" x14ac:dyDescent="0.25">
      <c r="E161" s="174">
        <v>51</v>
      </c>
      <c r="F161" s="221">
        <f t="shared" si="262"/>
        <v>0.51</v>
      </c>
      <c r="G161" s="221">
        <f t="shared" si="238"/>
        <v>0.1275</v>
      </c>
      <c r="H161" s="221">
        <f t="shared" si="239"/>
        <v>7.65</v>
      </c>
      <c r="I161" s="221">
        <f t="shared" si="240"/>
        <v>0.89250000000000007</v>
      </c>
      <c r="J161" s="555">
        <f t="shared" si="173"/>
        <v>12</v>
      </c>
      <c r="K161" s="451">
        <f t="shared" si="174"/>
        <v>23.85</v>
      </c>
      <c r="L161" s="451">
        <f t="shared" si="175"/>
        <v>35.85</v>
      </c>
      <c r="M161" s="451"/>
      <c r="N161" s="221">
        <f t="shared" si="176"/>
        <v>0.66527196652719667</v>
      </c>
      <c r="O161" s="176">
        <f t="shared" si="241"/>
        <v>13.923050021857241</v>
      </c>
      <c r="P161" s="176">
        <f t="shared" si="242"/>
        <v>1.6243558358833448</v>
      </c>
      <c r="Q161" s="221">
        <f t="shared" si="179"/>
        <v>0.92820333479048278</v>
      </c>
      <c r="R161" s="221">
        <f t="shared" si="243"/>
        <v>1.9890071459796059</v>
      </c>
      <c r="S161" s="221">
        <f t="shared" si="244"/>
        <v>15</v>
      </c>
      <c r="T161" s="221">
        <f t="shared" si="245"/>
        <v>2.2527391592188022</v>
      </c>
      <c r="U161" s="221">
        <f t="shared" si="183"/>
        <v>1.3140978428776346</v>
      </c>
      <c r="V161" s="221">
        <f t="shared" si="184"/>
        <v>0.66118130459252045</v>
      </c>
      <c r="W161" s="201">
        <f t="shared" si="185"/>
        <v>350</v>
      </c>
      <c r="X161" s="451">
        <f t="shared" si="186"/>
        <v>350</v>
      </c>
      <c r="Z161" s="221">
        <f t="shared" si="187"/>
        <v>3.2584749380923919</v>
      </c>
      <c r="AA161" s="177">
        <f t="shared" si="188"/>
        <v>0.95636580992229525</v>
      </c>
      <c r="AB161" s="177">
        <f t="shared" si="246"/>
        <v>0.73256165472632317</v>
      </c>
      <c r="AC161" s="177"/>
      <c r="AD161" s="177">
        <f t="shared" si="190"/>
        <v>0.24067085953878403</v>
      </c>
      <c r="AE161" s="559">
        <f t="shared" si="247"/>
        <v>3847.6459590379886</v>
      </c>
      <c r="AF161" s="542">
        <f t="shared" si="248"/>
        <v>4.6392002252886505E-2</v>
      </c>
      <c r="AH161" s="177">
        <f t="shared" si="249"/>
        <v>2.640732736903737</v>
      </c>
      <c r="AI161" s="177">
        <f t="shared" si="250"/>
        <v>2.640732736903737</v>
      </c>
      <c r="AJ161" s="177">
        <f t="shared" si="251"/>
        <v>2.5486909162249907</v>
      </c>
      <c r="AL161" s="559">
        <f t="shared" si="252"/>
        <v>510</v>
      </c>
      <c r="AM161" s="469">
        <f t="shared" si="253"/>
        <v>350</v>
      </c>
      <c r="AO161">
        <f t="shared" si="198"/>
        <v>510</v>
      </c>
      <c r="AP161">
        <f t="shared" si="199"/>
        <v>350</v>
      </c>
      <c r="AR161" s="5">
        <f t="shared" si="237"/>
        <v>2.8571428571428572</v>
      </c>
      <c r="AS161" s="5">
        <f t="shared" si="234"/>
        <v>1.5404274298605132</v>
      </c>
      <c r="AT161" s="5">
        <f t="shared" si="235"/>
        <v>1.316715427282344</v>
      </c>
      <c r="AU161" s="177">
        <f t="shared" si="236"/>
        <v>0.53914960045117954</v>
      </c>
      <c r="AW161" s="5">
        <f t="shared" si="254"/>
        <v>17.111543209876547</v>
      </c>
      <c r="AX161" s="5">
        <f t="shared" si="255"/>
        <v>16.702883143939399</v>
      </c>
      <c r="AY161" s="5">
        <f t="shared" si="256"/>
        <v>1.2123152482368027</v>
      </c>
      <c r="AZ161" s="5">
        <f t="shared" si="257"/>
        <v>0.88415053919653341</v>
      </c>
      <c r="BA161" s="5">
        <f t="shared" si="258"/>
        <v>1.3155604137496404</v>
      </c>
      <c r="BB161" s="5"/>
      <c r="BC161" s="5"/>
      <c r="BD161" s="177">
        <f t="shared" si="208"/>
        <v>1.1194854821400015</v>
      </c>
      <c r="BE161" s="177">
        <f t="shared" si="209"/>
        <v>1.3903095724388601</v>
      </c>
      <c r="BF161" s="177">
        <f t="shared" si="210"/>
        <v>0.32645876669292218</v>
      </c>
      <c r="BG161" s="177"/>
      <c r="BH161" s="542">
        <f t="shared" si="211"/>
        <v>0.13785725191944548</v>
      </c>
      <c r="BI161" s="542">
        <f t="shared" si="212"/>
        <v>0.16567297008149823</v>
      </c>
      <c r="BJ161" s="542">
        <f t="shared" si="213"/>
        <v>1.7499999999999998E-2</v>
      </c>
      <c r="BK161" s="542">
        <f t="shared" si="214"/>
        <v>0.10121127187500001</v>
      </c>
      <c r="BL161">
        <f t="shared" si="215"/>
        <v>3.48E-3</v>
      </c>
      <c r="BM161" s="469">
        <f t="shared" si="216"/>
        <v>425.72149387594374</v>
      </c>
      <c r="BN161" s="177">
        <f t="shared" si="217"/>
        <v>0.45900000000000002</v>
      </c>
      <c r="BO161" s="177">
        <f t="shared" si="218"/>
        <v>0.11475</v>
      </c>
      <c r="BP161" s="542"/>
      <c r="BR161" s="469">
        <f t="shared" si="219"/>
        <v>573.75</v>
      </c>
      <c r="BS161" s="542">
        <f t="shared" si="220"/>
        <v>0</v>
      </c>
      <c r="BT161" s="542">
        <f t="shared" si="221"/>
        <v>0</v>
      </c>
      <c r="BU161" s="542">
        <f t="shared" si="222"/>
        <v>0</v>
      </c>
      <c r="BV161" s="542">
        <f t="shared" si="223"/>
        <v>0</v>
      </c>
      <c r="BW161" s="647">
        <f t="shared" si="259"/>
        <v>0</v>
      </c>
      <c r="BX161" s="469">
        <f t="shared" si="225"/>
        <v>0</v>
      </c>
      <c r="BY161" s="177">
        <f t="shared" si="226"/>
        <v>0.99947149387594381</v>
      </c>
      <c r="BZ161" s="5">
        <f t="shared" si="227"/>
        <v>8.5425000000000004</v>
      </c>
      <c r="CA161" s="177">
        <f t="shared" si="228"/>
        <v>0.89525524211454555</v>
      </c>
      <c r="CB161" s="5">
        <f t="shared" si="229"/>
        <v>89.525524211454552</v>
      </c>
      <c r="CC161">
        <f t="shared" si="230"/>
        <v>51</v>
      </c>
      <c r="CE161" s="576">
        <f t="shared" si="260"/>
        <v>-50</v>
      </c>
      <c r="CF161">
        <f t="shared" si="261"/>
        <v>-50</v>
      </c>
    </row>
    <row r="162" spans="5:84" x14ac:dyDescent="0.25">
      <c r="E162" s="174">
        <v>52</v>
      </c>
      <c r="F162" s="221">
        <f t="shared" si="262"/>
        <v>0.52</v>
      </c>
      <c r="G162" s="221">
        <f t="shared" si="238"/>
        <v>0.13</v>
      </c>
      <c r="H162" s="221">
        <f t="shared" si="239"/>
        <v>7.8000000000000007</v>
      </c>
      <c r="I162" s="221">
        <f t="shared" si="240"/>
        <v>0.91</v>
      </c>
      <c r="J162" s="555">
        <f t="shared" si="173"/>
        <v>12</v>
      </c>
      <c r="K162" s="451">
        <f t="shared" si="174"/>
        <v>23.85</v>
      </c>
      <c r="L162" s="451">
        <f t="shared" si="175"/>
        <v>35.85</v>
      </c>
      <c r="M162" s="451"/>
      <c r="N162" s="221">
        <f t="shared" si="176"/>
        <v>0.66527196652719667</v>
      </c>
      <c r="O162" s="176">
        <f t="shared" si="241"/>
        <v>13.923050021857241</v>
      </c>
      <c r="P162" s="176">
        <f t="shared" si="242"/>
        <v>1.6243558358833448</v>
      </c>
      <c r="Q162" s="221">
        <f t="shared" si="179"/>
        <v>0.92820333479048278</v>
      </c>
      <c r="R162" s="221">
        <f t="shared" si="243"/>
        <v>1.9890071459796059</v>
      </c>
      <c r="S162" s="221">
        <f t="shared" si="244"/>
        <v>15</v>
      </c>
      <c r="T162" s="221">
        <f t="shared" si="245"/>
        <v>2.2969105152819158</v>
      </c>
      <c r="U162" s="221">
        <f t="shared" si="183"/>
        <v>1.339864467247784</v>
      </c>
      <c r="V162" s="221">
        <f t="shared" si="184"/>
        <v>0.67414564389825615</v>
      </c>
      <c r="W162" s="201">
        <f t="shared" si="185"/>
        <v>350</v>
      </c>
      <c r="X162" s="451">
        <f t="shared" si="186"/>
        <v>350</v>
      </c>
      <c r="Z162" s="221">
        <f t="shared" si="187"/>
        <v>3.2584749380923919</v>
      </c>
      <c r="AA162" s="177">
        <f t="shared" si="188"/>
        <v>0.95636580992229525</v>
      </c>
      <c r="AB162" s="177">
        <f t="shared" si="246"/>
        <v>0.73256165472632317</v>
      </c>
      <c r="AC162" s="177"/>
      <c r="AD162" s="177">
        <f t="shared" si="190"/>
        <v>0.24067085953878403</v>
      </c>
      <c r="AE162" s="559">
        <f t="shared" si="247"/>
        <v>3923.0899974504982</v>
      </c>
      <c r="AF162" s="542">
        <f t="shared" si="248"/>
        <v>4.6392002252886505E-2</v>
      </c>
      <c r="AH162" s="177">
        <f t="shared" si="249"/>
        <v>2.6664965932160225</v>
      </c>
      <c r="AI162" s="177">
        <f t="shared" si="250"/>
        <v>2.6664965932160225</v>
      </c>
      <c r="AJ162" s="177">
        <f t="shared" si="251"/>
        <v>2.5677752542340908</v>
      </c>
      <c r="AL162" s="559">
        <f t="shared" si="252"/>
        <v>520</v>
      </c>
      <c r="AM162" s="469">
        <f t="shared" si="253"/>
        <v>350</v>
      </c>
      <c r="AO162">
        <f t="shared" si="198"/>
        <v>520</v>
      </c>
      <c r="AP162">
        <f t="shared" si="199"/>
        <v>350</v>
      </c>
      <c r="AR162" s="5">
        <f t="shared" si="237"/>
        <v>2.8571428571428572</v>
      </c>
      <c r="AS162" s="5">
        <f t="shared" si="234"/>
        <v>1.5554563460426798</v>
      </c>
      <c r="AT162" s="5">
        <f t="shared" si="235"/>
        <v>1.3016865111001774</v>
      </c>
      <c r="AU162" s="177">
        <f t="shared" si="236"/>
        <v>0.54440972111493791</v>
      </c>
      <c r="AW162" s="5">
        <f t="shared" si="254"/>
        <v>17.111543209876547</v>
      </c>
      <c r="AX162" s="5">
        <f t="shared" si="255"/>
        <v>17.333731649831652</v>
      </c>
      <c r="AY162" s="5">
        <f t="shared" si="256"/>
        <v>1.2123152482368027</v>
      </c>
      <c r="AZ162" s="5">
        <f t="shared" si="257"/>
        <v>0.91151597769605008</v>
      </c>
      <c r="BA162" s="5">
        <f t="shared" si="258"/>
        <v>1.3260455569219352</v>
      </c>
      <c r="BB162" s="5"/>
      <c r="BC162" s="5"/>
      <c r="BD162" s="177">
        <f t="shared" si="208"/>
        <v>1.1359084794636005</v>
      </c>
      <c r="BE162" s="177">
        <f t="shared" si="209"/>
        <v>1.3958390273149452</v>
      </c>
      <c r="BF162" s="177">
        <f t="shared" si="210"/>
        <v>0.32775713869230672</v>
      </c>
      <c r="BG162" s="177"/>
      <c r="BH162" s="542">
        <f t="shared" si="211"/>
        <v>0.141931688108904</v>
      </c>
      <c r="BI162" s="542">
        <f t="shared" si="212"/>
        <v>0.1672893300168902</v>
      </c>
      <c r="BJ162" s="542">
        <f t="shared" si="213"/>
        <v>1.7499999999999998E-2</v>
      </c>
      <c r="BK162" s="542">
        <f t="shared" si="214"/>
        <v>0.10121127187500001</v>
      </c>
      <c r="BL162">
        <f t="shared" si="215"/>
        <v>3.48E-3</v>
      </c>
      <c r="BM162" s="469">
        <f t="shared" si="216"/>
        <v>431.4122900007942</v>
      </c>
      <c r="BN162" s="177">
        <f t="shared" si="217"/>
        <v>0.46800000000000003</v>
      </c>
      <c r="BO162" s="177">
        <f t="shared" si="218"/>
        <v>0.11700000000000001</v>
      </c>
      <c r="BP162" s="542"/>
      <c r="BR162" s="469">
        <f t="shared" si="219"/>
        <v>585.00000000000011</v>
      </c>
      <c r="BS162" s="542">
        <f t="shared" si="220"/>
        <v>0</v>
      </c>
      <c r="BT162" s="542">
        <f t="shared" si="221"/>
        <v>0</v>
      </c>
      <c r="BU162" s="542">
        <f t="shared" si="222"/>
        <v>0</v>
      </c>
      <c r="BV162" s="542">
        <f t="shared" si="223"/>
        <v>0</v>
      </c>
      <c r="BW162" s="647">
        <f t="shared" si="259"/>
        <v>0</v>
      </c>
      <c r="BX162" s="469">
        <f t="shared" si="225"/>
        <v>0</v>
      </c>
      <c r="BY162" s="177">
        <f t="shared" si="226"/>
        <v>1.0164122900007941</v>
      </c>
      <c r="BZ162" s="5">
        <f t="shared" si="227"/>
        <v>8.7100000000000009</v>
      </c>
      <c r="CA162" s="177">
        <f t="shared" si="228"/>
        <v>0.8954997732261758</v>
      </c>
      <c r="CB162" s="5">
        <f t="shared" si="229"/>
        <v>89.549977322617579</v>
      </c>
      <c r="CC162">
        <f t="shared" si="230"/>
        <v>52</v>
      </c>
      <c r="CE162" s="576">
        <f t="shared" si="260"/>
        <v>-50</v>
      </c>
      <c r="CF162">
        <f t="shared" si="261"/>
        <v>-50</v>
      </c>
    </row>
    <row r="163" spans="5:84" x14ac:dyDescent="0.25">
      <c r="E163" s="174">
        <v>53</v>
      </c>
      <c r="F163" s="221">
        <f t="shared" si="262"/>
        <v>0.53</v>
      </c>
      <c r="G163" s="221">
        <f t="shared" si="238"/>
        <v>0.13250000000000001</v>
      </c>
      <c r="H163" s="221">
        <f t="shared" si="239"/>
        <v>7.95</v>
      </c>
      <c r="I163" s="221">
        <f t="shared" si="240"/>
        <v>0.92749999999999999</v>
      </c>
      <c r="J163" s="555">
        <f t="shared" si="173"/>
        <v>12</v>
      </c>
      <c r="K163" s="451">
        <f t="shared" si="174"/>
        <v>23.85</v>
      </c>
      <c r="L163" s="451">
        <f t="shared" si="175"/>
        <v>35.85</v>
      </c>
      <c r="M163" s="451"/>
      <c r="N163" s="221">
        <f t="shared" si="176"/>
        <v>0.66527196652719667</v>
      </c>
      <c r="O163" s="176">
        <f t="shared" si="241"/>
        <v>13.923050021857241</v>
      </c>
      <c r="P163" s="176">
        <f t="shared" si="242"/>
        <v>1.6243558358833448</v>
      </c>
      <c r="Q163" s="221">
        <f t="shared" si="179"/>
        <v>0.92820333479048278</v>
      </c>
      <c r="R163" s="221">
        <f t="shared" si="243"/>
        <v>1.9890071459796059</v>
      </c>
      <c r="S163" s="221">
        <f t="shared" si="244"/>
        <v>15</v>
      </c>
      <c r="T163" s="221">
        <f t="shared" si="245"/>
        <v>2.3410818713450294</v>
      </c>
      <c r="U163" s="221">
        <f t="shared" si="183"/>
        <v>1.3656310916179337</v>
      </c>
      <c r="V163" s="221">
        <f t="shared" si="184"/>
        <v>0.68710998320399175</v>
      </c>
      <c r="W163" s="201">
        <f t="shared" si="185"/>
        <v>350</v>
      </c>
      <c r="X163" s="451">
        <f t="shared" si="186"/>
        <v>350</v>
      </c>
      <c r="Z163" s="221">
        <f t="shared" si="187"/>
        <v>3.2584749380923919</v>
      </c>
      <c r="AA163" s="177">
        <f t="shared" si="188"/>
        <v>0.95636580992229525</v>
      </c>
      <c r="AB163" s="177">
        <f t="shared" si="246"/>
        <v>0.73256165472632317</v>
      </c>
      <c r="AC163" s="177"/>
      <c r="AD163" s="177">
        <f t="shared" si="190"/>
        <v>0.24067085953878403</v>
      </c>
      <c r="AE163" s="559">
        <f t="shared" si="247"/>
        <v>3998.5340358630078</v>
      </c>
      <c r="AF163" s="542">
        <f t="shared" si="248"/>
        <v>4.6392002252886505E-2</v>
      </c>
      <c r="AH163" s="177">
        <f t="shared" si="249"/>
        <v>2.6920138884318936</v>
      </c>
      <c r="AI163" s="177">
        <f t="shared" si="250"/>
        <v>2.6920138884318936</v>
      </c>
      <c r="AJ163" s="177">
        <f t="shared" si="251"/>
        <v>2.5866769543939956</v>
      </c>
      <c r="AL163" s="559">
        <f t="shared" si="252"/>
        <v>530</v>
      </c>
      <c r="AM163" s="469">
        <f t="shared" si="253"/>
        <v>350</v>
      </c>
      <c r="AO163">
        <f t="shared" si="198"/>
        <v>530</v>
      </c>
      <c r="AP163">
        <f t="shared" si="199"/>
        <v>350</v>
      </c>
      <c r="AR163" s="5">
        <f t="shared" si="237"/>
        <v>2.8571428571428572</v>
      </c>
      <c r="AS163" s="5">
        <f t="shared" si="234"/>
        <v>1.5703414349186047</v>
      </c>
      <c r="AT163" s="5">
        <f t="shared" si="235"/>
        <v>1.2868014222242525</v>
      </c>
      <c r="AU163" s="177">
        <f t="shared" si="236"/>
        <v>0.54961950222151157</v>
      </c>
      <c r="AW163" s="5">
        <f t="shared" si="254"/>
        <v>17.111543209876547</v>
      </c>
      <c r="AX163" s="5">
        <f t="shared" si="255"/>
        <v>17.976247117003371</v>
      </c>
      <c r="AY163" s="5">
        <f t="shared" si="256"/>
        <v>1.2123152482368027</v>
      </c>
      <c r="AZ163" s="5">
        <f t="shared" si="257"/>
        <v>0.93926715286546036</v>
      </c>
      <c r="BA163" s="5">
        <f t="shared" si="258"/>
        <v>1.3360911843036025</v>
      </c>
      <c r="BB163" s="5"/>
      <c r="BC163" s="5"/>
      <c r="BD163" s="177">
        <f t="shared" si="208"/>
        <v>1.1522527041156798</v>
      </c>
      <c r="BE163" s="177">
        <f t="shared" si="209"/>
        <v>1.4011162300044115</v>
      </c>
      <c r="BF163" s="177">
        <f t="shared" si="210"/>
        <v>0.3289962793238207</v>
      </c>
      <c r="BG163" s="177"/>
      <c r="BH163" s="542">
        <f t="shared" si="211"/>
        <v>0.1460454923556086</v>
      </c>
      <c r="BI163" s="542">
        <f t="shared" si="212"/>
        <v>0.16889022132549594</v>
      </c>
      <c r="BJ163" s="542">
        <f t="shared" si="213"/>
        <v>1.7499999999999998E-2</v>
      </c>
      <c r="BK163" s="542">
        <f t="shared" si="214"/>
        <v>0.10121127187500001</v>
      </c>
      <c r="BL163">
        <f t="shared" si="215"/>
        <v>3.48E-3</v>
      </c>
      <c r="BM163" s="469">
        <f t="shared" si="216"/>
        <v>437.1269855561045</v>
      </c>
      <c r="BN163" s="177">
        <f t="shared" si="217"/>
        <v>0.47700000000000004</v>
      </c>
      <c r="BO163" s="177">
        <f t="shared" si="218"/>
        <v>0.11925000000000001</v>
      </c>
      <c r="BP163" s="542"/>
      <c r="BR163" s="469">
        <f t="shared" si="219"/>
        <v>596.25000000000011</v>
      </c>
      <c r="BS163" s="542">
        <f t="shared" si="220"/>
        <v>0</v>
      </c>
      <c r="BT163" s="542">
        <f t="shared" si="221"/>
        <v>0</v>
      </c>
      <c r="BU163" s="542">
        <f t="shared" si="222"/>
        <v>0</v>
      </c>
      <c r="BV163" s="542">
        <f t="shared" si="223"/>
        <v>0</v>
      </c>
      <c r="BW163" s="647">
        <f t="shared" si="259"/>
        <v>0</v>
      </c>
      <c r="BX163" s="469">
        <f t="shared" si="225"/>
        <v>0</v>
      </c>
      <c r="BY163" s="177">
        <f t="shared" si="226"/>
        <v>1.0333769855561046</v>
      </c>
      <c r="BZ163" s="5">
        <f t="shared" si="227"/>
        <v>8.8774999999999995</v>
      </c>
      <c r="CA163" s="177">
        <f t="shared" si="228"/>
        <v>0.89573304289195332</v>
      </c>
      <c r="CB163" s="5">
        <f t="shared" si="229"/>
        <v>89.573304289195335</v>
      </c>
      <c r="CC163">
        <f t="shared" si="230"/>
        <v>53</v>
      </c>
      <c r="CE163" s="576">
        <f t="shared" si="260"/>
        <v>-50</v>
      </c>
      <c r="CF163">
        <f t="shared" si="261"/>
        <v>-50</v>
      </c>
    </row>
    <row r="164" spans="5:84" x14ac:dyDescent="0.25">
      <c r="E164" s="174">
        <v>54</v>
      </c>
      <c r="F164" s="221">
        <f t="shared" si="262"/>
        <v>0.54</v>
      </c>
      <c r="G164" s="221">
        <f t="shared" si="238"/>
        <v>0.13500000000000001</v>
      </c>
      <c r="H164" s="221">
        <f t="shared" si="239"/>
        <v>8.1000000000000014</v>
      </c>
      <c r="I164" s="221">
        <f t="shared" si="240"/>
        <v>0.94500000000000006</v>
      </c>
      <c r="J164" s="555">
        <f t="shared" si="173"/>
        <v>12</v>
      </c>
      <c r="K164" s="451">
        <f t="shared" si="174"/>
        <v>23.85</v>
      </c>
      <c r="L164" s="451">
        <f t="shared" si="175"/>
        <v>35.85</v>
      </c>
      <c r="M164" s="451"/>
      <c r="N164" s="221">
        <f t="shared" si="176"/>
        <v>0.66527196652719667</v>
      </c>
      <c r="O164" s="176">
        <f t="shared" si="241"/>
        <v>13.923050021857241</v>
      </c>
      <c r="P164" s="176">
        <f t="shared" si="242"/>
        <v>1.6243558358833448</v>
      </c>
      <c r="Q164" s="221">
        <f t="shared" si="179"/>
        <v>0.92820333479048278</v>
      </c>
      <c r="R164" s="221">
        <f t="shared" si="243"/>
        <v>1.9890071459796059</v>
      </c>
      <c r="S164" s="221">
        <f t="shared" si="244"/>
        <v>15</v>
      </c>
      <c r="T164" s="221">
        <f t="shared" si="245"/>
        <v>2.3852532274081435</v>
      </c>
      <c r="U164" s="221">
        <f t="shared" si="183"/>
        <v>1.3913977159880837</v>
      </c>
      <c r="V164" s="221">
        <f t="shared" si="184"/>
        <v>0.70007432250972756</v>
      </c>
      <c r="W164" s="201">
        <f t="shared" si="185"/>
        <v>350</v>
      </c>
      <c r="X164" s="451">
        <f t="shared" si="186"/>
        <v>350</v>
      </c>
      <c r="Z164" s="221">
        <f t="shared" si="187"/>
        <v>3.2584749380923919</v>
      </c>
      <c r="AA164" s="177">
        <f t="shared" si="188"/>
        <v>0.95636580992229525</v>
      </c>
      <c r="AB164" s="177">
        <f t="shared" si="246"/>
        <v>0.73256165472632317</v>
      </c>
      <c r="AC164" s="177"/>
      <c r="AD164" s="177">
        <f t="shared" si="190"/>
        <v>0.24067085953878403</v>
      </c>
      <c r="AE164" s="559">
        <f t="shared" si="247"/>
        <v>4073.9780742755174</v>
      </c>
      <c r="AF164" s="542">
        <f t="shared" si="248"/>
        <v>4.6392002252886505E-2</v>
      </c>
      <c r="AH164" s="177">
        <f t="shared" si="249"/>
        <v>2.717291568710976</v>
      </c>
      <c r="AI164" s="177">
        <f t="shared" si="250"/>
        <v>2.717291568710976</v>
      </c>
      <c r="AJ164" s="177">
        <f t="shared" si="251"/>
        <v>2.6054011620081305</v>
      </c>
      <c r="AL164" s="559">
        <f t="shared" si="252"/>
        <v>540</v>
      </c>
      <c r="AM164" s="469">
        <f t="shared" si="253"/>
        <v>350</v>
      </c>
      <c r="AO164">
        <f t="shared" si="198"/>
        <v>540</v>
      </c>
      <c r="AP164">
        <f t="shared" si="199"/>
        <v>350</v>
      </c>
      <c r="AR164" s="5">
        <f t="shared" si="237"/>
        <v>2.8571428571428572</v>
      </c>
      <c r="AS164" s="5">
        <f t="shared" si="234"/>
        <v>1.585086748414736</v>
      </c>
      <c r="AT164" s="5">
        <f t="shared" si="235"/>
        <v>1.2720561087281212</v>
      </c>
      <c r="AU164" s="177">
        <f t="shared" si="236"/>
        <v>0.55478036194515756</v>
      </c>
      <c r="AW164" s="5">
        <f t="shared" si="254"/>
        <v>17.111543209876547</v>
      </c>
      <c r="AX164" s="5">
        <f t="shared" si="255"/>
        <v>18.630429545454554</v>
      </c>
      <c r="AY164" s="5">
        <f t="shared" si="256"/>
        <v>1.2123152482368027</v>
      </c>
      <c r="AZ164" s="5">
        <f t="shared" si="257"/>
        <v>0.96740406470476414</v>
      </c>
      <c r="BA164" s="5">
        <f t="shared" si="258"/>
        <v>1.3457014623913286</v>
      </c>
      <c r="BB164" s="5"/>
      <c r="BC164" s="5"/>
      <c r="BD164" s="177">
        <f t="shared" si="208"/>
        <v>1.1685200097889918</v>
      </c>
      <c r="BE164" s="177">
        <f t="shared" si="209"/>
        <v>1.4061461974105367</v>
      </c>
      <c r="BF164" s="177">
        <f t="shared" si="210"/>
        <v>0.33017736660715774</v>
      </c>
      <c r="BG164" s="177"/>
      <c r="BH164" s="542">
        <f t="shared" si="211"/>
        <v>0.15019829146049921</v>
      </c>
      <c r="BI164" s="542">
        <f t="shared" si="212"/>
        <v>0.17047607979200485</v>
      </c>
      <c r="BJ164" s="542">
        <f t="shared" si="213"/>
        <v>1.7499999999999998E-2</v>
      </c>
      <c r="BK164" s="542">
        <f t="shared" si="214"/>
        <v>0.10121127187500001</v>
      </c>
      <c r="BL164">
        <f t="shared" si="215"/>
        <v>3.48E-3</v>
      </c>
      <c r="BM164" s="469">
        <f t="shared" si="216"/>
        <v>442.86564312750409</v>
      </c>
      <c r="BN164" s="177">
        <f t="shared" si="217"/>
        <v>0.48600000000000004</v>
      </c>
      <c r="BO164" s="177">
        <f t="shared" si="218"/>
        <v>0.12150000000000001</v>
      </c>
      <c r="BP164" s="542"/>
      <c r="BR164" s="469">
        <f t="shared" si="219"/>
        <v>607.5</v>
      </c>
      <c r="BS164" s="542">
        <f t="shared" si="220"/>
        <v>0</v>
      </c>
      <c r="BT164" s="542">
        <f t="shared" si="221"/>
        <v>0</v>
      </c>
      <c r="BU164" s="542">
        <f t="shared" si="222"/>
        <v>0</v>
      </c>
      <c r="BV164" s="542">
        <f t="shared" si="223"/>
        <v>0</v>
      </c>
      <c r="BW164" s="647">
        <f t="shared" si="259"/>
        <v>0</v>
      </c>
      <c r="BX164" s="469">
        <f t="shared" si="225"/>
        <v>0</v>
      </c>
      <c r="BY164" s="177">
        <f t="shared" si="226"/>
        <v>1.0503656431275041</v>
      </c>
      <c r="BZ164" s="5">
        <f t="shared" si="227"/>
        <v>9.0450000000000017</v>
      </c>
      <c r="CA164" s="177">
        <f t="shared" si="228"/>
        <v>0.89595566121544612</v>
      </c>
      <c r="CB164" s="5">
        <f t="shared" si="229"/>
        <v>89.595566121544607</v>
      </c>
      <c r="CC164">
        <f t="shared" si="230"/>
        <v>54</v>
      </c>
      <c r="CE164" s="576">
        <f t="shared" si="260"/>
        <v>-50</v>
      </c>
      <c r="CF164">
        <f t="shared" si="261"/>
        <v>-50</v>
      </c>
    </row>
    <row r="165" spans="5:84" x14ac:dyDescent="0.25">
      <c r="E165" s="174">
        <v>55</v>
      </c>
      <c r="F165" s="221">
        <f t="shared" si="262"/>
        <v>0.55000000000000004</v>
      </c>
      <c r="G165" s="221">
        <f t="shared" si="238"/>
        <v>0.13750000000000001</v>
      </c>
      <c r="H165" s="221">
        <f t="shared" si="239"/>
        <v>8.25</v>
      </c>
      <c r="I165" s="221">
        <f t="shared" si="240"/>
        <v>0.96250000000000013</v>
      </c>
      <c r="J165" s="555">
        <f t="shared" si="173"/>
        <v>12</v>
      </c>
      <c r="K165" s="451">
        <f t="shared" si="174"/>
        <v>23.85</v>
      </c>
      <c r="L165" s="451">
        <f t="shared" si="175"/>
        <v>35.85</v>
      </c>
      <c r="M165" s="451"/>
      <c r="N165" s="221">
        <f t="shared" si="176"/>
        <v>0.66527196652719667</v>
      </c>
      <c r="O165" s="176">
        <f t="shared" si="241"/>
        <v>13.923050021857241</v>
      </c>
      <c r="P165" s="176">
        <f t="shared" si="242"/>
        <v>1.6243558358833448</v>
      </c>
      <c r="Q165" s="221">
        <f t="shared" si="179"/>
        <v>0.92820333479048278</v>
      </c>
      <c r="R165" s="221">
        <f t="shared" si="243"/>
        <v>1.9890071459796059</v>
      </c>
      <c r="S165" s="221">
        <f t="shared" si="244"/>
        <v>15</v>
      </c>
      <c r="T165" s="221">
        <f t="shared" si="245"/>
        <v>2.4294245834712571</v>
      </c>
      <c r="U165" s="221">
        <f t="shared" si="183"/>
        <v>1.4171643403582332</v>
      </c>
      <c r="V165" s="221">
        <f t="shared" si="184"/>
        <v>0.71303866181546327</v>
      </c>
      <c r="W165" s="201">
        <f t="shared" si="185"/>
        <v>350</v>
      </c>
      <c r="X165" s="451">
        <f t="shared" si="186"/>
        <v>350</v>
      </c>
      <c r="Z165" s="221">
        <f t="shared" si="187"/>
        <v>3.2584749380923919</v>
      </c>
      <c r="AA165" s="177">
        <f t="shared" si="188"/>
        <v>0.95636580992229525</v>
      </c>
      <c r="AB165" s="177">
        <f t="shared" si="246"/>
        <v>0.73256165472632317</v>
      </c>
      <c r="AC165" s="177"/>
      <c r="AD165" s="177">
        <f t="shared" si="190"/>
        <v>0.24067085953878403</v>
      </c>
      <c r="AE165" s="559">
        <f t="shared" si="247"/>
        <v>4149.4221126880275</v>
      </c>
      <c r="AF165" s="542">
        <f t="shared" si="248"/>
        <v>4.6392002252886505E-2</v>
      </c>
      <c r="AH165" s="177">
        <f t="shared" si="249"/>
        <v>2.7423362600646382</v>
      </c>
      <c r="AI165" s="177">
        <f t="shared" si="250"/>
        <v>2.7423362600646382</v>
      </c>
      <c r="AJ165" s="177">
        <f t="shared" si="251"/>
        <v>2.6239527852330653</v>
      </c>
      <c r="AL165" s="559">
        <f t="shared" si="252"/>
        <v>550</v>
      </c>
      <c r="AM165" s="469">
        <f t="shared" si="253"/>
        <v>350</v>
      </c>
      <c r="AO165">
        <f t="shared" si="198"/>
        <v>550</v>
      </c>
      <c r="AP165">
        <f t="shared" si="199"/>
        <v>350</v>
      </c>
      <c r="AR165" s="5">
        <f t="shared" si="237"/>
        <v>2.8571428571428572</v>
      </c>
      <c r="AS165" s="5">
        <f t="shared" si="234"/>
        <v>1.5996961517043724</v>
      </c>
      <c r="AT165" s="5">
        <f t="shared" si="235"/>
        <v>1.2574467054384848</v>
      </c>
      <c r="AU165" s="177">
        <f t="shared" si="236"/>
        <v>0.55989365309653027</v>
      </c>
      <c r="AW165" s="5">
        <f t="shared" si="254"/>
        <v>17.111543209876547</v>
      </c>
      <c r="AX165" s="5">
        <f t="shared" si="255"/>
        <v>19.296278935185192</v>
      </c>
      <c r="AY165" s="5">
        <f t="shared" si="256"/>
        <v>1.2123152482368027</v>
      </c>
      <c r="AZ165" s="5">
        <f t="shared" si="257"/>
        <v>0.99592671321396153</v>
      </c>
      <c r="BA165" s="5">
        <f t="shared" si="258"/>
        <v>1.3548804413862037</v>
      </c>
      <c r="BB165" s="5"/>
      <c r="BC165" s="5"/>
      <c r="BD165" s="177">
        <f t="shared" si="208"/>
        <v>1.1847121731047279</v>
      </c>
      <c r="BE165" s="177">
        <f t="shared" si="209"/>
        <v>1.4109336825985097</v>
      </c>
      <c r="BF165" s="177">
        <f t="shared" si="210"/>
        <v>0.33130151661015639</v>
      </c>
      <c r="BG165" s="177"/>
      <c r="BH165" s="542">
        <f t="shared" si="211"/>
        <v>0.15438972264127793</v>
      </c>
      <c r="BI165" s="542">
        <f t="shared" si="212"/>
        <v>0.17204732111580526</v>
      </c>
      <c r="BJ165" s="542">
        <f t="shared" si="213"/>
        <v>1.7499999999999998E-2</v>
      </c>
      <c r="BK165" s="542">
        <f t="shared" si="214"/>
        <v>0.10121127187500001</v>
      </c>
      <c r="BL165">
        <f t="shared" si="215"/>
        <v>3.48E-3</v>
      </c>
      <c r="BM165" s="469">
        <f t="shared" si="216"/>
        <v>448.62831563208317</v>
      </c>
      <c r="BN165" s="177">
        <f t="shared" si="217"/>
        <v>0.49500000000000005</v>
      </c>
      <c r="BO165" s="177">
        <f t="shared" si="218"/>
        <v>0.12375000000000001</v>
      </c>
      <c r="BP165" s="542"/>
      <c r="BR165" s="469">
        <f t="shared" si="219"/>
        <v>618.75</v>
      </c>
      <c r="BS165" s="542">
        <f t="shared" si="220"/>
        <v>0</v>
      </c>
      <c r="BT165" s="542">
        <f t="shared" si="221"/>
        <v>0</v>
      </c>
      <c r="BU165" s="542">
        <f t="shared" si="222"/>
        <v>0</v>
      </c>
      <c r="BV165" s="542">
        <f t="shared" si="223"/>
        <v>0</v>
      </c>
      <c r="BW165" s="647">
        <f t="shared" si="259"/>
        <v>0</v>
      </c>
      <c r="BX165" s="469">
        <f t="shared" si="225"/>
        <v>0</v>
      </c>
      <c r="BY165" s="177">
        <f t="shared" si="226"/>
        <v>1.0673783156320833</v>
      </c>
      <c r="BZ165" s="5">
        <f t="shared" si="227"/>
        <v>9.2125000000000004</v>
      </c>
      <c r="CA165" s="177">
        <f t="shared" si="228"/>
        <v>0.89616819549225823</v>
      </c>
      <c r="CB165" s="5">
        <f t="shared" si="229"/>
        <v>89.616819549225823</v>
      </c>
      <c r="CC165">
        <f t="shared" si="230"/>
        <v>55.000000000000007</v>
      </c>
      <c r="CE165" s="576">
        <f t="shared" si="260"/>
        <v>-50</v>
      </c>
      <c r="CF165">
        <f t="shared" si="261"/>
        <v>-50</v>
      </c>
    </row>
    <row r="166" spans="5:84" x14ac:dyDescent="0.25">
      <c r="E166" s="174">
        <v>56</v>
      </c>
      <c r="F166" s="221">
        <f t="shared" si="262"/>
        <v>0.56000000000000005</v>
      </c>
      <c r="G166" s="221">
        <f t="shared" si="238"/>
        <v>0.14000000000000001</v>
      </c>
      <c r="H166" s="221">
        <f t="shared" si="239"/>
        <v>8.4</v>
      </c>
      <c r="I166" s="221">
        <f t="shared" si="240"/>
        <v>0.98000000000000009</v>
      </c>
      <c r="J166" s="555">
        <f t="shared" si="173"/>
        <v>12</v>
      </c>
      <c r="K166" s="451">
        <f t="shared" si="174"/>
        <v>23.85</v>
      </c>
      <c r="L166" s="451">
        <f t="shared" si="175"/>
        <v>35.85</v>
      </c>
      <c r="M166" s="451"/>
      <c r="N166" s="221">
        <f t="shared" si="176"/>
        <v>0.66527196652719667</v>
      </c>
      <c r="O166" s="176">
        <f t="shared" si="241"/>
        <v>13.923050021857241</v>
      </c>
      <c r="P166" s="176">
        <f t="shared" si="242"/>
        <v>1.6243558358833448</v>
      </c>
      <c r="Q166" s="221">
        <f t="shared" si="179"/>
        <v>0.92820333479048278</v>
      </c>
      <c r="R166" s="221">
        <f t="shared" si="243"/>
        <v>1.9890071459796059</v>
      </c>
      <c r="S166" s="221">
        <f t="shared" si="244"/>
        <v>15</v>
      </c>
      <c r="T166" s="221">
        <f t="shared" si="245"/>
        <v>2.4735959395343712</v>
      </c>
      <c r="U166" s="221">
        <f t="shared" si="183"/>
        <v>1.4429309647283832</v>
      </c>
      <c r="V166" s="221">
        <f t="shared" si="184"/>
        <v>0.72600300112119898</v>
      </c>
      <c r="W166" s="201">
        <f t="shared" si="185"/>
        <v>350</v>
      </c>
      <c r="X166" s="451">
        <f t="shared" si="186"/>
        <v>350</v>
      </c>
      <c r="Z166" s="221">
        <f t="shared" si="187"/>
        <v>3.2584749380923919</v>
      </c>
      <c r="AA166" s="177">
        <f t="shared" si="188"/>
        <v>0.95636580992229525</v>
      </c>
      <c r="AB166" s="177">
        <f t="shared" si="246"/>
        <v>0.73256165472632317</v>
      </c>
      <c r="AC166" s="177"/>
      <c r="AD166" s="177">
        <f t="shared" si="190"/>
        <v>0.24067085953878403</v>
      </c>
      <c r="AE166" s="559">
        <f t="shared" si="247"/>
        <v>4224.8661511005366</v>
      </c>
      <c r="AF166" s="542">
        <f t="shared" si="248"/>
        <v>4.6392002252886505E-2</v>
      </c>
      <c r="AH166" s="177">
        <f t="shared" si="249"/>
        <v>2.767154288640743</v>
      </c>
      <c r="AI166" s="177">
        <f t="shared" si="250"/>
        <v>2.767154288640743</v>
      </c>
      <c r="AJ166" s="177">
        <f t="shared" si="251"/>
        <v>2.6423365101042542</v>
      </c>
      <c r="AL166" s="559">
        <f t="shared" si="252"/>
        <v>560</v>
      </c>
      <c r="AM166" s="469">
        <f t="shared" si="253"/>
        <v>350</v>
      </c>
      <c r="AO166">
        <f t="shared" si="198"/>
        <v>560</v>
      </c>
      <c r="AP166">
        <f t="shared" si="199"/>
        <v>350</v>
      </c>
      <c r="AR166" s="5">
        <f t="shared" si="237"/>
        <v>2.8571428571428572</v>
      </c>
      <c r="AS166" s="5">
        <f t="shared" si="234"/>
        <v>1.6141733350404335</v>
      </c>
      <c r="AT166" s="5">
        <f t="shared" si="235"/>
        <v>1.2429695221024237</v>
      </c>
      <c r="AU166" s="177">
        <f t="shared" si="236"/>
        <v>0.56496066726415173</v>
      </c>
      <c r="AW166" s="5">
        <f t="shared" si="254"/>
        <v>17.111543209876547</v>
      </c>
      <c r="AX166" s="5">
        <f t="shared" si="255"/>
        <v>19.973795286195291</v>
      </c>
      <c r="AY166" s="5">
        <f t="shared" si="256"/>
        <v>1.2123152482368027</v>
      </c>
      <c r="AZ166" s="5">
        <f t="shared" si="257"/>
        <v>1.0248350983930523</v>
      </c>
      <c r="BA166" s="5">
        <f t="shared" si="258"/>
        <v>1.3636320605053491</v>
      </c>
      <c r="BB166" s="5"/>
      <c r="BC166" s="5"/>
      <c r="BD166" s="177">
        <f t="shared" si="208"/>
        <v>1.2008308981573774</v>
      </c>
      <c r="BE166" s="177">
        <f t="shared" si="209"/>
        <v>1.4154831904665839</v>
      </c>
      <c r="BF166" s="177">
        <f t="shared" si="210"/>
        <v>0.33236978712854598</v>
      </c>
      <c r="BG166" s="177"/>
      <c r="BH166" s="542">
        <f t="shared" si="211"/>
        <v>0.15861943305663992</v>
      </c>
      <c r="BI166" s="542">
        <f t="shared" si="212"/>
        <v>0.17360434218359863</v>
      </c>
      <c r="BJ166" s="542">
        <f t="shared" si="213"/>
        <v>1.7499999999999998E-2</v>
      </c>
      <c r="BK166" s="542">
        <f t="shared" si="214"/>
        <v>0.10121127187500001</v>
      </c>
      <c r="BL166">
        <f t="shared" si="215"/>
        <v>3.48E-3</v>
      </c>
      <c r="BM166" s="469">
        <f t="shared" si="216"/>
        <v>454.41504711523856</v>
      </c>
      <c r="BN166" s="177">
        <f t="shared" si="217"/>
        <v>0.50400000000000011</v>
      </c>
      <c r="BO166" s="177">
        <f t="shared" si="218"/>
        <v>0.12600000000000003</v>
      </c>
      <c r="BP166" s="542"/>
      <c r="BR166" s="469">
        <f t="shared" si="219"/>
        <v>630.00000000000011</v>
      </c>
      <c r="BS166" s="542">
        <f t="shared" si="220"/>
        <v>0</v>
      </c>
      <c r="BT166" s="542">
        <f t="shared" si="221"/>
        <v>0</v>
      </c>
      <c r="BU166" s="542">
        <f t="shared" si="222"/>
        <v>0</v>
      </c>
      <c r="BV166" s="542">
        <f t="shared" si="223"/>
        <v>0</v>
      </c>
      <c r="BW166" s="647">
        <f t="shared" si="259"/>
        <v>0</v>
      </c>
      <c r="BX166" s="469">
        <f t="shared" si="225"/>
        <v>0</v>
      </c>
      <c r="BY166" s="177">
        <f t="shared" si="226"/>
        <v>1.0844150471152387</v>
      </c>
      <c r="BZ166" s="5">
        <f t="shared" si="227"/>
        <v>9.3800000000000008</v>
      </c>
      <c r="CA166" s="177">
        <f t="shared" si="228"/>
        <v>0.89637117390386933</v>
      </c>
      <c r="CB166" s="5">
        <f t="shared" si="229"/>
        <v>89.637117390386933</v>
      </c>
      <c r="CC166">
        <f t="shared" si="230"/>
        <v>56.000000000000007</v>
      </c>
      <c r="CE166" s="576">
        <f t="shared" si="260"/>
        <v>-50</v>
      </c>
      <c r="CF166">
        <f t="shared" si="261"/>
        <v>-50</v>
      </c>
    </row>
    <row r="167" spans="5:84" x14ac:dyDescent="0.25">
      <c r="E167" s="174">
        <v>57</v>
      </c>
      <c r="F167" s="221">
        <f t="shared" si="262"/>
        <v>0.56999999999999995</v>
      </c>
      <c r="G167" s="221">
        <f t="shared" si="238"/>
        <v>0.14249999999999999</v>
      </c>
      <c r="H167" s="221">
        <f t="shared" si="239"/>
        <v>8.5499999999999989</v>
      </c>
      <c r="I167" s="221">
        <f t="shared" si="240"/>
        <v>0.99749999999999994</v>
      </c>
      <c r="J167" s="555">
        <f t="shared" si="173"/>
        <v>12</v>
      </c>
      <c r="K167" s="451">
        <f t="shared" si="174"/>
        <v>23.85</v>
      </c>
      <c r="L167" s="451">
        <f t="shared" si="175"/>
        <v>35.85</v>
      </c>
      <c r="M167" s="451"/>
      <c r="N167" s="221">
        <f t="shared" si="176"/>
        <v>0.66527196652719667</v>
      </c>
      <c r="O167" s="176">
        <f t="shared" si="241"/>
        <v>13.923050021857241</v>
      </c>
      <c r="P167" s="176">
        <f t="shared" si="242"/>
        <v>1.6243558358833448</v>
      </c>
      <c r="Q167" s="221">
        <f t="shared" si="179"/>
        <v>0.92820333479048278</v>
      </c>
      <c r="R167" s="221">
        <f t="shared" si="243"/>
        <v>1.9890071459796059</v>
      </c>
      <c r="S167" s="221">
        <f t="shared" si="244"/>
        <v>15</v>
      </c>
      <c r="T167" s="221">
        <f t="shared" si="245"/>
        <v>2.5177672955974844</v>
      </c>
      <c r="U167" s="221">
        <f t="shared" si="183"/>
        <v>1.4686975890985325</v>
      </c>
      <c r="V167" s="221">
        <f t="shared" si="184"/>
        <v>0.73896734042693446</v>
      </c>
      <c r="W167" s="201">
        <f t="shared" si="185"/>
        <v>350</v>
      </c>
      <c r="X167" s="451">
        <f t="shared" si="186"/>
        <v>350</v>
      </c>
      <c r="Z167" s="221">
        <f t="shared" si="187"/>
        <v>3.2584749380923919</v>
      </c>
      <c r="AA167" s="177">
        <f t="shared" si="188"/>
        <v>0.95636580992229525</v>
      </c>
      <c r="AB167" s="177">
        <f t="shared" si="246"/>
        <v>0.73256165472632317</v>
      </c>
      <c r="AC167" s="177"/>
      <c r="AD167" s="177">
        <f t="shared" si="190"/>
        <v>0.24067085953878403</v>
      </c>
      <c r="AE167" s="559">
        <f t="shared" si="247"/>
        <v>4300.3101895130449</v>
      </c>
      <c r="AF167" s="542">
        <f t="shared" si="248"/>
        <v>4.6392002252886505E-2</v>
      </c>
      <c r="AH167" s="177">
        <f t="shared" si="249"/>
        <v>2.7917516993852458</v>
      </c>
      <c r="AI167" s="177">
        <f t="shared" si="250"/>
        <v>2.7917516993852458</v>
      </c>
      <c r="AJ167" s="177">
        <f t="shared" si="251"/>
        <v>2.6605568143594418</v>
      </c>
      <c r="AL167" s="559">
        <f t="shared" si="252"/>
        <v>570</v>
      </c>
      <c r="AM167" s="469">
        <f t="shared" si="253"/>
        <v>350</v>
      </c>
      <c r="AO167">
        <f t="shared" si="198"/>
        <v>570</v>
      </c>
      <c r="AP167">
        <f t="shared" si="199"/>
        <v>350</v>
      </c>
      <c r="AR167" s="5">
        <f t="shared" si="237"/>
        <v>2.8571428571428572</v>
      </c>
      <c r="AS167" s="5">
        <f t="shared" si="234"/>
        <v>1.6285218246413933</v>
      </c>
      <c r="AT167" s="5">
        <f t="shared" si="235"/>
        <v>1.2286210325014639</v>
      </c>
      <c r="AU167" s="177">
        <f t="shared" si="236"/>
        <v>0.56998263862448761</v>
      </c>
      <c r="AW167" s="5">
        <f t="shared" si="254"/>
        <v>17.111543209876547</v>
      </c>
      <c r="AX167" s="5">
        <f t="shared" si="255"/>
        <v>20.662978598484852</v>
      </c>
      <c r="AY167" s="5">
        <f t="shared" si="256"/>
        <v>1.2123152482368027</v>
      </c>
      <c r="AZ167" s="5">
        <f t="shared" si="257"/>
        <v>1.0541292202420363</v>
      </c>
      <c r="BA167" s="5">
        <f t="shared" si="258"/>
        <v>1.3719601529599681</v>
      </c>
      <c r="BB167" s="5"/>
      <c r="BC167" s="5"/>
      <c r="BD167" s="177">
        <f t="shared" si="208"/>
        <v>1.2168778207153437</v>
      </c>
      <c r="BE167" s="177">
        <f t="shared" si="209"/>
        <v>1.4197989921321392</v>
      </c>
      <c r="BF167" s="177">
        <f t="shared" si="210"/>
        <v>0.33338318106393899</v>
      </c>
      <c r="BG167" s="177"/>
      <c r="BH167" s="542">
        <f t="shared" si="211"/>
        <v>0.16288707936038166</v>
      </c>
      <c r="BI167" s="542">
        <f t="shared" si="212"/>
        <v>0.17514752224018187</v>
      </c>
      <c r="BJ167" s="542">
        <f t="shared" si="213"/>
        <v>1.7499999999999998E-2</v>
      </c>
      <c r="BK167" s="542">
        <f t="shared" si="214"/>
        <v>0.10121127187500001</v>
      </c>
      <c r="BL167">
        <f t="shared" si="215"/>
        <v>3.48E-3</v>
      </c>
      <c r="BM167" s="469">
        <f t="shared" si="216"/>
        <v>460.22587347556356</v>
      </c>
      <c r="BN167" s="177">
        <f t="shared" si="217"/>
        <v>0.51300000000000001</v>
      </c>
      <c r="BO167" s="177">
        <f t="shared" si="218"/>
        <v>0.12825</v>
      </c>
      <c r="BP167" s="542"/>
      <c r="BR167" s="469">
        <f t="shared" si="219"/>
        <v>641.25</v>
      </c>
      <c r="BS167" s="542">
        <f t="shared" si="220"/>
        <v>0</v>
      </c>
      <c r="BT167" s="542">
        <f t="shared" si="221"/>
        <v>0</v>
      </c>
      <c r="BU167" s="542">
        <f t="shared" si="222"/>
        <v>0</v>
      </c>
      <c r="BV167" s="542">
        <f t="shared" si="223"/>
        <v>0</v>
      </c>
      <c r="BW167" s="647">
        <f t="shared" si="259"/>
        <v>0</v>
      </c>
      <c r="BX167" s="469">
        <f t="shared" si="225"/>
        <v>0</v>
      </c>
      <c r="BY167" s="177">
        <f t="shared" si="226"/>
        <v>1.1014758734755636</v>
      </c>
      <c r="BZ167" s="5">
        <f t="shared" si="227"/>
        <v>9.5474999999999994</v>
      </c>
      <c r="CA167" s="177">
        <f t="shared" si="228"/>
        <v>0.89656508883458763</v>
      </c>
      <c r="CB167" s="5">
        <f t="shared" si="229"/>
        <v>89.65650888345877</v>
      </c>
      <c r="CC167">
        <f t="shared" si="230"/>
        <v>56.999999999999993</v>
      </c>
      <c r="CE167" s="576">
        <f t="shared" si="260"/>
        <v>-50</v>
      </c>
      <c r="CF167">
        <f t="shared" si="261"/>
        <v>-50</v>
      </c>
    </row>
    <row r="168" spans="5:84" x14ac:dyDescent="0.25">
      <c r="E168" s="174">
        <v>58</v>
      </c>
      <c r="F168" s="221">
        <f t="shared" si="262"/>
        <v>0.57999999999999996</v>
      </c>
      <c r="G168" s="221">
        <f t="shared" si="238"/>
        <v>0.14499999999999999</v>
      </c>
      <c r="H168" s="221">
        <f t="shared" si="239"/>
        <v>8.6999999999999993</v>
      </c>
      <c r="I168" s="221">
        <f t="shared" si="240"/>
        <v>1.0149999999999999</v>
      </c>
      <c r="J168" s="555">
        <f t="shared" si="173"/>
        <v>12</v>
      </c>
      <c r="K168" s="451">
        <f t="shared" si="174"/>
        <v>23.85</v>
      </c>
      <c r="L168" s="451">
        <f t="shared" si="175"/>
        <v>35.85</v>
      </c>
      <c r="M168" s="451"/>
      <c r="N168" s="221">
        <f t="shared" si="176"/>
        <v>0.66527196652719667</v>
      </c>
      <c r="O168" s="176">
        <f t="shared" si="241"/>
        <v>13.923050021857241</v>
      </c>
      <c r="P168" s="176">
        <f t="shared" si="242"/>
        <v>1.6243558358833448</v>
      </c>
      <c r="Q168" s="221">
        <f t="shared" si="179"/>
        <v>0.92820333479048278</v>
      </c>
      <c r="R168" s="221">
        <f t="shared" si="243"/>
        <v>1.9890071459796059</v>
      </c>
      <c r="S168" s="221">
        <f t="shared" si="244"/>
        <v>15</v>
      </c>
      <c r="T168" s="221">
        <f t="shared" si="245"/>
        <v>2.5619386516605984</v>
      </c>
      <c r="U168" s="221">
        <f t="shared" si="183"/>
        <v>1.4944642134686823</v>
      </c>
      <c r="V168" s="221">
        <f t="shared" si="184"/>
        <v>0.75193167973267039</v>
      </c>
      <c r="W168" s="201">
        <f t="shared" si="185"/>
        <v>350</v>
      </c>
      <c r="X168" s="451">
        <f t="shared" si="186"/>
        <v>350</v>
      </c>
      <c r="Z168" s="221">
        <f t="shared" si="187"/>
        <v>3.2584749380923919</v>
      </c>
      <c r="AA168" s="177">
        <f t="shared" si="188"/>
        <v>0.95636580992229525</v>
      </c>
      <c r="AB168" s="177">
        <f t="shared" si="246"/>
        <v>0.73256165472632317</v>
      </c>
      <c r="AC168" s="177"/>
      <c r="AD168" s="177">
        <f t="shared" si="190"/>
        <v>0.24067085953878403</v>
      </c>
      <c r="AE168" s="559">
        <f t="shared" si="247"/>
        <v>4375.7542279255549</v>
      </c>
      <c r="AF168" s="542">
        <f t="shared" si="248"/>
        <v>4.6392002252886505E-2</v>
      </c>
      <c r="AH168" s="177">
        <f t="shared" si="249"/>
        <v>2.8161342732366221</v>
      </c>
      <c r="AI168" s="177">
        <f t="shared" si="250"/>
        <v>2.8161342732366221</v>
      </c>
      <c r="AJ168" s="177">
        <f t="shared" si="251"/>
        <v>2.6786179801752761</v>
      </c>
      <c r="AL168" s="559">
        <f t="shared" si="252"/>
        <v>580</v>
      </c>
      <c r="AM168" s="469">
        <f t="shared" si="253"/>
        <v>350</v>
      </c>
      <c r="AO168">
        <f t="shared" si="198"/>
        <v>580</v>
      </c>
      <c r="AP168">
        <f t="shared" si="199"/>
        <v>350</v>
      </c>
      <c r="AR168" s="5">
        <f t="shared" si="237"/>
        <v>2.8571428571428572</v>
      </c>
      <c r="AS168" s="5">
        <f t="shared" si="234"/>
        <v>1.6427449927213631</v>
      </c>
      <c r="AT168" s="5">
        <f t="shared" si="235"/>
        <v>1.2143978644214941</v>
      </c>
      <c r="AU168" s="177">
        <f t="shared" si="236"/>
        <v>0.57496074745247705</v>
      </c>
      <c r="AW168" s="5">
        <f t="shared" si="254"/>
        <v>17.111543209876547</v>
      </c>
      <c r="AX168" s="5">
        <f t="shared" si="255"/>
        <v>21.363828872053876</v>
      </c>
      <c r="AY168" s="5">
        <f t="shared" si="256"/>
        <v>1.2123152482368027</v>
      </c>
      <c r="AZ168" s="5">
        <f t="shared" si="257"/>
        <v>1.0838090787609143</v>
      </c>
      <c r="BA168" s="5">
        <f t="shared" si="258"/>
        <v>1.3798684506262944</v>
      </c>
      <c r="BB168" s="5"/>
      <c r="BC168" s="5"/>
      <c r="BD168" s="177">
        <f t="shared" si="208"/>
        <v>1.2328545121089642</v>
      </c>
      <c r="BE168" s="177">
        <f t="shared" si="209"/>
        <v>1.4238851381543316</v>
      </c>
      <c r="BF168" s="177">
        <f t="shared" si="210"/>
        <v>0.33434264952864368</v>
      </c>
      <c r="BG168" s="177"/>
      <c r="BH168" s="542">
        <f t="shared" si="211"/>
        <v>0.16719232728301753</v>
      </c>
      <c r="BI168" s="542">
        <f t="shared" si="212"/>
        <v>0.17667722396718261</v>
      </c>
      <c r="BJ168" s="542">
        <f t="shared" si="213"/>
        <v>1.7499999999999998E-2</v>
      </c>
      <c r="BK168" s="542">
        <f t="shared" si="214"/>
        <v>0.10121127187500001</v>
      </c>
      <c r="BL168">
        <f t="shared" si="215"/>
        <v>3.48E-3</v>
      </c>
      <c r="BM168" s="469">
        <f t="shared" si="216"/>
        <v>466.06082312520016</v>
      </c>
      <c r="BN168" s="177">
        <f t="shared" si="217"/>
        <v>0.52200000000000002</v>
      </c>
      <c r="BO168" s="177">
        <f t="shared" si="218"/>
        <v>0.1305</v>
      </c>
      <c r="BP168" s="542"/>
      <c r="BR168" s="469">
        <f t="shared" si="219"/>
        <v>652.50000000000011</v>
      </c>
      <c r="BS168" s="542">
        <f t="shared" si="220"/>
        <v>0</v>
      </c>
      <c r="BT168" s="542">
        <f t="shared" si="221"/>
        <v>0</v>
      </c>
      <c r="BU168" s="542">
        <f t="shared" si="222"/>
        <v>0</v>
      </c>
      <c r="BV168" s="542">
        <f t="shared" si="223"/>
        <v>0</v>
      </c>
      <c r="BW168" s="647">
        <f t="shared" si="259"/>
        <v>0</v>
      </c>
      <c r="BX168" s="469">
        <f t="shared" si="225"/>
        <v>0</v>
      </c>
      <c r="BY168" s="177">
        <f t="shared" si="226"/>
        <v>1.1185608231252002</v>
      </c>
      <c r="BZ168" s="5">
        <f t="shared" si="227"/>
        <v>9.7149999999999999</v>
      </c>
      <c r="CA168" s="177">
        <f t="shared" si="228"/>
        <v>0.89675039985583205</v>
      </c>
      <c r="CB168" s="5">
        <f t="shared" si="229"/>
        <v>89.675039985583211</v>
      </c>
      <c r="CC168">
        <f t="shared" si="230"/>
        <v>57.999999999999993</v>
      </c>
      <c r="CE168" s="576">
        <f t="shared" si="260"/>
        <v>-50</v>
      </c>
      <c r="CF168">
        <f t="shared" si="261"/>
        <v>-50</v>
      </c>
    </row>
    <row r="169" spans="5:84" x14ac:dyDescent="0.25">
      <c r="E169" s="174">
        <v>59</v>
      </c>
      <c r="F169" s="221">
        <f t="shared" si="262"/>
        <v>0.59</v>
      </c>
      <c r="G169" s="221">
        <f t="shared" si="238"/>
        <v>0.14749999999999999</v>
      </c>
      <c r="H169" s="221">
        <f t="shared" si="239"/>
        <v>8.85</v>
      </c>
      <c r="I169" s="221">
        <f t="shared" si="240"/>
        <v>1.0325</v>
      </c>
      <c r="J169" s="555">
        <f t="shared" si="173"/>
        <v>12</v>
      </c>
      <c r="K169" s="451">
        <f t="shared" si="174"/>
        <v>23.85</v>
      </c>
      <c r="L169" s="451">
        <f t="shared" si="175"/>
        <v>35.85</v>
      </c>
      <c r="M169" s="451"/>
      <c r="N169" s="221">
        <f t="shared" si="176"/>
        <v>0.66527196652719667</v>
      </c>
      <c r="O169" s="176">
        <f t="shared" si="241"/>
        <v>13.923050021857241</v>
      </c>
      <c r="P169" s="176">
        <f t="shared" si="242"/>
        <v>1.6243558358833448</v>
      </c>
      <c r="Q169" s="221">
        <f t="shared" si="179"/>
        <v>0.92820333479048278</v>
      </c>
      <c r="R169" s="221">
        <f t="shared" si="243"/>
        <v>1.9890071459796059</v>
      </c>
      <c r="S169" s="221">
        <f t="shared" si="244"/>
        <v>15</v>
      </c>
      <c r="T169" s="221">
        <f t="shared" si="245"/>
        <v>2.606110007723712</v>
      </c>
      <c r="U169" s="221">
        <f t="shared" si="183"/>
        <v>1.5202308378388321</v>
      </c>
      <c r="V169" s="221">
        <f t="shared" si="184"/>
        <v>0.76489601903840598</v>
      </c>
      <c r="W169" s="201">
        <f t="shared" si="185"/>
        <v>350</v>
      </c>
      <c r="X169" s="451">
        <f t="shared" si="186"/>
        <v>350</v>
      </c>
      <c r="Z169" s="221">
        <f t="shared" si="187"/>
        <v>3.2584749380923919</v>
      </c>
      <c r="AA169" s="177">
        <f t="shared" si="188"/>
        <v>0.95636580992229525</v>
      </c>
      <c r="AB169" s="177">
        <f t="shared" si="246"/>
        <v>0.73256165472632317</v>
      </c>
      <c r="AC169" s="177"/>
      <c r="AD169" s="177">
        <f t="shared" si="190"/>
        <v>0.24067085953878403</v>
      </c>
      <c r="AE169" s="559">
        <f t="shared" si="247"/>
        <v>4451.198266338065</v>
      </c>
      <c r="AF169" s="542">
        <f t="shared" si="248"/>
        <v>4.6392002252886505E-2</v>
      </c>
      <c r="AH169" s="177">
        <f t="shared" si="249"/>
        <v>2.8403075429916931</v>
      </c>
      <c r="AI169" s="177">
        <f t="shared" si="250"/>
        <v>2.8403075429916931</v>
      </c>
      <c r="AJ169" s="177">
        <f t="shared" si="251"/>
        <v>2.6965241059197727</v>
      </c>
      <c r="AL169" s="559">
        <f t="shared" si="252"/>
        <v>590</v>
      </c>
      <c r="AM169" s="469">
        <f t="shared" si="253"/>
        <v>350</v>
      </c>
      <c r="AO169">
        <f t="shared" si="198"/>
        <v>590</v>
      </c>
      <c r="AP169">
        <f t="shared" si="199"/>
        <v>350</v>
      </c>
      <c r="AR169" s="5">
        <f t="shared" si="237"/>
        <v>2.8571428571428572</v>
      </c>
      <c r="AS169" s="5">
        <f t="shared" si="234"/>
        <v>1.6568460667451543</v>
      </c>
      <c r="AT169" s="5">
        <f t="shared" si="235"/>
        <v>1.2002967903977029</v>
      </c>
      <c r="AU169" s="177">
        <f t="shared" si="236"/>
        <v>0.57989612336080398</v>
      </c>
      <c r="AW169" s="5">
        <f t="shared" si="254"/>
        <v>17.111543209876547</v>
      </c>
      <c r="AX169" s="5">
        <f t="shared" si="255"/>
        <v>22.07634610690236</v>
      </c>
      <c r="AY169" s="5">
        <f t="shared" si="256"/>
        <v>1.2123152482368027</v>
      </c>
      <c r="AZ169" s="5">
        <f t="shared" si="257"/>
        <v>1.1138746739496859</v>
      </c>
      <c r="BA169" s="5">
        <f t="shared" si="258"/>
        <v>1.3873605884333682</v>
      </c>
      <c r="BB169" s="5"/>
      <c r="BC169" s="5"/>
      <c r="BD169" s="177">
        <f t="shared" si="208"/>
        <v>1.2487624828341812</v>
      </c>
      <c r="BE169" s="177">
        <f t="shared" si="209"/>
        <v>1.4277454707013613</v>
      </c>
      <c r="BF169" s="177">
        <f t="shared" si="210"/>
        <v>0.33524909470266145</v>
      </c>
      <c r="BG169" s="177"/>
      <c r="BH169" s="542">
        <f t="shared" si="211"/>
        <v>0.17153485123876075</v>
      </c>
      <c r="BI169" s="542">
        <f t="shared" si="212"/>
        <v>0.17819379447844133</v>
      </c>
      <c r="BJ169" s="542">
        <f t="shared" si="213"/>
        <v>1.7499999999999998E-2</v>
      </c>
      <c r="BK169" s="542">
        <f t="shared" si="214"/>
        <v>0.10121127187500001</v>
      </c>
      <c r="BL169">
        <f t="shared" si="215"/>
        <v>3.48E-3</v>
      </c>
      <c r="BM169" s="469">
        <f t="shared" si="216"/>
        <v>471.91991759220207</v>
      </c>
      <c r="BN169" s="177">
        <f t="shared" si="217"/>
        <v>0.53100000000000003</v>
      </c>
      <c r="BO169" s="177">
        <f t="shared" si="218"/>
        <v>0.13275000000000001</v>
      </c>
      <c r="BP169" s="542"/>
      <c r="BR169" s="469">
        <f t="shared" si="219"/>
        <v>663.75000000000011</v>
      </c>
      <c r="BS169" s="542">
        <f t="shared" si="220"/>
        <v>0</v>
      </c>
      <c r="BT169" s="542">
        <f t="shared" si="221"/>
        <v>0</v>
      </c>
      <c r="BU169" s="542">
        <f t="shared" si="222"/>
        <v>0</v>
      </c>
      <c r="BV169" s="542">
        <f t="shared" si="223"/>
        <v>0</v>
      </c>
      <c r="BW169" s="647">
        <f t="shared" si="259"/>
        <v>0</v>
      </c>
      <c r="BX169" s="469">
        <f t="shared" si="225"/>
        <v>0</v>
      </c>
      <c r="BY169" s="177">
        <f t="shared" si="226"/>
        <v>1.135669917592202</v>
      </c>
      <c r="BZ169" s="5">
        <f t="shared" si="227"/>
        <v>9.8825000000000003</v>
      </c>
      <c r="CA169" s="177">
        <f t="shared" si="228"/>
        <v>0.8969275364161039</v>
      </c>
      <c r="CB169" s="5">
        <f t="shared" si="229"/>
        <v>89.692753641610395</v>
      </c>
      <c r="CC169">
        <f t="shared" si="230"/>
        <v>59</v>
      </c>
      <c r="CE169" s="576">
        <f t="shared" si="260"/>
        <v>-50</v>
      </c>
      <c r="CF169">
        <f t="shared" si="261"/>
        <v>-50</v>
      </c>
    </row>
    <row r="170" spans="5:84" x14ac:dyDescent="0.25">
      <c r="E170" s="174">
        <v>60</v>
      </c>
      <c r="F170" s="221">
        <f t="shared" si="262"/>
        <v>0.6</v>
      </c>
      <c r="G170" s="221">
        <f t="shared" si="238"/>
        <v>0.15</v>
      </c>
      <c r="H170" s="221">
        <f t="shared" si="239"/>
        <v>9</v>
      </c>
      <c r="I170" s="221">
        <f t="shared" si="240"/>
        <v>1.05</v>
      </c>
      <c r="J170" s="555">
        <f t="shared" si="173"/>
        <v>12</v>
      </c>
      <c r="K170" s="451">
        <f t="shared" si="174"/>
        <v>23.85</v>
      </c>
      <c r="L170" s="451">
        <f t="shared" si="175"/>
        <v>35.85</v>
      </c>
      <c r="M170" s="451"/>
      <c r="N170" s="221">
        <f t="shared" si="176"/>
        <v>0.66527196652719667</v>
      </c>
      <c r="O170" s="176">
        <f t="shared" si="241"/>
        <v>13.923050021857241</v>
      </c>
      <c r="P170" s="176">
        <f t="shared" si="242"/>
        <v>1.6243558358833448</v>
      </c>
      <c r="Q170" s="221">
        <f t="shared" si="179"/>
        <v>0.92820333479048278</v>
      </c>
      <c r="R170" s="221">
        <f t="shared" si="243"/>
        <v>1.9890071459796059</v>
      </c>
      <c r="S170" s="221">
        <f t="shared" si="244"/>
        <v>15</v>
      </c>
      <c r="T170" s="221">
        <f t="shared" si="245"/>
        <v>2.6502813637868261</v>
      </c>
      <c r="U170" s="221">
        <f t="shared" si="183"/>
        <v>1.5459974622089818</v>
      </c>
      <c r="V170" s="221">
        <f t="shared" si="184"/>
        <v>0.77786035834414169</v>
      </c>
      <c r="W170" s="201">
        <f t="shared" si="185"/>
        <v>350</v>
      </c>
      <c r="X170" s="451">
        <f t="shared" si="186"/>
        <v>350</v>
      </c>
      <c r="Z170" s="221">
        <f t="shared" si="187"/>
        <v>3.2584749380923919</v>
      </c>
      <c r="AA170" s="177">
        <f t="shared" si="188"/>
        <v>0.95636580992229525</v>
      </c>
      <c r="AB170" s="177">
        <f t="shared" si="246"/>
        <v>0.73256165472632317</v>
      </c>
      <c r="AC170" s="177"/>
      <c r="AD170" s="177">
        <f t="shared" si="190"/>
        <v>0.24067085953878403</v>
      </c>
      <c r="AE170" s="559">
        <f t="shared" si="247"/>
        <v>4526.642304750575</v>
      </c>
      <c r="AF170" s="542">
        <f t="shared" si="248"/>
        <v>4.6392002252886505E-2</v>
      </c>
      <c r="AH170" s="177">
        <f t="shared" si="249"/>
        <v>2.8642768079662031</v>
      </c>
      <c r="AI170" s="177">
        <f t="shared" si="250"/>
        <v>2.8642768079662031</v>
      </c>
      <c r="AJ170" s="177">
        <f t="shared" si="251"/>
        <v>2.7142791170120022</v>
      </c>
      <c r="AL170" s="559">
        <f t="shared" si="252"/>
        <v>600</v>
      </c>
      <c r="AM170" s="469">
        <f t="shared" si="253"/>
        <v>350</v>
      </c>
      <c r="AO170">
        <f t="shared" si="198"/>
        <v>600</v>
      </c>
      <c r="AP170">
        <f t="shared" si="199"/>
        <v>350</v>
      </c>
      <c r="AR170" s="5">
        <f t="shared" si="237"/>
        <v>2.8571428571428572</v>
      </c>
      <c r="AS170" s="5">
        <f t="shared" si="234"/>
        <v>1.670828137980285</v>
      </c>
      <c r="AT170" s="5">
        <f t="shared" si="235"/>
        <v>1.1863147191625723</v>
      </c>
      <c r="AU170" s="177">
        <f t="shared" si="236"/>
        <v>0.58478984829309977</v>
      </c>
      <c r="AW170" s="5">
        <f t="shared" si="254"/>
        <v>17.111543209876547</v>
      </c>
      <c r="AX170" s="5">
        <f t="shared" si="255"/>
        <v>22.80053030303031</v>
      </c>
      <c r="AY170" s="5">
        <f t="shared" si="256"/>
        <v>1.2123152482368027</v>
      </c>
      <c r="AZ170" s="5">
        <f t="shared" si="257"/>
        <v>1.1443260058083506</v>
      </c>
      <c r="BA170" s="5">
        <f t="shared" si="258"/>
        <v>1.3944401084893394</v>
      </c>
      <c r="BB170" s="5"/>
      <c r="BC170" s="5"/>
      <c r="BD170" s="177">
        <f t="shared" ref="BD170:BD210" si="263">AI170*SQRT(AU170/3)</f>
        <v>1.2646031858971136</v>
      </c>
      <c r="BE170" s="177">
        <f t="shared" ref="BE170:BE210" si="264">AI170*Npri_sec1*SQRT((1-AU170)/3)*(Pout/Pout_total)</f>
        <v>1.4313836347584588</v>
      </c>
      <c r="BF170" s="177">
        <f t="shared" ref="BF170:BF210" si="265">AI170*Npri_sec2*SQRT((1-AU170)/3)*(Pout2/Pout_total)</f>
        <v>0.33610337246543548</v>
      </c>
      <c r="BG170" s="177"/>
      <c r="BH170" s="542">
        <f t="shared" ref="BH170:BH210" si="266">Rdson*BD170^2</f>
        <v>0.17591433395592429</v>
      </c>
      <c r="BI170" s="542">
        <f t="shared" ref="BI170:BI210" si="267">0.5*L170*AI170*AM170*1000*Trise</f>
        <v>0.17969756623977967</v>
      </c>
      <c r="BJ170" s="542">
        <f t="shared" ref="BJ170:BJ210" si="268">Qg*Vdd*AM170*1000</f>
        <v>1.7499999999999998E-2</v>
      </c>
      <c r="BK170" s="542">
        <f t="shared" ref="BK170:BK210" si="269">0.5*(Coss+Csw)*L170^2*AM170*1000</f>
        <v>0.10121127187500001</v>
      </c>
      <c r="BL170">
        <f t="shared" ref="BL170:BL210" si="270">J170*IQ</f>
        <v>3.48E-3</v>
      </c>
      <c r="BM170" s="469">
        <f t="shared" ref="BM170:BM210" si="271">SUM(BH170:BL170)*1000</f>
        <v>477.80317207070402</v>
      </c>
      <c r="BN170" s="177">
        <f t="shared" ref="BN170:BN210" si="272">Vfwd2*F170</f>
        <v>0.54</v>
      </c>
      <c r="BO170" s="177">
        <f t="shared" ref="BO170:BO210" si="273">Vfwd2*G170</f>
        <v>0.13500000000000001</v>
      </c>
      <c r="BP170" s="542"/>
      <c r="BR170" s="469">
        <f t="shared" ref="BR170:BR210" si="274">SUM(BN170:BQ170)*1000</f>
        <v>675</v>
      </c>
      <c r="BS170" s="542">
        <f t="shared" ref="BS170:BS210" si="275">Rdcr_pri*BD170^2</f>
        <v>0</v>
      </c>
      <c r="BT170" s="542">
        <f t="shared" ref="BT170:BT210" si="276">Rdcr_sec*BE170^2</f>
        <v>0</v>
      </c>
      <c r="BU170" s="542">
        <f t="shared" ref="BU170:BU210" si="277">Rdcr_sec2*BF170^2</f>
        <v>0</v>
      </c>
      <c r="BV170" s="542">
        <f t="shared" ref="BV170:BV210" si="278">AI170^2.5*AM170^2.5*k_core</f>
        <v>0</v>
      </c>
      <c r="BW170" s="647">
        <f t="shared" si="259"/>
        <v>0</v>
      </c>
      <c r="BX170" s="469">
        <f t="shared" ref="BX170:BX192" si="279">SUM(BS170:BW170)*1000</f>
        <v>0</v>
      </c>
      <c r="BY170" s="177">
        <f t="shared" ref="BY170:BY192" si="280">SUM(BH170:BL170,BN170:BQ170,BS170:BW170)</f>
        <v>1.1528031720707042</v>
      </c>
      <c r="BZ170" s="5">
        <f t="shared" ref="BZ170:BZ192" si="281">MIN(H170+I170,O170+P170)</f>
        <v>10.050000000000001</v>
      </c>
      <c r="CA170" s="177">
        <f t="shared" ref="CA170:CA192" si="282">BZ170/(BZ170+BY170)</f>
        <v>0.89709690027003997</v>
      </c>
      <c r="CB170" s="5">
        <f t="shared" ref="CB170:CB192" si="283">CA170*100</f>
        <v>89.709690027004001</v>
      </c>
      <c r="CC170">
        <f t="shared" ref="CC170:CC192" si="284">F170/Iout*100</f>
        <v>60</v>
      </c>
      <c r="CE170" s="576">
        <f t="shared" si="260"/>
        <v>-50</v>
      </c>
      <c r="CF170">
        <f t="shared" si="261"/>
        <v>-50</v>
      </c>
    </row>
    <row r="171" spans="5:84" x14ac:dyDescent="0.25">
      <c r="E171" s="174">
        <v>61</v>
      </c>
      <c r="F171" s="221">
        <f t="shared" si="262"/>
        <v>0.61</v>
      </c>
      <c r="G171" s="221">
        <f t="shared" si="238"/>
        <v>0.1525</v>
      </c>
      <c r="H171" s="221">
        <f t="shared" si="239"/>
        <v>9.15</v>
      </c>
      <c r="I171" s="221">
        <f t="shared" si="240"/>
        <v>1.0674999999999999</v>
      </c>
      <c r="J171" s="555">
        <f t="shared" si="173"/>
        <v>12</v>
      </c>
      <c r="K171" s="451">
        <f t="shared" si="174"/>
        <v>23.85</v>
      </c>
      <c r="L171" s="451">
        <f t="shared" si="175"/>
        <v>35.85</v>
      </c>
      <c r="M171" s="451"/>
      <c r="N171" s="221">
        <f t="shared" si="176"/>
        <v>0.66527196652719667</v>
      </c>
      <c r="O171" s="176">
        <f t="shared" si="241"/>
        <v>13.923050021857241</v>
      </c>
      <c r="P171" s="176">
        <f t="shared" si="242"/>
        <v>1.6243558358833448</v>
      </c>
      <c r="Q171" s="221">
        <f t="shared" si="179"/>
        <v>0.92820333479048278</v>
      </c>
      <c r="R171" s="221">
        <f t="shared" si="243"/>
        <v>1.9890071459796059</v>
      </c>
      <c r="S171" s="221">
        <f t="shared" si="244"/>
        <v>15</v>
      </c>
      <c r="T171" s="221">
        <f t="shared" si="245"/>
        <v>2.6944527198499397</v>
      </c>
      <c r="U171" s="221">
        <f t="shared" si="183"/>
        <v>1.5717640865791314</v>
      </c>
      <c r="V171" s="221">
        <f t="shared" si="184"/>
        <v>0.7908246976498774</v>
      </c>
      <c r="W171" s="201">
        <f t="shared" si="185"/>
        <v>350</v>
      </c>
      <c r="X171" s="451">
        <f t="shared" si="186"/>
        <v>350</v>
      </c>
      <c r="Z171" s="221">
        <f t="shared" si="187"/>
        <v>3.2584749380923919</v>
      </c>
      <c r="AA171" s="177">
        <f t="shared" si="188"/>
        <v>0.95636580992229525</v>
      </c>
      <c r="AB171" s="177">
        <f t="shared" si="246"/>
        <v>0.73256165472632317</v>
      </c>
      <c r="AC171" s="177"/>
      <c r="AD171" s="177">
        <f t="shared" si="190"/>
        <v>0.24067085953878403</v>
      </c>
      <c r="AE171" s="559">
        <f t="shared" si="247"/>
        <v>4602.0863431630842</v>
      </c>
      <c r="AF171" s="542">
        <f t="shared" si="248"/>
        <v>4.6392002252886505E-2</v>
      </c>
      <c r="AH171" s="177">
        <f t="shared" si="249"/>
        <v>2.8880471475602008</v>
      </c>
      <c r="AI171" s="177">
        <f t="shared" si="250"/>
        <v>2.8880471475602008</v>
      </c>
      <c r="AJ171" s="177">
        <f t="shared" si="251"/>
        <v>2.7318867759705192</v>
      </c>
      <c r="AL171" s="559">
        <f t="shared" si="252"/>
        <v>610</v>
      </c>
      <c r="AM171" s="469">
        <f t="shared" si="253"/>
        <v>350</v>
      </c>
      <c r="AO171">
        <f t="shared" si="198"/>
        <v>610</v>
      </c>
      <c r="AP171">
        <f t="shared" si="199"/>
        <v>350</v>
      </c>
      <c r="AR171" s="5">
        <f t="shared" si="237"/>
        <v>2.8571428571428572</v>
      </c>
      <c r="AS171" s="5">
        <f t="shared" si="234"/>
        <v>1.6846941694101172</v>
      </c>
      <c r="AT171" s="5">
        <f t="shared" si="235"/>
        <v>1.17244868773274</v>
      </c>
      <c r="AU171" s="177">
        <f t="shared" si="236"/>
        <v>0.58964295929354105</v>
      </c>
      <c r="AW171" s="5">
        <f t="shared" si="254"/>
        <v>17.111543209876547</v>
      </c>
      <c r="AX171" s="5">
        <f t="shared" si="255"/>
        <v>23.536381460437717</v>
      </c>
      <c r="AY171" s="5">
        <f t="shared" si="256"/>
        <v>1.2123152482368027</v>
      </c>
      <c r="AZ171" s="5">
        <f t="shared" si="257"/>
        <v>1.175163074336909</v>
      </c>
      <c r="BA171" s="5">
        <f t="shared" si="258"/>
        <v>1.4011104639659966</v>
      </c>
      <c r="BB171" s="5"/>
      <c r="BC171" s="5"/>
      <c r="BD171" s="177">
        <f t="shared" si="263"/>
        <v>1.2803780199221624</v>
      </c>
      <c r="BE171" s="177">
        <f t="shared" si="264"/>
        <v>1.4348030884622431</v>
      </c>
      <c r="BF171" s="177">
        <f t="shared" si="265"/>
        <v>0.33690629482246343</v>
      </c>
      <c r="BG171" s="177"/>
      <c r="BH171" s="542">
        <f t="shared" si="266"/>
        <v>0.18033046612897768</v>
      </c>
      <c r="BI171" s="542">
        <f t="shared" si="267"/>
        <v>0.18118885792005812</v>
      </c>
      <c r="BJ171" s="542">
        <f t="shared" si="268"/>
        <v>1.7499999999999998E-2</v>
      </c>
      <c r="BK171" s="542">
        <f t="shared" si="269"/>
        <v>0.10121127187500001</v>
      </c>
      <c r="BL171">
        <f t="shared" si="270"/>
        <v>3.48E-3</v>
      </c>
      <c r="BM171" s="469">
        <f t="shared" si="271"/>
        <v>483.71059592403583</v>
      </c>
      <c r="BN171" s="177">
        <f t="shared" si="272"/>
        <v>0.54900000000000004</v>
      </c>
      <c r="BO171" s="177">
        <f t="shared" si="273"/>
        <v>0.13725000000000001</v>
      </c>
      <c r="BP171" s="542"/>
      <c r="BR171" s="469">
        <f t="shared" si="274"/>
        <v>686.25</v>
      </c>
      <c r="BS171" s="542">
        <f t="shared" si="275"/>
        <v>0</v>
      </c>
      <c r="BT171" s="542">
        <f t="shared" si="276"/>
        <v>0</v>
      </c>
      <c r="BU171" s="542">
        <f t="shared" si="277"/>
        <v>0</v>
      </c>
      <c r="BV171" s="542">
        <f t="shared" si="278"/>
        <v>0</v>
      </c>
      <c r="BW171" s="647">
        <f t="shared" si="259"/>
        <v>0</v>
      </c>
      <c r="BX171" s="469">
        <f t="shared" si="279"/>
        <v>0</v>
      </c>
      <c r="BY171" s="177">
        <f t="shared" si="280"/>
        <v>1.169960595924036</v>
      </c>
      <c r="BZ171" s="5">
        <f t="shared" si="281"/>
        <v>10.217500000000001</v>
      </c>
      <c r="CA171" s="177">
        <f t="shared" si="282"/>
        <v>0.89725886767566032</v>
      </c>
      <c r="CB171" s="5">
        <f t="shared" si="283"/>
        <v>89.725886767566038</v>
      </c>
      <c r="CC171">
        <f t="shared" si="284"/>
        <v>61</v>
      </c>
      <c r="CE171" s="576">
        <f t="shared" si="260"/>
        <v>-50</v>
      </c>
      <c r="CF171">
        <f t="shared" si="261"/>
        <v>-50</v>
      </c>
    </row>
    <row r="172" spans="5:84" x14ac:dyDescent="0.25">
      <c r="E172" s="174">
        <v>62</v>
      </c>
      <c r="F172" s="221">
        <f t="shared" si="262"/>
        <v>0.62</v>
      </c>
      <c r="G172" s="221">
        <f t="shared" si="238"/>
        <v>0.155</v>
      </c>
      <c r="H172" s="221">
        <f t="shared" si="239"/>
        <v>9.3000000000000007</v>
      </c>
      <c r="I172" s="221">
        <f t="shared" si="240"/>
        <v>1.085</v>
      </c>
      <c r="J172" s="555">
        <f t="shared" si="173"/>
        <v>12</v>
      </c>
      <c r="K172" s="451">
        <f t="shared" si="174"/>
        <v>23.85</v>
      </c>
      <c r="L172" s="451">
        <f t="shared" si="175"/>
        <v>35.85</v>
      </c>
      <c r="M172" s="451"/>
      <c r="N172" s="221">
        <f t="shared" si="176"/>
        <v>0.66527196652719667</v>
      </c>
      <c r="O172" s="176">
        <f t="shared" si="241"/>
        <v>13.923050021857241</v>
      </c>
      <c r="P172" s="176">
        <f t="shared" si="242"/>
        <v>1.6243558358833448</v>
      </c>
      <c r="Q172" s="221">
        <f t="shared" si="179"/>
        <v>0.92820333479048278</v>
      </c>
      <c r="R172" s="221">
        <f t="shared" si="243"/>
        <v>1.9890071459796059</v>
      </c>
      <c r="S172" s="221">
        <f t="shared" si="244"/>
        <v>15</v>
      </c>
      <c r="T172" s="221">
        <f t="shared" si="245"/>
        <v>2.7386240759130538</v>
      </c>
      <c r="U172" s="221">
        <f t="shared" si="183"/>
        <v>1.5975307109492811</v>
      </c>
      <c r="V172" s="221">
        <f t="shared" si="184"/>
        <v>0.80378903695561321</v>
      </c>
      <c r="W172" s="201">
        <f t="shared" si="185"/>
        <v>350</v>
      </c>
      <c r="X172" s="451">
        <f t="shared" si="186"/>
        <v>350</v>
      </c>
      <c r="Z172" s="221">
        <f t="shared" si="187"/>
        <v>3.2584749380923919</v>
      </c>
      <c r="AA172" s="177">
        <f t="shared" si="188"/>
        <v>0.95636580992229525</v>
      </c>
      <c r="AB172" s="177">
        <f t="shared" si="246"/>
        <v>0.73256165472632317</v>
      </c>
      <c r="AC172" s="177"/>
      <c r="AD172" s="177">
        <f t="shared" si="190"/>
        <v>0.24067085953878403</v>
      </c>
      <c r="AE172" s="559">
        <f t="shared" si="247"/>
        <v>4677.5303815755933</v>
      </c>
      <c r="AF172" s="542">
        <f t="shared" si="248"/>
        <v>4.6392002252886505E-2</v>
      </c>
      <c r="AH172" s="177">
        <f t="shared" si="249"/>
        <v>2.9116234338265934</v>
      </c>
      <c r="AI172" s="177">
        <f t="shared" si="250"/>
        <v>2.9116234338265934</v>
      </c>
      <c r="AJ172" s="177">
        <f t="shared" si="251"/>
        <v>2.7493506917234027</v>
      </c>
      <c r="AL172" s="559">
        <f t="shared" si="252"/>
        <v>620</v>
      </c>
      <c r="AM172" s="469">
        <f t="shared" si="253"/>
        <v>350</v>
      </c>
      <c r="AO172">
        <f t="shared" si="198"/>
        <v>620</v>
      </c>
      <c r="AP172">
        <f t="shared" si="199"/>
        <v>350</v>
      </c>
      <c r="AR172" s="5">
        <f t="shared" si="237"/>
        <v>2.8571428571428572</v>
      </c>
      <c r="AS172" s="5">
        <f t="shared" si="234"/>
        <v>1.6984470030655128</v>
      </c>
      <c r="AT172" s="5">
        <f t="shared" si="235"/>
        <v>1.1586958540773444</v>
      </c>
      <c r="AU172" s="177">
        <f t="shared" si="236"/>
        <v>0.59445645107292944</v>
      </c>
      <c r="AW172" s="5">
        <f t="shared" si="254"/>
        <v>17.111543209876547</v>
      </c>
      <c r="AX172" s="5">
        <f t="shared" si="255"/>
        <v>24.283899579124586</v>
      </c>
      <c r="AY172" s="5">
        <f t="shared" si="256"/>
        <v>1.2123152482368027</v>
      </c>
      <c r="AZ172" s="5">
        <f t="shared" si="257"/>
        <v>1.206385879535361</v>
      </c>
      <c r="BA172" s="5">
        <f t="shared" si="258"/>
        <v>1.4073750227594415</v>
      </c>
      <c r="BB172" s="5"/>
      <c r="BC172" s="5"/>
      <c r="BD172" s="177">
        <f t="shared" si="263"/>
        <v>1.2960883320439658</v>
      </c>
      <c r="BE172" s="177">
        <f t="shared" si="264"/>
        <v>1.4380071126379408</v>
      </c>
      <c r="BF172" s="177">
        <f t="shared" si="265"/>
        <v>0.33765863214473169</v>
      </c>
      <c r="BG172" s="177"/>
      <c r="BH172" s="542">
        <f t="shared" si="266"/>
        <v>0.18478294609065604</v>
      </c>
      <c r="BI172" s="542">
        <f t="shared" si="267"/>
        <v>0.18266797517969594</v>
      </c>
      <c r="BJ172" s="542">
        <f t="shared" si="268"/>
        <v>1.7499999999999998E-2</v>
      </c>
      <c r="BK172" s="542">
        <f t="shared" si="269"/>
        <v>0.10121127187500001</v>
      </c>
      <c r="BL172">
        <f t="shared" si="270"/>
        <v>3.48E-3</v>
      </c>
      <c r="BM172" s="469">
        <f t="shared" si="271"/>
        <v>489.64219314535194</v>
      </c>
      <c r="BN172" s="177">
        <f t="shared" si="272"/>
        <v>0.55800000000000005</v>
      </c>
      <c r="BO172" s="177">
        <f t="shared" si="273"/>
        <v>0.13950000000000001</v>
      </c>
      <c r="BP172" s="542"/>
      <c r="BR172" s="469">
        <f t="shared" si="274"/>
        <v>697.5</v>
      </c>
      <c r="BS172" s="542">
        <f t="shared" si="275"/>
        <v>0</v>
      </c>
      <c r="BT172" s="542">
        <f t="shared" si="276"/>
        <v>0</v>
      </c>
      <c r="BU172" s="542">
        <f t="shared" si="277"/>
        <v>0</v>
      </c>
      <c r="BV172" s="542">
        <f t="shared" si="278"/>
        <v>0</v>
      </c>
      <c r="BW172" s="647">
        <f t="shared" si="259"/>
        <v>0</v>
      </c>
      <c r="BX172" s="469">
        <f t="shared" si="279"/>
        <v>0</v>
      </c>
      <c r="BY172" s="177">
        <f t="shared" si="280"/>
        <v>1.1871421931453519</v>
      </c>
      <c r="BZ172" s="5">
        <f t="shared" si="281"/>
        <v>10.385000000000002</v>
      </c>
      <c r="CA172" s="177">
        <f t="shared" si="282"/>
        <v>0.897413791385268</v>
      </c>
      <c r="CB172" s="5">
        <f t="shared" si="283"/>
        <v>89.741379138526796</v>
      </c>
      <c r="CC172">
        <f t="shared" si="284"/>
        <v>62</v>
      </c>
      <c r="CE172" s="576">
        <f t="shared" si="260"/>
        <v>-50</v>
      </c>
      <c r="CF172">
        <f t="shared" si="261"/>
        <v>-50</v>
      </c>
    </row>
    <row r="173" spans="5:84" x14ac:dyDescent="0.25">
      <c r="E173" s="174">
        <v>63</v>
      </c>
      <c r="F173" s="221">
        <f t="shared" si="262"/>
        <v>0.63</v>
      </c>
      <c r="G173" s="221">
        <f t="shared" si="238"/>
        <v>0.1575</v>
      </c>
      <c r="H173" s="221">
        <f t="shared" si="239"/>
        <v>9.4499999999999993</v>
      </c>
      <c r="I173" s="221">
        <f t="shared" si="240"/>
        <v>1.1025</v>
      </c>
      <c r="J173" s="555">
        <f t="shared" si="173"/>
        <v>12</v>
      </c>
      <c r="K173" s="451">
        <f t="shared" si="174"/>
        <v>23.85</v>
      </c>
      <c r="L173" s="451">
        <f t="shared" si="175"/>
        <v>35.85</v>
      </c>
      <c r="M173" s="451"/>
      <c r="N173" s="221">
        <f t="shared" si="176"/>
        <v>0.66527196652719667</v>
      </c>
      <c r="O173" s="176">
        <f t="shared" si="241"/>
        <v>13.923050021857241</v>
      </c>
      <c r="P173" s="176">
        <f t="shared" si="242"/>
        <v>1.6243558358833448</v>
      </c>
      <c r="Q173" s="221">
        <f t="shared" si="179"/>
        <v>0.92820333479048278</v>
      </c>
      <c r="R173" s="221">
        <f t="shared" si="243"/>
        <v>1.9890071459796059</v>
      </c>
      <c r="S173" s="221">
        <f t="shared" si="244"/>
        <v>15</v>
      </c>
      <c r="T173" s="221">
        <f t="shared" si="245"/>
        <v>2.7827954319761665</v>
      </c>
      <c r="U173" s="221">
        <f t="shared" si="183"/>
        <v>1.6232973353194302</v>
      </c>
      <c r="V173" s="221">
        <f t="shared" si="184"/>
        <v>0.81675337626134858</v>
      </c>
      <c r="W173" s="201">
        <f t="shared" si="185"/>
        <v>350</v>
      </c>
      <c r="X173" s="451">
        <f t="shared" si="186"/>
        <v>350</v>
      </c>
      <c r="Z173" s="221">
        <f t="shared" si="187"/>
        <v>3.2584749380923919</v>
      </c>
      <c r="AA173" s="177">
        <f t="shared" si="188"/>
        <v>0.95636580992229525</v>
      </c>
      <c r="AB173" s="177">
        <f t="shared" si="246"/>
        <v>0.73256165472632317</v>
      </c>
      <c r="AC173" s="177"/>
      <c r="AD173" s="177">
        <f t="shared" si="190"/>
        <v>0.24067085953878403</v>
      </c>
      <c r="AE173" s="559">
        <f t="shared" si="247"/>
        <v>4752.9744199881043</v>
      </c>
      <c r="AF173" s="542">
        <f t="shared" si="248"/>
        <v>4.6392002252886505E-2</v>
      </c>
      <c r="AH173" s="177">
        <f t="shared" si="249"/>
        <v>2.9350103431309593</v>
      </c>
      <c r="AI173" s="177">
        <f t="shared" si="250"/>
        <v>2.9350103431309593</v>
      </c>
      <c r="AJ173" s="177">
        <f t="shared" si="251"/>
        <v>2.7666743282451551</v>
      </c>
      <c r="AL173" s="559">
        <f t="shared" si="252"/>
        <v>630</v>
      </c>
      <c r="AM173" s="469">
        <f t="shared" si="253"/>
        <v>350</v>
      </c>
      <c r="AO173">
        <f t="shared" si="198"/>
        <v>630</v>
      </c>
      <c r="AP173">
        <f t="shared" si="199"/>
        <v>350</v>
      </c>
      <c r="AR173" s="5">
        <f t="shared" si="237"/>
        <v>2.8571428571428572</v>
      </c>
      <c r="AS173" s="5">
        <f t="shared" si="234"/>
        <v>1.712089366826393</v>
      </c>
      <c r="AT173" s="5">
        <f t="shared" si="235"/>
        <v>1.1450534903164642</v>
      </c>
      <c r="AU173" s="177">
        <f t="shared" si="236"/>
        <v>0.59923127838923751</v>
      </c>
      <c r="AW173" s="5">
        <f t="shared" si="254"/>
        <v>17.111543209876547</v>
      </c>
      <c r="AX173" s="5">
        <f t="shared" si="255"/>
        <v>25.043084659090916</v>
      </c>
      <c r="AY173" s="5">
        <f t="shared" si="256"/>
        <v>1.2123152482368027</v>
      </c>
      <c r="AZ173" s="5">
        <f t="shared" si="257"/>
        <v>1.2379944214037066</v>
      </c>
      <c r="BA173" s="5">
        <f t="shared" si="258"/>
        <v>1.4132370709432147</v>
      </c>
      <c r="BB173" s="5"/>
      <c r="BC173" s="5"/>
      <c r="BD173" s="177">
        <f t="shared" si="263"/>
        <v>1.3117354206014735</v>
      </c>
      <c r="BE173" s="177">
        <f t="shared" si="264"/>
        <v>1.4409988196078443</v>
      </c>
      <c r="BF173" s="177">
        <f t="shared" si="265"/>
        <v>0.33836111523703166</v>
      </c>
      <c r="BG173" s="177"/>
      <c r="BH173" s="542">
        <f t="shared" si="266"/>
        <v>0.18927147950265771</v>
      </c>
      <c r="BI173" s="542">
        <f t="shared" si="267"/>
        <v>0.18413521140217856</v>
      </c>
      <c r="BJ173" s="542">
        <f t="shared" si="268"/>
        <v>1.7499999999999998E-2</v>
      </c>
      <c r="BK173" s="542">
        <f t="shared" si="269"/>
        <v>0.10121127187500001</v>
      </c>
      <c r="BL173">
        <f t="shared" si="270"/>
        <v>3.48E-3</v>
      </c>
      <c r="BM173" s="469">
        <f t="shared" si="271"/>
        <v>495.59796277983628</v>
      </c>
      <c r="BN173" s="177">
        <f t="shared" si="272"/>
        <v>0.56700000000000006</v>
      </c>
      <c r="BO173" s="177">
        <f t="shared" si="273"/>
        <v>0.14175000000000001</v>
      </c>
      <c r="BP173" s="542"/>
      <c r="BR173" s="469">
        <f t="shared" si="274"/>
        <v>708.75000000000011</v>
      </c>
      <c r="BS173" s="542">
        <f t="shared" si="275"/>
        <v>0</v>
      </c>
      <c r="BT173" s="542">
        <f t="shared" si="276"/>
        <v>0</v>
      </c>
      <c r="BU173" s="542">
        <f t="shared" si="277"/>
        <v>0</v>
      </c>
      <c r="BV173" s="542">
        <f t="shared" si="278"/>
        <v>0</v>
      </c>
      <c r="BW173" s="647">
        <f t="shared" si="259"/>
        <v>0</v>
      </c>
      <c r="BX173" s="469">
        <f t="shared" si="279"/>
        <v>0</v>
      </c>
      <c r="BY173" s="177">
        <f t="shared" si="280"/>
        <v>1.2043479627798364</v>
      </c>
      <c r="BZ173" s="5">
        <f t="shared" si="281"/>
        <v>10.552499999999998</v>
      </c>
      <c r="CA173" s="177">
        <f t="shared" si="282"/>
        <v>0.89756200245230733</v>
      </c>
      <c r="CB173" s="5">
        <f t="shared" si="283"/>
        <v>89.75620024523073</v>
      </c>
      <c r="CC173">
        <f t="shared" si="284"/>
        <v>63</v>
      </c>
      <c r="CE173" s="576">
        <f t="shared" si="260"/>
        <v>-50</v>
      </c>
      <c r="CF173">
        <f t="shared" si="261"/>
        <v>-50</v>
      </c>
    </row>
    <row r="174" spans="5:84" x14ac:dyDescent="0.25">
      <c r="E174" s="174">
        <v>64</v>
      </c>
      <c r="F174" s="221">
        <f t="shared" si="262"/>
        <v>0.64</v>
      </c>
      <c r="G174" s="221">
        <f t="shared" ref="G174:G210" si="285">IF(PLOT_TYPE=1, E174/100*Iout2, min_I*EXP(Q174*rr/100))</f>
        <v>0.16</v>
      </c>
      <c r="H174" s="221">
        <f t="shared" ref="H174:H210" si="286">F174*Vout</f>
        <v>9.6</v>
      </c>
      <c r="I174" s="221">
        <f t="shared" ref="I174:I210" si="287">Vout2*G174</f>
        <v>1.1200000000000001</v>
      </c>
      <c r="J174" s="555">
        <f t="shared" ref="J174:J210" si="288">VIN_min</f>
        <v>12</v>
      </c>
      <c r="K174" s="451">
        <f t="shared" ref="K174:K210" si="289">(S174+Vfwd1)*Nps</f>
        <v>23.85</v>
      </c>
      <c r="L174" s="451">
        <f t="shared" ref="L174:L210" si="290">(Vout+Vfwd1)*Nps+J174</f>
        <v>35.85</v>
      </c>
      <c r="M174" s="451"/>
      <c r="N174" s="221">
        <f t="shared" ref="N174:N210" si="291">(Vout+Vfwd1)*Nps/((Vout+Vfwd1)*Nps+J174)</f>
        <v>0.66527196652719667</v>
      </c>
      <c r="O174" s="176">
        <f t="shared" ref="O174:O205" si="292">N174*J174*Isw_max*0.5*Efficiency*Pout/(Pout+Pout2)</f>
        <v>13.923050021857241</v>
      </c>
      <c r="P174" s="176">
        <f t="shared" ref="P174:P210" si="293">N174*J174*Isw_max*0.5*Efficiency*(Pout2/Pout_total)</f>
        <v>1.6243558358833448</v>
      </c>
      <c r="Q174" s="221">
        <f t="shared" ref="Q174:Q210" si="294">O174/Vout</f>
        <v>0.92820333479048278</v>
      </c>
      <c r="R174" s="221">
        <f t="shared" ref="R174:R210" si="295">O174/Vout2</f>
        <v>1.9890071459796059</v>
      </c>
      <c r="S174" s="221">
        <f t="shared" ref="S174:S210" si="296">MIN(Vout,O174/F174)</f>
        <v>15</v>
      </c>
      <c r="T174" s="221">
        <f t="shared" ref="T174:T210" si="297">MIN(2*(Vout*F174+Vout2*G174)/(Efficiency*J174*N174), Isw_max)</f>
        <v>2.8269667880392806</v>
      </c>
      <c r="U174" s="221">
        <f t="shared" ref="U174:U210" si="298">L*T174/J174*1000000</f>
        <v>1.6490639596895802</v>
      </c>
      <c r="V174" s="221">
        <f t="shared" ref="V174:V210" si="299">L*T174/K174*1000000</f>
        <v>0.82971771556708429</v>
      </c>
      <c r="W174" s="201">
        <f t="shared" ref="W174:W210" si="300">IF(1/((350000*L)*(1/J174+1/K174))&gt;Isw_min, 350, 0.001/((Isw_min*L)*(1/J174+1/K174)))</f>
        <v>350</v>
      </c>
      <c r="X174" s="451">
        <f t="shared" ref="X174:X210" si="301">MIN(1/(U174+V174)*1000, 350)</f>
        <v>350</v>
      </c>
      <c r="Z174" s="221">
        <f t="shared" ref="Z174:Z210" si="302">1/((W174*1000*L)*(1/J174+1/K174))</f>
        <v>3.2584749380923919</v>
      </c>
      <c r="AA174" s="177">
        <f t="shared" ref="AA174:AA210" si="303">L*Z174/K174*1000000</f>
        <v>0.95636580992229525</v>
      </c>
      <c r="AB174" s="177">
        <f t="shared" ref="AB174:AB205" si="304">0.5*AA174*Z174*Nps*W174/1000*(Pout/(Pout+Pout2))</f>
        <v>0.73256165472632317</v>
      </c>
      <c r="AC174" s="177"/>
      <c r="AD174" s="177">
        <f t="shared" ref="AD174:AD210" si="305">L*Isw_min/K174*1000000</f>
        <v>0.24067085953878403</v>
      </c>
      <c r="AE174" s="559">
        <f t="shared" ref="AE174:AE205" si="306">MAX(10, F174/(0.5*AD174/1000000*Isw_min*Nps)/1000*Pout_total/Pout)</f>
        <v>4828.4184584006134</v>
      </c>
      <c r="AF174" s="542">
        <f t="shared" ref="AF174:AF210" si="307">0.5*AD174/1000000*Isw_min*Nps*W174*1000*(Pout/Pout_total)</f>
        <v>4.6392002252886505E-2</v>
      </c>
      <c r="AH174" s="177">
        <f t="shared" ref="AH174:AH210" si="308">SQRT((H174+I174)/(0.5*L*Fsw_DCM))</f>
        <v>2.9582123669816647</v>
      </c>
      <c r="AI174" s="177">
        <f t="shared" ref="AI174:AI205" si="309">MAX(IF(F174&gt;AB174,T174,AH174),Isw_min)</f>
        <v>2.9582123669816647</v>
      </c>
      <c r="AJ174" s="177">
        <f t="shared" ref="AJ174:AJ205" si="310">IF(F174&gt;AF174, (AI174-Isw_min)/1.08*0.8+1.2, AE174*0.2/350+1)</f>
        <v>2.7838610125790106</v>
      </c>
      <c r="AL174" s="559">
        <f t="shared" ref="AL174:AL210" si="311">F174*1000</f>
        <v>640</v>
      </c>
      <c r="AM174" s="469">
        <f t="shared" ref="AM174:AM210" si="312">IF(F174&gt;AF174, X174, AE174)</f>
        <v>350</v>
      </c>
      <c r="AO174">
        <f t="shared" ref="AO174:AO210" si="313">IF(H174&gt;O174, "",AL174)</f>
        <v>640</v>
      </c>
      <c r="AP174">
        <f t="shared" ref="AP174:AP210" si="314">IF(H174&gt;O174, "",AM174)</f>
        <v>350</v>
      </c>
      <c r="AR174" s="5">
        <f t="shared" si="237"/>
        <v>2.8571428571428572</v>
      </c>
      <c r="AS174" s="5">
        <f t="shared" si="234"/>
        <v>1.7256238807393043</v>
      </c>
      <c r="AT174" s="5">
        <f t="shared" si="235"/>
        <v>1.1315189764035529</v>
      </c>
      <c r="AU174" s="177">
        <f t="shared" si="236"/>
        <v>0.6039683582587565</v>
      </c>
      <c r="AW174" s="5">
        <f t="shared" ref="AW174:AW210" si="315">L*Iout^2/(2*Vripple1_spec*Vout*Npri_sec1^2)*1000000000*((1+N174)/(1-N174))^2</f>
        <v>17.111543209876547</v>
      </c>
      <c r="AX174" s="5">
        <f t="shared" ref="AX174:AX210" si="316">L*F174^2/(2*Cout*Vout*Nps^2)*1000000000*((1+N174)/(1-N174))^2+F174*RCoutEsr</f>
        <v>25.813936700336711</v>
      </c>
      <c r="AY174" s="5">
        <f t="shared" ref="AY174:AY210" si="317">L*Iout2^2/(2*Vout_ripple2*Vout2*Npri_sec2^2)*1000000000*((1+N174)/(1-N174))^2</f>
        <v>1.2123152482368027</v>
      </c>
      <c r="AZ174" s="5">
        <f t="shared" ref="AZ174:AZ210" si="318">L*G174^2/(2*Cout2*Vout2*Npri_sec2^2)*1000000000*((1+N174)/(1-N174))^2+G174*CoutEsr2</f>
        <v>1.2699886999419456</v>
      </c>
      <c r="BA174" s="5">
        <f t="shared" ref="BA174:BA210" si="319">(H174+I174)/Efficiency/J174*AT174/Vinripple1</f>
        <v>1.4186998160287818</v>
      </c>
      <c r="BB174" s="5"/>
      <c r="BC174" s="5"/>
      <c r="BD174" s="177">
        <f t="shared" si="263"/>
        <v>1.3273205376506008</v>
      </c>
      <c r="BE174" s="177">
        <f t="shared" si="264"/>
        <v>1.4437811613323046</v>
      </c>
      <c r="BF174" s="177">
        <f t="shared" si="265"/>
        <v>0.3390144372495475</v>
      </c>
      <c r="BG174" s="177"/>
      <c r="BH174" s="542">
        <f t="shared" si="266"/>
        <v>0.19379577906359877</v>
      </c>
      <c r="BI174" s="542">
        <f t="shared" si="267"/>
        <v>0.18559084837351222</v>
      </c>
      <c r="BJ174" s="542">
        <f t="shared" si="268"/>
        <v>1.7499999999999998E-2</v>
      </c>
      <c r="BK174" s="542">
        <f t="shared" si="269"/>
        <v>0.10121127187500001</v>
      </c>
      <c r="BL174">
        <f t="shared" si="270"/>
        <v>3.48E-3</v>
      </c>
      <c r="BM174" s="469">
        <f t="shared" si="271"/>
        <v>501.57789931211107</v>
      </c>
      <c r="BN174" s="177">
        <f t="shared" si="272"/>
        <v>0.57600000000000007</v>
      </c>
      <c r="BO174" s="177">
        <f t="shared" si="273"/>
        <v>0.14400000000000002</v>
      </c>
      <c r="BP174" s="542"/>
      <c r="BR174" s="469">
        <f t="shared" si="274"/>
        <v>720.00000000000011</v>
      </c>
      <c r="BS174" s="542">
        <f t="shared" si="275"/>
        <v>0</v>
      </c>
      <c r="BT174" s="542">
        <f t="shared" si="276"/>
        <v>0</v>
      </c>
      <c r="BU174" s="542">
        <f t="shared" si="277"/>
        <v>0</v>
      </c>
      <c r="BV174" s="542">
        <f t="shared" si="278"/>
        <v>0</v>
      </c>
      <c r="BW174" s="647">
        <f t="shared" ref="BW174:BW210" si="320">0.5*Lleak*0.000000001*AI174^2*AM174*1000</f>
        <v>0</v>
      </c>
      <c r="BX174" s="469">
        <f t="shared" si="279"/>
        <v>0</v>
      </c>
      <c r="BY174" s="177">
        <f t="shared" si="280"/>
        <v>1.2215778993121114</v>
      </c>
      <c r="BZ174" s="5">
        <f t="shared" si="281"/>
        <v>10.719999999999999</v>
      </c>
      <c r="CA174" s="177">
        <f t="shared" si="282"/>
        <v>0.89770381187376591</v>
      </c>
      <c r="CB174" s="5">
        <f t="shared" si="283"/>
        <v>89.770381187376586</v>
      </c>
      <c r="CC174">
        <f t="shared" si="284"/>
        <v>64</v>
      </c>
      <c r="CE174" s="576">
        <f t="shared" ref="CE174:CE210" si="321">IF(ABS(F174-Ioutmax_Vinmin)&lt;Iout/200, AM174, -50)</f>
        <v>-50</v>
      </c>
      <c r="CF174">
        <f t="shared" ref="CF174:CF210" si="322">IF(ABS(F174-Ioutmax_Vinmin)&lt;Iout/200, (O174+P174)*CA174, -50)</f>
        <v>-50</v>
      </c>
    </row>
    <row r="175" spans="5:84" x14ac:dyDescent="0.25">
      <c r="E175" s="174">
        <v>65</v>
      </c>
      <c r="F175" s="221">
        <f t="shared" ref="F175:F206" si="323">IF(PLOT_TYPE=1, E175/100*Iout_max, min_I*EXP(O175*rr/100))</f>
        <v>0.65</v>
      </c>
      <c r="G175" s="221">
        <f t="shared" si="285"/>
        <v>0.16250000000000001</v>
      </c>
      <c r="H175" s="221">
        <f t="shared" si="286"/>
        <v>9.75</v>
      </c>
      <c r="I175" s="221">
        <f t="shared" si="287"/>
        <v>1.1375</v>
      </c>
      <c r="J175" s="555">
        <f t="shared" si="288"/>
        <v>12</v>
      </c>
      <c r="K175" s="451">
        <f t="shared" si="289"/>
        <v>23.85</v>
      </c>
      <c r="L175" s="451">
        <f t="shared" si="290"/>
        <v>35.85</v>
      </c>
      <c r="M175" s="451"/>
      <c r="N175" s="221">
        <f t="shared" si="291"/>
        <v>0.66527196652719667</v>
      </c>
      <c r="O175" s="176">
        <f t="shared" si="292"/>
        <v>13.923050021857241</v>
      </c>
      <c r="P175" s="176">
        <f t="shared" si="293"/>
        <v>1.6243558358833448</v>
      </c>
      <c r="Q175" s="221">
        <f t="shared" si="294"/>
        <v>0.92820333479048278</v>
      </c>
      <c r="R175" s="221">
        <f t="shared" si="295"/>
        <v>1.9890071459796059</v>
      </c>
      <c r="S175" s="221">
        <f t="shared" si="296"/>
        <v>15</v>
      </c>
      <c r="T175" s="221">
        <f t="shared" si="297"/>
        <v>2.8711381441023947</v>
      </c>
      <c r="U175" s="221">
        <f t="shared" si="298"/>
        <v>1.67483058405973</v>
      </c>
      <c r="V175" s="221">
        <f t="shared" si="299"/>
        <v>0.84268205487282011</v>
      </c>
      <c r="W175" s="201">
        <f t="shared" si="300"/>
        <v>350</v>
      </c>
      <c r="X175" s="451">
        <f t="shared" si="301"/>
        <v>350</v>
      </c>
      <c r="Z175" s="221">
        <f t="shared" si="302"/>
        <v>3.2584749380923919</v>
      </c>
      <c r="AA175" s="177">
        <f t="shared" si="303"/>
        <v>0.95636580992229525</v>
      </c>
      <c r="AB175" s="177">
        <f t="shared" si="304"/>
        <v>0.73256165472632317</v>
      </c>
      <c r="AC175" s="177"/>
      <c r="AD175" s="177">
        <f t="shared" si="305"/>
        <v>0.24067085953878403</v>
      </c>
      <c r="AE175" s="559">
        <f t="shared" si="306"/>
        <v>4903.8624968131217</v>
      </c>
      <c r="AF175" s="542">
        <f t="shared" si="307"/>
        <v>4.6392002252886505E-2</v>
      </c>
      <c r="AH175" s="177">
        <f t="shared" si="308"/>
        <v>2.981233822101315</v>
      </c>
      <c r="AI175" s="177">
        <f t="shared" si="309"/>
        <v>2.981233822101315</v>
      </c>
      <c r="AJ175" s="177">
        <f t="shared" si="310"/>
        <v>2.8009139422972709</v>
      </c>
      <c r="AL175" s="559">
        <f t="shared" si="311"/>
        <v>650</v>
      </c>
      <c r="AM175" s="469">
        <f t="shared" si="312"/>
        <v>350</v>
      </c>
      <c r="AO175">
        <f t="shared" si="313"/>
        <v>650</v>
      </c>
      <c r="AP175">
        <f t="shared" si="314"/>
        <v>350</v>
      </c>
      <c r="AR175" s="5">
        <f t="shared" si="237"/>
        <v>2.8571428571428572</v>
      </c>
      <c r="AS175" s="5">
        <f t="shared" si="234"/>
        <v>1.7390530628924339</v>
      </c>
      <c r="AT175" s="5">
        <f t="shared" si="235"/>
        <v>1.1180897942504233</v>
      </c>
      <c r="AU175" s="177">
        <f t="shared" si="236"/>
        <v>0.60866857201235181</v>
      </c>
      <c r="AW175" s="5">
        <f t="shared" si="315"/>
        <v>17.111543209876547</v>
      </c>
      <c r="AX175" s="5">
        <f t="shared" si="316"/>
        <v>26.596455702861959</v>
      </c>
      <c r="AY175" s="5">
        <f t="shared" si="317"/>
        <v>1.2123152482368027</v>
      </c>
      <c r="AZ175" s="5">
        <f t="shared" si="318"/>
        <v>1.3023687151500782</v>
      </c>
      <c r="BA175" s="5">
        <f t="shared" si="319"/>
        <v>1.4237663900469573</v>
      </c>
      <c r="BB175" s="5"/>
      <c r="BC175" s="5"/>
      <c r="BD175" s="177">
        <f t="shared" si="263"/>
        <v>1.3428448913103204</v>
      </c>
      <c r="BE175" s="177">
        <f t="shared" si="264"/>
        <v>1.4463569369382201</v>
      </c>
      <c r="BF175" s="177">
        <f t="shared" si="265"/>
        <v>0.33961925544561999</v>
      </c>
      <c r="BG175" s="177"/>
      <c r="BH175" s="542">
        <f t="shared" si="266"/>
        <v>0.19835556423300488</v>
      </c>
      <c r="BI175" s="542">
        <f t="shared" si="267"/>
        <v>0.18703515691408129</v>
      </c>
      <c r="BJ175" s="542">
        <f t="shared" si="268"/>
        <v>1.7499999999999998E-2</v>
      </c>
      <c r="BK175" s="542">
        <f t="shared" si="269"/>
        <v>0.10121127187500001</v>
      </c>
      <c r="BL175">
        <f t="shared" si="270"/>
        <v>3.48E-3</v>
      </c>
      <c r="BM175" s="469">
        <f t="shared" si="271"/>
        <v>507.58199302208629</v>
      </c>
      <c r="BN175" s="177">
        <f t="shared" si="272"/>
        <v>0.58500000000000008</v>
      </c>
      <c r="BO175" s="177">
        <f t="shared" si="273"/>
        <v>0.14625000000000002</v>
      </c>
      <c r="BP175" s="542"/>
      <c r="BR175" s="469">
        <f t="shared" si="274"/>
        <v>731.25000000000011</v>
      </c>
      <c r="BS175" s="542">
        <f t="shared" si="275"/>
        <v>0</v>
      </c>
      <c r="BT175" s="542">
        <f t="shared" si="276"/>
        <v>0</v>
      </c>
      <c r="BU175" s="542">
        <f t="shared" si="277"/>
        <v>0</v>
      </c>
      <c r="BV175" s="542">
        <f t="shared" si="278"/>
        <v>0</v>
      </c>
      <c r="BW175" s="647">
        <f t="shared" si="320"/>
        <v>0</v>
      </c>
      <c r="BX175" s="469">
        <f t="shared" si="279"/>
        <v>0</v>
      </c>
      <c r="BY175" s="177">
        <f t="shared" si="280"/>
        <v>1.2388319930220864</v>
      </c>
      <c r="BZ175" s="5">
        <f t="shared" si="281"/>
        <v>10.887499999999999</v>
      </c>
      <c r="CA175" s="177">
        <f t="shared" si="282"/>
        <v>0.89783951208535651</v>
      </c>
      <c r="CB175" s="5">
        <f t="shared" si="283"/>
        <v>89.783951208535655</v>
      </c>
      <c r="CC175">
        <f t="shared" si="284"/>
        <v>65</v>
      </c>
      <c r="CE175" s="576">
        <f t="shared" si="321"/>
        <v>-50</v>
      </c>
      <c r="CF175">
        <f t="shared" si="322"/>
        <v>-50</v>
      </c>
    </row>
    <row r="176" spans="5:84" x14ac:dyDescent="0.25">
      <c r="E176" s="174">
        <v>66</v>
      </c>
      <c r="F176" s="221">
        <f t="shared" si="323"/>
        <v>0.66</v>
      </c>
      <c r="G176" s="221">
        <f t="shared" si="285"/>
        <v>0.16500000000000001</v>
      </c>
      <c r="H176" s="221">
        <f t="shared" si="286"/>
        <v>9.9</v>
      </c>
      <c r="I176" s="221">
        <f t="shared" si="287"/>
        <v>1.155</v>
      </c>
      <c r="J176" s="555">
        <f t="shared" si="288"/>
        <v>12</v>
      </c>
      <c r="K176" s="451">
        <f t="shared" si="289"/>
        <v>23.85</v>
      </c>
      <c r="L176" s="451">
        <f t="shared" si="290"/>
        <v>35.85</v>
      </c>
      <c r="M176" s="451"/>
      <c r="N176" s="221">
        <f t="shared" si="291"/>
        <v>0.66527196652719667</v>
      </c>
      <c r="O176" s="176">
        <f t="shared" si="292"/>
        <v>13.923050021857241</v>
      </c>
      <c r="P176" s="176">
        <f t="shared" si="293"/>
        <v>1.6243558358833448</v>
      </c>
      <c r="Q176" s="221">
        <f t="shared" si="294"/>
        <v>0.92820333479048278</v>
      </c>
      <c r="R176" s="221">
        <f t="shared" si="295"/>
        <v>1.9890071459796059</v>
      </c>
      <c r="S176" s="221">
        <f t="shared" si="296"/>
        <v>15</v>
      </c>
      <c r="T176" s="221">
        <f t="shared" si="297"/>
        <v>2.9153095001655083</v>
      </c>
      <c r="U176" s="221">
        <f t="shared" si="298"/>
        <v>1.7005972084298797</v>
      </c>
      <c r="V176" s="221">
        <f t="shared" si="299"/>
        <v>0.85564639417855581</v>
      </c>
      <c r="W176" s="201">
        <f t="shared" si="300"/>
        <v>350</v>
      </c>
      <c r="X176" s="451">
        <f t="shared" si="301"/>
        <v>350</v>
      </c>
      <c r="Z176" s="221">
        <f t="shared" si="302"/>
        <v>3.2584749380923919</v>
      </c>
      <c r="AA176" s="177">
        <f t="shared" si="303"/>
        <v>0.95636580992229525</v>
      </c>
      <c r="AB176" s="177">
        <f t="shared" si="304"/>
        <v>0.73256165472632317</v>
      </c>
      <c r="AC176" s="177"/>
      <c r="AD176" s="177">
        <f t="shared" si="305"/>
        <v>0.24067085953878403</v>
      </c>
      <c r="AE176" s="559">
        <f t="shared" si="306"/>
        <v>4979.3065352256317</v>
      </c>
      <c r="AF176" s="542">
        <f t="shared" si="307"/>
        <v>4.6392002252886505E-2</v>
      </c>
      <c r="AH176" s="177">
        <f t="shared" si="308"/>
        <v>3.0040788598035117</v>
      </c>
      <c r="AI176" s="177">
        <f t="shared" si="309"/>
        <v>3.0040788598035117</v>
      </c>
      <c r="AJ176" s="177">
        <f t="shared" si="310"/>
        <v>2.8178361924470456</v>
      </c>
      <c r="AL176" s="559">
        <f t="shared" si="311"/>
        <v>660</v>
      </c>
      <c r="AM176" s="469">
        <f t="shared" si="312"/>
        <v>350</v>
      </c>
      <c r="AO176">
        <f t="shared" si="313"/>
        <v>660</v>
      </c>
      <c r="AP176">
        <f t="shared" si="314"/>
        <v>350</v>
      </c>
      <c r="AR176" s="5">
        <f t="shared" si="237"/>
        <v>2.8571428571428572</v>
      </c>
      <c r="AS176" s="5">
        <f t="shared" si="234"/>
        <v>1.7523793348853818</v>
      </c>
      <c r="AT176" s="5">
        <f t="shared" si="235"/>
        <v>1.1047635222574754</v>
      </c>
      <c r="AU176" s="177">
        <f t="shared" si="236"/>
        <v>0.61333276720988361</v>
      </c>
      <c r="AW176" s="5">
        <f t="shared" si="315"/>
        <v>17.111543209876547</v>
      </c>
      <c r="AX176" s="5">
        <f t="shared" si="316"/>
        <v>27.390641666666678</v>
      </c>
      <c r="AY176" s="5">
        <f t="shared" si="317"/>
        <v>1.2123152482368027</v>
      </c>
      <c r="AZ176" s="5">
        <f t="shared" si="318"/>
        <v>1.3351344670281047</v>
      </c>
      <c r="BA176" s="5">
        <f t="shared" si="319"/>
        <v>1.4284398524627357</v>
      </c>
      <c r="BB176" s="5"/>
      <c r="BC176" s="5"/>
      <c r="BD176" s="177">
        <f t="shared" si="263"/>
        <v>1.3583096479556211</v>
      </c>
      <c r="BE176" s="177">
        <f t="shared" si="264"/>
        <v>1.4487287996843958</v>
      </c>
      <c r="BF176" s="177">
        <f t="shared" si="265"/>
        <v>0.34017619283728534</v>
      </c>
      <c r="BG176" s="177"/>
      <c r="BH176" s="542">
        <f t="shared" si="266"/>
        <v>0.2029505609702256</v>
      </c>
      <c r="BI176" s="542">
        <f t="shared" si="267"/>
        <v>0.18846839746692284</v>
      </c>
      <c r="BJ176" s="542">
        <f t="shared" si="268"/>
        <v>1.7499999999999998E-2</v>
      </c>
      <c r="BK176" s="542">
        <f t="shared" si="269"/>
        <v>0.10121127187500001</v>
      </c>
      <c r="BL176">
        <f t="shared" si="270"/>
        <v>3.48E-3</v>
      </c>
      <c r="BM176" s="469">
        <f t="shared" si="271"/>
        <v>513.61023031214847</v>
      </c>
      <c r="BN176" s="177">
        <f t="shared" si="272"/>
        <v>0.59400000000000008</v>
      </c>
      <c r="BO176" s="177">
        <f t="shared" si="273"/>
        <v>0.14850000000000002</v>
      </c>
      <c r="BP176" s="542"/>
      <c r="BR176" s="469">
        <f t="shared" si="274"/>
        <v>742.50000000000011</v>
      </c>
      <c r="BS176" s="542">
        <f t="shared" si="275"/>
        <v>0</v>
      </c>
      <c r="BT176" s="542">
        <f t="shared" si="276"/>
        <v>0</v>
      </c>
      <c r="BU176" s="542">
        <f t="shared" si="277"/>
        <v>0</v>
      </c>
      <c r="BV176" s="542">
        <f t="shared" si="278"/>
        <v>0</v>
      </c>
      <c r="BW176" s="647">
        <f t="shared" si="320"/>
        <v>0</v>
      </c>
      <c r="BX176" s="469">
        <f t="shared" si="279"/>
        <v>0</v>
      </c>
      <c r="BY176" s="177">
        <f t="shared" si="280"/>
        <v>1.2561102303121487</v>
      </c>
      <c r="BZ176" s="5">
        <f t="shared" si="281"/>
        <v>11.055</v>
      </c>
      <c r="CA176" s="177">
        <f t="shared" si="282"/>
        <v>0.89796937832467927</v>
      </c>
      <c r="CB176" s="5">
        <f t="shared" si="283"/>
        <v>89.796937832467933</v>
      </c>
      <c r="CC176">
        <f t="shared" si="284"/>
        <v>66</v>
      </c>
      <c r="CE176" s="576">
        <f t="shared" si="321"/>
        <v>-50</v>
      </c>
      <c r="CF176">
        <f t="shared" si="322"/>
        <v>-50</v>
      </c>
    </row>
    <row r="177" spans="5:84" x14ac:dyDescent="0.25">
      <c r="E177" s="174">
        <v>67</v>
      </c>
      <c r="F177" s="221">
        <f t="shared" si="323"/>
        <v>0.67</v>
      </c>
      <c r="G177" s="221">
        <f t="shared" si="285"/>
        <v>0.16750000000000001</v>
      </c>
      <c r="H177" s="221">
        <f t="shared" si="286"/>
        <v>10.050000000000001</v>
      </c>
      <c r="I177" s="221">
        <f t="shared" si="287"/>
        <v>1.1725000000000001</v>
      </c>
      <c r="J177" s="555">
        <f t="shared" si="288"/>
        <v>12</v>
      </c>
      <c r="K177" s="451">
        <f t="shared" si="289"/>
        <v>23.85</v>
      </c>
      <c r="L177" s="451">
        <f t="shared" si="290"/>
        <v>35.85</v>
      </c>
      <c r="M177" s="451"/>
      <c r="N177" s="221">
        <f t="shared" si="291"/>
        <v>0.66527196652719667</v>
      </c>
      <c r="O177" s="176">
        <f t="shared" si="292"/>
        <v>13.923050021857241</v>
      </c>
      <c r="P177" s="176">
        <f t="shared" si="293"/>
        <v>1.6243558358833448</v>
      </c>
      <c r="Q177" s="221">
        <f t="shared" si="294"/>
        <v>0.92820333479048278</v>
      </c>
      <c r="R177" s="221">
        <f t="shared" si="295"/>
        <v>1.9890071459796059</v>
      </c>
      <c r="S177" s="221">
        <f t="shared" si="296"/>
        <v>15</v>
      </c>
      <c r="T177" s="221">
        <f t="shared" si="297"/>
        <v>2.9594808562286223</v>
      </c>
      <c r="U177" s="221">
        <f t="shared" si="298"/>
        <v>1.7263638328000297</v>
      </c>
      <c r="V177" s="221">
        <f t="shared" si="299"/>
        <v>0.86861073348429152</v>
      </c>
      <c r="W177" s="201">
        <f t="shared" si="300"/>
        <v>350</v>
      </c>
      <c r="X177" s="451">
        <f t="shared" si="301"/>
        <v>350</v>
      </c>
      <c r="Z177" s="221">
        <f t="shared" si="302"/>
        <v>3.2584749380923919</v>
      </c>
      <c r="AA177" s="177">
        <f t="shared" si="303"/>
        <v>0.95636580992229525</v>
      </c>
      <c r="AB177" s="177">
        <f t="shared" si="304"/>
        <v>0.73256165472632317</v>
      </c>
      <c r="AC177" s="177"/>
      <c r="AD177" s="177">
        <f t="shared" si="305"/>
        <v>0.24067085953878403</v>
      </c>
      <c r="AE177" s="559">
        <f t="shared" si="306"/>
        <v>5054.7505736381418</v>
      </c>
      <c r="AF177" s="542">
        <f t="shared" si="307"/>
        <v>4.6392002252886505E-2</v>
      </c>
      <c r="AH177" s="177">
        <f t="shared" si="308"/>
        <v>3.0267514747325914</v>
      </c>
      <c r="AI177" s="177">
        <f t="shared" si="309"/>
        <v>3.0267514747325914</v>
      </c>
      <c r="AJ177" s="177">
        <f t="shared" si="310"/>
        <v>2.8346307220241416</v>
      </c>
      <c r="AL177" s="559">
        <f t="shared" si="311"/>
        <v>670</v>
      </c>
      <c r="AM177" s="469">
        <f t="shared" si="312"/>
        <v>350</v>
      </c>
      <c r="AO177">
        <f t="shared" si="313"/>
        <v>670</v>
      </c>
      <c r="AP177">
        <f t="shared" si="314"/>
        <v>350</v>
      </c>
      <c r="AR177" s="5">
        <f t="shared" si="237"/>
        <v>2.8571428571428572</v>
      </c>
      <c r="AS177" s="5">
        <f t="shared" si="234"/>
        <v>1.7656050269273449</v>
      </c>
      <c r="AT177" s="5">
        <f t="shared" si="235"/>
        <v>1.0915378302155123</v>
      </c>
      <c r="AU177" s="177">
        <f t="shared" si="236"/>
        <v>0.61796175942457066</v>
      </c>
      <c r="AW177" s="5">
        <f t="shared" si="315"/>
        <v>17.111543209876547</v>
      </c>
      <c r="AX177" s="5">
        <f t="shared" si="316"/>
        <v>28.196494591750852</v>
      </c>
      <c r="AY177" s="5">
        <f t="shared" si="317"/>
        <v>1.2123152482368027</v>
      </c>
      <c r="AZ177" s="5">
        <f t="shared" si="318"/>
        <v>1.3682859555760241</v>
      </c>
      <c r="BA177" s="5">
        <f t="shared" si="319"/>
        <v>1.4327231929349225</v>
      </c>
      <c r="BB177" s="5"/>
      <c r="BC177" s="5"/>
      <c r="BD177" s="177">
        <f t="shared" si="263"/>
        <v>1.3737159342694969</v>
      </c>
      <c r="BE177" s="177">
        <f t="shared" si="264"/>
        <v>1.4508992634082105</v>
      </c>
      <c r="BF177" s="177">
        <f t="shared" si="265"/>
        <v>0.34068583969901656</v>
      </c>
      <c r="BG177" s="177"/>
      <c r="BH177" s="542">
        <f t="shared" si="266"/>
        <v>0.20758050148725082</v>
      </c>
      <c r="BI177" s="542">
        <f t="shared" si="267"/>
        <v>0.18989082064603593</v>
      </c>
      <c r="BJ177" s="542">
        <f t="shared" si="268"/>
        <v>1.7499999999999998E-2</v>
      </c>
      <c r="BK177" s="542">
        <f t="shared" si="269"/>
        <v>0.10121127187500001</v>
      </c>
      <c r="BL177">
        <f t="shared" si="270"/>
        <v>3.48E-3</v>
      </c>
      <c r="BM177" s="469">
        <f t="shared" si="271"/>
        <v>519.66259400828676</v>
      </c>
      <c r="BN177" s="177">
        <f t="shared" si="272"/>
        <v>0.60300000000000009</v>
      </c>
      <c r="BO177" s="177">
        <f t="shared" si="273"/>
        <v>0.15075000000000002</v>
      </c>
      <c r="BP177" s="542"/>
      <c r="BR177" s="469">
        <f t="shared" si="274"/>
        <v>753.75000000000011</v>
      </c>
      <c r="BS177" s="542">
        <f t="shared" si="275"/>
        <v>0</v>
      </c>
      <c r="BT177" s="542">
        <f t="shared" si="276"/>
        <v>0</v>
      </c>
      <c r="BU177" s="542">
        <f t="shared" si="277"/>
        <v>0</v>
      </c>
      <c r="BV177" s="542">
        <f t="shared" si="278"/>
        <v>0</v>
      </c>
      <c r="BW177" s="647">
        <f t="shared" si="320"/>
        <v>0</v>
      </c>
      <c r="BX177" s="469">
        <f t="shared" si="279"/>
        <v>0</v>
      </c>
      <c r="BY177" s="177">
        <f t="shared" si="280"/>
        <v>1.2734125940082868</v>
      </c>
      <c r="BZ177" s="5">
        <f t="shared" si="281"/>
        <v>11.2225</v>
      </c>
      <c r="CA177" s="177">
        <f t="shared" si="282"/>
        <v>0.89809366987578965</v>
      </c>
      <c r="CB177" s="5">
        <f t="shared" si="283"/>
        <v>89.809366987578969</v>
      </c>
      <c r="CC177">
        <f t="shared" si="284"/>
        <v>67</v>
      </c>
      <c r="CE177" s="576">
        <f t="shared" si="321"/>
        <v>-50</v>
      </c>
      <c r="CF177">
        <f t="shared" si="322"/>
        <v>-50</v>
      </c>
    </row>
    <row r="178" spans="5:84" x14ac:dyDescent="0.25">
      <c r="E178" s="174">
        <v>68</v>
      </c>
      <c r="F178" s="221">
        <f t="shared" si="323"/>
        <v>0.68</v>
      </c>
      <c r="G178" s="221">
        <f t="shared" si="285"/>
        <v>0.17</v>
      </c>
      <c r="H178" s="221">
        <f t="shared" si="286"/>
        <v>10.200000000000001</v>
      </c>
      <c r="I178" s="221">
        <f t="shared" si="287"/>
        <v>1.1900000000000002</v>
      </c>
      <c r="J178" s="555">
        <f t="shared" si="288"/>
        <v>12</v>
      </c>
      <c r="K178" s="451">
        <f t="shared" si="289"/>
        <v>23.85</v>
      </c>
      <c r="L178" s="451">
        <f t="shared" si="290"/>
        <v>35.85</v>
      </c>
      <c r="M178" s="451"/>
      <c r="N178" s="221">
        <f t="shared" si="291"/>
        <v>0.66527196652719667</v>
      </c>
      <c r="O178" s="176">
        <f t="shared" si="292"/>
        <v>13.923050021857241</v>
      </c>
      <c r="P178" s="176">
        <f t="shared" si="293"/>
        <v>1.6243558358833448</v>
      </c>
      <c r="Q178" s="221">
        <f t="shared" si="294"/>
        <v>0.92820333479048278</v>
      </c>
      <c r="R178" s="221">
        <f t="shared" si="295"/>
        <v>1.9890071459796059</v>
      </c>
      <c r="S178" s="221">
        <f t="shared" si="296"/>
        <v>15</v>
      </c>
      <c r="T178" s="221">
        <f t="shared" si="297"/>
        <v>3.003652212291736</v>
      </c>
      <c r="U178" s="221">
        <f t="shared" si="298"/>
        <v>1.7521304571701792</v>
      </c>
      <c r="V178" s="221">
        <f t="shared" si="299"/>
        <v>0.88157507279002723</v>
      </c>
      <c r="W178" s="201">
        <f t="shared" si="300"/>
        <v>350</v>
      </c>
      <c r="X178" s="451">
        <f t="shared" si="301"/>
        <v>350</v>
      </c>
      <c r="Z178" s="221">
        <f t="shared" si="302"/>
        <v>3.2584749380923919</v>
      </c>
      <c r="AA178" s="177">
        <f t="shared" si="303"/>
        <v>0.95636580992229525</v>
      </c>
      <c r="AB178" s="177">
        <f t="shared" si="304"/>
        <v>0.73256165472632317</v>
      </c>
      <c r="AC178" s="177"/>
      <c r="AD178" s="177">
        <f t="shared" si="305"/>
        <v>0.24067085953878403</v>
      </c>
      <c r="AE178" s="559">
        <f t="shared" si="306"/>
        <v>5130.1946120506509</v>
      </c>
      <c r="AF178" s="542">
        <f t="shared" si="307"/>
        <v>4.6392002252886505E-2</v>
      </c>
      <c r="AH178" s="177">
        <f t="shared" si="308"/>
        <v>3.0492555130184598</v>
      </c>
      <c r="AI178" s="177">
        <f t="shared" si="309"/>
        <v>3.0492555130184598</v>
      </c>
      <c r="AJ178" s="177">
        <f t="shared" si="310"/>
        <v>2.851300380013674</v>
      </c>
      <c r="AL178" s="559">
        <f t="shared" si="311"/>
        <v>680</v>
      </c>
      <c r="AM178" s="469">
        <f t="shared" si="312"/>
        <v>350</v>
      </c>
      <c r="AO178">
        <f t="shared" si="313"/>
        <v>680</v>
      </c>
      <c r="AP178">
        <f t="shared" si="314"/>
        <v>350</v>
      </c>
      <c r="AR178" s="5">
        <f t="shared" si="237"/>
        <v>2.8571428571428572</v>
      </c>
      <c r="AS178" s="5">
        <f t="shared" si="234"/>
        <v>1.7787323825941015</v>
      </c>
      <c r="AT178" s="5">
        <f t="shared" si="235"/>
        <v>1.0784104745487557</v>
      </c>
      <c r="AU178" s="177">
        <f t="shared" si="236"/>
        <v>0.62255633390793552</v>
      </c>
      <c r="AW178" s="5">
        <f t="shared" si="315"/>
        <v>17.111543209876547</v>
      </c>
      <c r="AX178" s="5">
        <f t="shared" si="316"/>
        <v>29.01401447811449</v>
      </c>
      <c r="AY178" s="5">
        <f t="shared" si="317"/>
        <v>1.2123152482368027</v>
      </c>
      <c r="AZ178" s="5">
        <f t="shared" si="318"/>
        <v>1.4018231807938373</v>
      </c>
      <c r="BA178" s="5">
        <f t="shared" si="319"/>
        <v>1.4366193339310325</v>
      </c>
      <c r="BB178" s="5"/>
      <c r="BC178" s="5"/>
      <c r="BD178" s="177">
        <f t="shared" si="263"/>
        <v>1.3890648391649898</v>
      </c>
      <c r="BE178" s="177">
        <f t="shared" si="264"/>
        <v>1.4528707084935779</v>
      </c>
      <c r="BF178" s="177">
        <f t="shared" si="265"/>
        <v>0.34114875496906166</v>
      </c>
      <c r="BG178" s="177"/>
      <c r="BH178" s="542">
        <f t="shared" si="266"/>
        <v>0.21224512401449047</v>
      </c>
      <c r="BI178" s="542">
        <f t="shared" si="267"/>
        <v>0.19130266774799567</v>
      </c>
      <c r="BJ178" s="542">
        <f t="shared" si="268"/>
        <v>1.7499999999999998E-2</v>
      </c>
      <c r="BK178" s="542">
        <f t="shared" si="269"/>
        <v>0.10121127187500001</v>
      </c>
      <c r="BL178">
        <f t="shared" si="270"/>
        <v>3.48E-3</v>
      </c>
      <c r="BM178" s="469">
        <f t="shared" si="271"/>
        <v>525.7390636374862</v>
      </c>
      <c r="BN178" s="177">
        <f t="shared" si="272"/>
        <v>0.6120000000000001</v>
      </c>
      <c r="BO178" s="177">
        <f t="shared" si="273"/>
        <v>0.15300000000000002</v>
      </c>
      <c r="BP178" s="542"/>
      <c r="BR178" s="469">
        <f t="shared" si="274"/>
        <v>765.00000000000011</v>
      </c>
      <c r="BS178" s="542">
        <f t="shared" si="275"/>
        <v>0</v>
      </c>
      <c r="BT178" s="542">
        <f t="shared" si="276"/>
        <v>0</v>
      </c>
      <c r="BU178" s="542">
        <f t="shared" si="277"/>
        <v>0</v>
      </c>
      <c r="BV178" s="542">
        <f t="shared" si="278"/>
        <v>0</v>
      </c>
      <c r="BW178" s="647">
        <f t="shared" si="320"/>
        <v>0</v>
      </c>
      <c r="BX178" s="469">
        <f t="shared" si="279"/>
        <v>0</v>
      </c>
      <c r="BY178" s="177">
        <f t="shared" si="280"/>
        <v>1.2907390636374863</v>
      </c>
      <c r="BZ178" s="5">
        <f t="shared" si="281"/>
        <v>11.39</v>
      </c>
      <c r="CA178" s="177">
        <f t="shared" si="282"/>
        <v>0.89821263120706185</v>
      </c>
      <c r="CB178" s="5">
        <f t="shared" si="283"/>
        <v>89.821263120706192</v>
      </c>
      <c r="CC178">
        <f t="shared" si="284"/>
        <v>68</v>
      </c>
      <c r="CE178" s="576">
        <f t="shared" si="321"/>
        <v>-50</v>
      </c>
      <c r="CF178">
        <f t="shared" si="322"/>
        <v>-50</v>
      </c>
    </row>
    <row r="179" spans="5:84" x14ac:dyDescent="0.25">
      <c r="E179" s="174">
        <v>69</v>
      </c>
      <c r="F179" s="221">
        <f t="shared" si="323"/>
        <v>0.69</v>
      </c>
      <c r="G179" s="221">
        <f t="shared" si="285"/>
        <v>0.17249999999999999</v>
      </c>
      <c r="H179" s="221">
        <f t="shared" si="286"/>
        <v>10.35</v>
      </c>
      <c r="I179" s="221">
        <f t="shared" si="287"/>
        <v>1.2075</v>
      </c>
      <c r="J179" s="555">
        <f t="shared" si="288"/>
        <v>12</v>
      </c>
      <c r="K179" s="451">
        <f t="shared" si="289"/>
        <v>23.85</v>
      </c>
      <c r="L179" s="451">
        <f t="shared" si="290"/>
        <v>35.85</v>
      </c>
      <c r="M179" s="451"/>
      <c r="N179" s="221">
        <f t="shared" si="291"/>
        <v>0.66527196652719667</v>
      </c>
      <c r="O179" s="176">
        <f t="shared" si="292"/>
        <v>13.923050021857241</v>
      </c>
      <c r="P179" s="176">
        <f t="shared" si="293"/>
        <v>1.6243558358833448</v>
      </c>
      <c r="Q179" s="221">
        <f t="shared" si="294"/>
        <v>0.92820333479048278</v>
      </c>
      <c r="R179" s="221">
        <f t="shared" si="295"/>
        <v>1.9890071459796059</v>
      </c>
      <c r="S179" s="221">
        <f t="shared" si="296"/>
        <v>15</v>
      </c>
      <c r="T179" s="221">
        <f t="shared" si="297"/>
        <v>3.0478235683548496</v>
      </c>
      <c r="U179" s="221">
        <f t="shared" si="298"/>
        <v>1.7778970815403288</v>
      </c>
      <c r="V179" s="221">
        <f t="shared" si="299"/>
        <v>0.89453941209576293</v>
      </c>
      <c r="W179" s="201">
        <f t="shared" si="300"/>
        <v>350</v>
      </c>
      <c r="X179" s="451">
        <f t="shared" si="301"/>
        <v>350</v>
      </c>
      <c r="Z179" s="221">
        <f t="shared" si="302"/>
        <v>3.2584749380923919</v>
      </c>
      <c r="AA179" s="177">
        <f t="shared" si="303"/>
        <v>0.95636580992229525</v>
      </c>
      <c r="AB179" s="177">
        <f t="shared" si="304"/>
        <v>0.73256165472632317</v>
      </c>
      <c r="AC179" s="177"/>
      <c r="AD179" s="177">
        <f t="shared" si="305"/>
        <v>0.24067085953878403</v>
      </c>
      <c r="AE179" s="559">
        <f t="shared" si="306"/>
        <v>5205.63865046316</v>
      </c>
      <c r="AF179" s="542">
        <f t="shared" si="307"/>
        <v>4.6392002252886505E-2</v>
      </c>
      <c r="AH179" s="177">
        <f t="shared" si="308"/>
        <v>3.0715946798936575</v>
      </c>
      <c r="AI179" s="177">
        <f t="shared" si="309"/>
        <v>3.0715946798936575</v>
      </c>
      <c r="AJ179" s="177">
        <f t="shared" si="310"/>
        <v>2.8678479110323392</v>
      </c>
      <c r="AL179" s="559">
        <f t="shared" si="311"/>
        <v>690</v>
      </c>
      <c r="AM179" s="469">
        <f t="shared" si="312"/>
        <v>350</v>
      </c>
      <c r="AO179">
        <f t="shared" si="313"/>
        <v>690</v>
      </c>
      <c r="AP179">
        <f t="shared" si="314"/>
        <v>350</v>
      </c>
      <c r="AR179" s="5">
        <f t="shared" si="237"/>
        <v>2.8571428571428572</v>
      </c>
      <c r="AS179" s="5">
        <f t="shared" ref="AS179:AS244" si="324">L*AI179/J179*1000000</f>
        <v>1.7917635632713003</v>
      </c>
      <c r="AT179" s="5">
        <f t="shared" ref="AT179:AT244" si="325">AR179-AS179</f>
        <v>1.0653792938715569</v>
      </c>
      <c r="AU179" s="177">
        <f t="shared" ref="AU179:AU244" si="326">AS179/AR179</f>
        <v>0.62711724714495509</v>
      </c>
      <c r="AW179" s="5">
        <f t="shared" si="315"/>
        <v>17.111543209876547</v>
      </c>
      <c r="AX179" s="5">
        <f t="shared" si="316"/>
        <v>29.843201325757576</v>
      </c>
      <c r="AY179" s="5">
        <f t="shared" si="317"/>
        <v>1.2123152482368027</v>
      </c>
      <c r="AZ179" s="5">
        <f t="shared" si="318"/>
        <v>1.4357461426815434</v>
      </c>
      <c r="BA179" s="5">
        <f t="shared" si="319"/>
        <v>1.4401311332070781</v>
      </c>
      <c r="BB179" s="5"/>
      <c r="BC179" s="5"/>
      <c r="BD179" s="177">
        <f t="shared" si="263"/>
        <v>1.4043574155873044</v>
      </c>
      <c r="BE179" s="177">
        <f t="shared" si="264"/>
        <v>1.4546453873962728</v>
      </c>
      <c r="BF179" s="177">
        <f t="shared" si="265"/>
        <v>0.3415654675468463</v>
      </c>
      <c r="BG179" s="177"/>
      <c r="BH179" s="542">
        <f t="shared" si="266"/>
        <v>0.21694417257865584</v>
      </c>
      <c r="BI179" s="542">
        <f t="shared" si="267"/>
        <v>0.19270417122982833</v>
      </c>
      <c r="BJ179" s="542">
        <f t="shared" si="268"/>
        <v>1.7499999999999998E-2</v>
      </c>
      <c r="BK179" s="542">
        <f t="shared" si="269"/>
        <v>0.10121127187500001</v>
      </c>
      <c r="BL179">
        <f t="shared" si="270"/>
        <v>3.48E-3</v>
      </c>
      <c r="BM179" s="469">
        <f t="shared" si="271"/>
        <v>531.83961568348423</v>
      </c>
      <c r="BN179" s="177">
        <f t="shared" si="272"/>
        <v>0.621</v>
      </c>
      <c r="BO179" s="177">
        <f t="shared" si="273"/>
        <v>0.15525</v>
      </c>
      <c r="BP179" s="542"/>
      <c r="BR179" s="469">
        <f t="shared" si="274"/>
        <v>776.25</v>
      </c>
      <c r="BS179" s="542">
        <f t="shared" si="275"/>
        <v>0</v>
      </c>
      <c r="BT179" s="542">
        <f t="shared" si="276"/>
        <v>0</v>
      </c>
      <c r="BU179" s="542">
        <f t="shared" si="277"/>
        <v>0</v>
      </c>
      <c r="BV179" s="542">
        <f t="shared" si="278"/>
        <v>0</v>
      </c>
      <c r="BW179" s="647">
        <f t="shared" si="320"/>
        <v>0</v>
      </c>
      <c r="BX179" s="469">
        <f t="shared" si="279"/>
        <v>0</v>
      </c>
      <c r="BY179" s="177">
        <f t="shared" si="280"/>
        <v>1.3080896156834845</v>
      </c>
      <c r="BZ179" s="5">
        <f t="shared" si="281"/>
        <v>11.557499999999999</v>
      </c>
      <c r="CA179" s="177">
        <f t="shared" si="282"/>
        <v>0.89832649301289003</v>
      </c>
      <c r="CB179" s="5">
        <f t="shared" si="283"/>
        <v>89.832649301288996</v>
      </c>
      <c r="CC179">
        <f t="shared" si="284"/>
        <v>69</v>
      </c>
      <c r="CE179" s="576">
        <f t="shared" si="321"/>
        <v>-50</v>
      </c>
      <c r="CF179">
        <f t="shared" si="322"/>
        <v>-50</v>
      </c>
    </row>
    <row r="180" spans="5:84" x14ac:dyDescent="0.25">
      <c r="E180" s="174">
        <v>70</v>
      </c>
      <c r="F180" s="221">
        <f t="shared" si="323"/>
        <v>0.7</v>
      </c>
      <c r="G180" s="221">
        <f t="shared" si="285"/>
        <v>0.17499999999999999</v>
      </c>
      <c r="H180" s="221">
        <f t="shared" si="286"/>
        <v>10.5</v>
      </c>
      <c r="I180" s="221">
        <f t="shared" si="287"/>
        <v>1.2249999999999999</v>
      </c>
      <c r="J180" s="555">
        <f t="shared" si="288"/>
        <v>12</v>
      </c>
      <c r="K180" s="451">
        <f t="shared" si="289"/>
        <v>23.85</v>
      </c>
      <c r="L180" s="451">
        <f t="shared" si="290"/>
        <v>35.85</v>
      </c>
      <c r="M180" s="451"/>
      <c r="N180" s="221">
        <f t="shared" si="291"/>
        <v>0.66527196652719667</v>
      </c>
      <c r="O180" s="176">
        <f t="shared" si="292"/>
        <v>13.923050021857241</v>
      </c>
      <c r="P180" s="176">
        <f t="shared" si="293"/>
        <v>1.6243558358833448</v>
      </c>
      <c r="Q180" s="221">
        <f t="shared" si="294"/>
        <v>0.92820333479048278</v>
      </c>
      <c r="R180" s="221">
        <f t="shared" si="295"/>
        <v>1.9890071459796059</v>
      </c>
      <c r="S180" s="221">
        <f t="shared" si="296"/>
        <v>15</v>
      </c>
      <c r="T180" s="221">
        <f t="shared" si="297"/>
        <v>3.0919949244179632</v>
      </c>
      <c r="U180" s="221">
        <f t="shared" si="298"/>
        <v>1.8036637059104783</v>
      </c>
      <c r="V180" s="221">
        <f t="shared" si="299"/>
        <v>0.90750375140149853</v>
      </c>
      <c r="W180" s="201">
        <f t="shared" si="300"/>
        <v>350</v>
      </c>
      <c r="X180" s="451">
        <f t="shared" si="301"/>
        <v>350</v>
      </c>
      <c r="Z180" s="221">
        <f t="shared" si="302"/>
        <v>3.2584749380923919</v>
      </c>
      <c r="AA180" s="177">
        <f t="shared" si="303"/>
        <v>0.95636580992229525</v>
      </c>
      <c r="AB180" s="177">
        <f t="shared" si="304"/>
        <v>0.73256165472632317</v>
      </c>
      <c r="AC180" s="177"/>
      <c r="AD180" s="177">
        <f t="shared" si="305"/>
        <v>0.24067085953878403</v>
      </c>
      <c r="AE180" s="559">
        <f t="shared" si="306"/>
        <v>5281.0826888756701</v>
      </c>
      <c r="AF180" s="542">
        <f t="shared" si="307"/>
        <v>4.6392002252886505E-2</v>
      </c>
      <c r="AH180" s="177">
        <f t="shared" si="308"/>
        <v>3.093772546815388</v>
      </c>
      <c r="AI180" s="177">
        <f t="shared" si="309"/>
        <v>3.093772546815388</v>
      </c>
      <c r="AJ180" s="177">
        <f t="shared" si="310"/>
        <v>2.8842759606039916</v>
      </c>
      <c r="AL180" s="559">
        <f t="shared" si="311"/>
        <v>700</v>
      </c>
      <c r="AM180" s="469">
        <f t="shared" si="312"/>
        <v>350</v>
      </c>
      <c r="AO180">
        <f t="shared" si="313"/>
        <v>700</v>
      </c>
      <c r="AP180">
        <f t="shared" si="314"/>
        <v>350</v>
      </c>
      <c r="AR180" s="5">
        <f t="shared" si="237"/>
        <v>2.8571428571428572</v>
      </c>
      <c r="AS180" s="5">
        <f t="shared" si="324"/>
        <v>1.8047006523089764</v>
      </c>
      <c r="AT180" s="5">
        <f t="shared" si="325"/>
        <v>1.0524422048338808</v>
      </c>
      <c r="AU180" s="177">
        <f t="shared" si="326"/>
        <v>0.63164522830814174</v>
      </c>
      <c r="AW180" s="5">
        <f t="shared" si="315"/>
        <v>17.111543209876547</v>
      </c>
      <c r="AX180" s="5">
        <f t="shared" si="316"/>
        <v>30.684055134680136</v>
      </c>
      <c r="AY180" s="5">
        <f t="shared" si="317"/>
        <v>1.2123152482368027</v>
      </c>
      <c r="AZ180" s="5">
        <f t="shared" si="318"/>
        <v>1.4700548412391439</v>
      </c>
      <c r="BA180" s="5">
        <f t="shared" si="319"/>
        <v>1.4432613861610823</v>
      </c>
      <c r="BB180" s="5"/>
      <c r="BC180" s="5"/>
      <c r="BD180" s="177">
        <f t="shared" si="263"/>
        <v>1.4195946822051086</v>
      </c>
      <c r="BE180" s="177">
        <f t="shared" si="264"/>
        <v>1.4562254297591506</v>
      </c>
      <c r="BF180" s="177">
        <f t="shared" si="265"/>
        <v>0.34193647749407896</v>
      </c>
      <c r="BG180" s="177"/>
      <c r="BH180" s="542">
        <f t="shared" si="266"/>
        <v>0.22167739679195259</v>
      </c>
      <c r="BI180" s="542">
        <f t="shared" si="267"/>
        <v>0.19409555515583043</v>
      </c>
      <c r="BJ180" s="542">
        <f t="shared" si="268"/>
        <v>1.7499999999999998E-2</v>
      </c>
      <c r="BK180" s="542">
        <f t="shared" si="269"/>
        <v>0.10121127187500001</v>
      </c>
      <c r="BL180">
        <f t="shared" si="270"/>
        <v>3.48E-3</v>
      </c>
      <c r="BM180" s="469">
        <f t="shared" si="271"/>
        <v>537.96422382278308</v>
      </c>
      <c r="BN180" s="177">
        <f t="shared" si="272"/>
        <v>0.63</v>
      </c>
      <c r="BO180" s="177">
        <f t="shared" si="273"/>
        <v>0.1575</v>
      </c>
      <c r="BP180" s="542"/>
      <c r="BR180" s="469">
        <f t="shared" si="274"/>
        <v>787.5</v>
      </c>
      <c r="BS180" s="542">
        <f t="shared" si="275"/>
        <v>0</v>
      </c>
      <c r="BT180" s="542">
        <f t="shared" si="276"/>
        <v>0</v>
      </c>
      <c r="BU180" s="542">
        <f t="shared" si="277"/>
        <v>0</v>
      </c>
      <c r="BV180" s="542">
        <f t="shared" si="278"/>
        <v>0</v>
      </c>
      <c r="BW180" s="647">
        <f t="shared" si="320"/>
        <v>0</v>
      </c>
      <c r="BX180" s="469">
        <f t="shared" si="279"/>
        <v>0</v>
      </c>
      <c r="BY180" s="177">
        <f t="shared" si="280"/>
        <v>1.3254642238227829</v>
      </c>
      <c r="BZ180" s="5">
        <f t="shared" si="281"/>
        <v>11.725</v>
      </c>
      <c r="CA180" s="177">
        <f t="shared" si="282"/>
        <v>0.89843547316859174</v>
      </c>
      <c r="CB180" s="5">
        <f t="shared" si="283"/>
        <v>89.843547316859173</v>
      </c>
      <c r="CC180">
        <f t="shared" si="284"/>
        <v>70</v>
      </c>
      <c r="CE180" s="576">
        <f t="shared" si="321"/>
        <v>-50</v>
      </c>
      <c r="CF180">
        <f t="shared" si="322"/>
        <v>-50</v>
      </c>
    </row>
    <row r="181" spans="5:84" x14ac:dyDescent="0.25">
      <c r="E181" s="174">
        <v>71</v>
      </c>
      <c r="F181" s="221">
        <f t="shared" si="323"/>
        <v>0.71</v>
      </c>
      <c r="G181" s="221">
        <f t="shared" si="285"/>
        <v>0.17749999999999999</v>
      </c>
      <c r="H181" s="221">
        <f t="shared" si="286"/>
        <v>10.649999999999999</v>
      </c>
      <c r="I181" s="221">
        <f t="shared" si="287"/>
        <v>1.2424999999999999</v>
      </c>
      <c r="J181" s="555">
        <f t="shared" si="288"/>
        <v>12</v>
      </c>
      <c r="K181" s="451">
        <f t="shared" si="289"/>
        <v>23.85</v>
      </c>
      <c r="L181" s="451">
        <f t="shared" si="290"/>
        <v>35.85</v>
      </c>
      <c r="M181" s="451"/>
      <c r="N181" s="221">
        <f t="shared" si="291"/>
        <v>0.66527196652719667</v>
      </c>
      <c r="O181" s="176">
        <f t="shared" si="292"/>
        <v>13.923050021857241</v>
      </c>
      <c r="P181" s="176">
        <f t="shared" si="293"/>
        <v>1.6243558358833448</v>
      </c>
      <c r="Q181" s="221">
        <f t="shared" si="294"/>
        <v>0.92820333479048278</v>
      </c>
      <c r="R181" s="221">
        <f t="shared" si="295"/>
        <v>1.9890071459796059</v>
      </c>
      <c r="S181" s="221">
        <f t="shared" si="296"/>
        <v>15</v>
      </c>
      <c r="T181" s="221">
        <f t="shared" si="297"/>
        <v>3.1361662804810768</v>
      </c>
      <c r="U181" s="221">
        <f t="shared" si="298"/>
        <v>1.8294303302806281</v>
      </c>
      <c r="V181" s="221">
        <f t="shared" si="299"/>
        <v>0.92046809070723412</v>
      </c>
      <c r="W181" s="201">
        <f t="shared" si="300"/>
        <v>350</v>
      </c>
      <c r="X181" s="451">
        <f t="shared" si="301"/>
        <v>350</v>
      </c>
      <c r="Z181" s="221">
        <f t="shared" si="302"/>
        <v>3.2584749380923919</v>
      </c>
      <c r="AA181" s="177">
        <f t="shared" si="303"/>
        <v>0.95636580992229525</v>
      </c>
      <c r="AB181" s="177">
        <f t="shared" si="304"/>
        <v>0.73256165472632317</v>
      </c>
      <c r="AC181" s="177"/>
      <c r="AD181" s="177">
        <f t="shared" si="305"/>
        <v>0.24067085953878403</v>
      </c>
      <c r="AE181" s="559">
        <f t="shared" si="306"/>
        <v>5356.5267272881792</v>
      </c>
      <c r="AF181" s="542">
        <f t="shared" si="307"/>
        <v>4.6392002252886505E-2</v>
      </c>
      <c r="AH181" s="177">
        <f t="shared" si="308"/>
        <v>3.1157925581312567</v>
      </c>
      <c r="AI181" s="177">
        <f t="shared" si="309"/>
        <v>3.1157925581312567</v>
      </c>
      <c r="AJ181" s="177">
        <f t="shared" si="310"/>
        <v>2.9005870800972273</v>
      </c>
      <c r="AL181" s="559">
        <f t="shared" si="311"/>
        <v>710</v>
      </c>
      <c r="AM181" s="469">
        <f t="shared" si="312"/>
        <v>350</v>
      </c>
      <c r="AO181">
        <f t="shared" si="313"/>
        <v>710</v>
      </c>
      <c r="AP181">
        <f t="shared" si="314"/>
        <v>350</v>
      </c>
      <c r="AR181" s="5">
        <f t="shared" si="237"/>
        <v>2.8571428571428572</v>
      </c>
      <c r="AS181" s="5">
        <f t="shared" si="324"/>
        <v>1.8175456589098997</v>
      </c>
      <c r="AT181" s="5">
        <f t="shared" si="325"/>
        <v>1.0395971982329575</v>
      </c>
      <c r="AU181" s="177">
        <f t="shared" si="326"/>
        <v>0.63614098061846491</v>
      </c>
      <c r="AW181" s="5">
        <f t="shared" si="315"/>
        <v>17.111543209876547</v>
      </c>
      <c r="AX181" s="5">
        <f t="shared" si="316"/>
        <v>31.536575904882163</v>
      </c>
      <c r="AY181" s="5">
        <f t="shared" si="317"/>
        <v>1.2123152482368027</v>
      </c>
      <c r="AZ181" s="5">
        <f t="shared" si="318"/>
        <v>1.5047492764666375</v>
      </c>
      <c r="BA181" s="5">
        <f t="shared" si="319"/>
        <v>1.4460128280684732</v>
      </c>
      <c r="BB181" s="5"/>
      <c r="BC181" s="5"/>
      <c r="BD181" s="177">
        <f t="shared" si="263"/>
        <v>1.4347776249993114</v>
      </c>
      <c r="BE181" s="177">
        <f t="shared" si="264"/>
        <v>1.4576128471466379</v>
      </c>
      <c r="BF181" s="177">
        <f t="shared" si="265"/>
        <v>0.34226225714645742</v>
      </c>
      <c r="BG181" s="177"/>
      <c r="BH181" s="542">
        <f t="shared" si="266"/>
        <v>0.22644455165185312</v>
      </c>
      <c r="BI181" s="542">
        <f t="shared" si="267"/>
        <v>0.19547703561575977</v>
      </c>
      <c r="BJ181" s="542">
        <f t="shared" si="268"/>
        <v>1.7499999999999998E-2</v>
      </c>
      <c r="BK181" s="542">
        <f t="shared" si="269"/>
        <v>0.10121127187500001</v>
      </c>
      <c r="BL181">
        <f t="shared" si="270"/>
        <v>3.48E-3</v>
      </c>
      <c r="BM181" s="469">
        <f t="shared" si="271"/>
        <v>544.11285914261282</v>
      </c>
      <c r="BN181" s="177">
        <f t="shared" si="272"/>
        <v>0.63900000000000001</v>
      </c>
      <c r="BO181" s="177">
        <f t="shared" si="273"/>
        <v>0.15975</v>
      </c>
      <c r="BP181" s="542"/>
      <c r="BR181" s="469">
        <f t="shared" si="274"/>
        <v>798.75000000000011</v>
      </c>
      <c r="BS181" s="542">
        <f t="shared" si="275"/>
        <v>0</v>
      </c>
      <c r="BT181" s="542">
        <f t="shared" si="276"/>
        <v>0</v>
      </c>
      <c r="BU181" s="542">
        <f t="shared" si="277"/>
        <v>0</v>
      </c>
      <c r="BV181" s="542">
        <f t="shared" si="278"/>
        <v>0</v>
      </c>
      <c r="BW181" s="647">
        <f t="shared" si="320"/>
        <v>0</v>
      </c>
      <c r="BX181" s="469">
        <f t="shared" si="279"/>
        <v>0</v>
      </c>
      <c r="BY181" s="177">
        <f t="shared" si="280"/>
        <v>1.3428628591426131</v>
      </c>
      <c r="BZ181" s="5">
        <f t="shared" si="281"/>
        <v>11.892499999999998</v>
      </c>
      <c r="CA181" s="177">
        <f t="shared" si="282"/>
        <v>0.89853977760685255</v>
      </c>
      <c r="CB181" s="5">
        <f t="shared" si="283"/>
        <v>89.853977760685254</v>
      </c>
      <c r="CC181">
        <f t="shared" si="284"/>
        <v>71</v>
      </c>
      <c r="CE181" s="576">
        <f t="shared" si="321"/>
        <v>-50</v>
      </c>
      <c r="CF181">
        <f t="shared" si="322"/>
        <v>-50</v>
      </c>
    </row>
    <row r="182" spans="5:84" x14ac:dyDescent="0.25">
      <c r="E182" s="174">
        <v>72</v>
      </c>
      <c r="F182" s="221">
        <f t="shared" si="323"/>
        <v>0.72</v>
      </c>
      <c r="G182" s="221">
        <f t="shared" si="285"/>
        <v>0.18</v>
      </c>
      <c r="H182" s="221">
        <f t="shared" si="286"/>
        <v>10.799999999999999</v>
      </c>
      <c r="I182" s="221">
        <f t="shared" si="287"/>
        <v>1.26</v>
      </c>
      <c r="J182" s="555">
        <f t="shared" si="288"/>
        <v>12</v>
      </c>
      <c r="K182" s="451">
        <f t="shared" si="289"/>
        <v>23.85</v>
      </c>
      <c r="L182" s="451">
        <f t="shared" si="290"/>
        <v>35.85</v>
      </c>
      <c r="M182" s="451"/>
      <c r="N182" s="221">
        <f t="shared" si="291"/>
        <v>0.66527196652719667</v>
      </c>
      <c r="O182" s="176">
        <f t="shared" si="292"/>
        <v>13.923050021857241</v>
      </c>
      <c r="P182" s="176">
        <f t="shared" si="293"/>
        <v>1.6243558358833448</v>
      </c>
      <c r="Q182" s="221">
        <f t="shared" si="294"/>
        <v>0.92820333479048278</v>
      </c>
      <c r="R182" s="221">
        <f t="shared" si="295"/>
        <v>1.9890071459796059</v>
      </c>
      <c r="S182" s="221">
        <f t="shared" si="296"/>
        <v>15</v>
      </c>
      <c r="T182" s="221">
        <f t="shared" si="297"/>
        <v>3.1803376365441904</v>
      </c>
      <c r="U182" s="221">
        <f t="shared" si="298"/>
        <v>1.8551969546507776</v>
      </c>
      <c r="V182" s="221">
        <f t="shared" si="299"/>
        <v>0.93343243001296983</v>
      </c>
      <c r="W182" s="201">
        <f t="shared" si="300"/>
        <v>350</v>
      </c>
      <c r="X182" s="451">
        <f t="shared" si="301"/>
        <v>350</v>
      </c>
      <c r="Z182" s="221">
        <f t="shared" si="302"/>
        <v>3.2584749380923919</v>
      </c>
      <c r="AA182" s="177">
        <f t="shared" si="303"/>
        <v>0.95636580992229525</v>
      </c>
      <c r="AB182" s="177">
        <f t="shared" si="304"/>
        <v>0.73256165472632317</v>
      </c>
      <c r="AC182" s="177"/>
      <c r="AD182" s="177">
        <f t="shared" si="305"/>
        <v>0.24067085953878403</v>
      </c>
      <c r="AE182" s="559">
        <f t="shared" si="306"/>
        <v>5431.9707657006902</v>
      </c>
      <c r="AF182" s="542">
        <f t="shared" si="307"/>
        <v>4.6392002252886505E-2</v>
      </c>
      <c r="AH182" s="177">
        <f t="shared" si="308"/>
        <v>3.1376580373239644</v>
      </c>
      <c r="AI182" s="177">
        <f t="shared" si="309"/>
        <v>3.1376580373239644</v>
      </c>
      <c r="AJ182" s="177">
        <f t="shared" si="310"/>
        <v>2.9167837313510852</v>
      </c>
      <c r="AL182" s="559">
        <f t="shared" si="311"/>
        <v>720</v>
      </c>
      <c r="AM182" s="469">
        <f t="shared" si="312"/>
        <v>350</v>
      </c>
      <c r="AO182">
        <f t="shared" si="313"/>
        <v>720</v>
      </c>
      <c r="AP182">
        <f t="shared" si="314"/>
        <v>350</v>
      </c>
      <c r="AR182" s="5">
        <f t="shared" si="237"/>
        <v>2.8571428571428572</v>
      </c>
      <c r="AS182" s="5">
        <f t="shared" si="324"/>
        <v>1.8303005217723125</v>
      </c>
      <c r="AT182" s="5">
        <f t="shared" si="325"/>
        <v>1.0268423353705447</v>
      </c>
      <c r="AU182" s="177">
        <f t="shared" si="326"/>
        <v>0.64060518262030941</v>
      </c>
      <c r="AW182" s="5">
        <f t="shared" si="315"/>
        <v>17.111543209876547</v>
      </c>
      <c r="AX182" s="5">
        <f t="shared" si="316"/>
        <v>32.400763636363649</v>
      </c>
      <c r="AY182" s="5">
        <f t="shared" si="317"/>
        <v>1.2123152482368027</v>
      </c>
      <c r="AZ182" s="5">
        <f t="shared" si="318"/>
        <v>1.5398294483640251</v>
      </c>
      <c r="BA182" s="5">
        <f t="shared" si="319"/>
        <v>1.4483881362068736</v>
      </c>
      <c r="BB182" s="5"/>
      <c r="BC182" s="5"/>
      <c r="BD182" s="177">
        <f t="shared" si="263"/>
        <v>1.4499071987568914</v>
      </c>
      <c r="BE182" s="177">
        <f t="shared" si="264"/>
        <v>1.4588095374250325</v>
      </c>
      <c r="BF182" s="177">
        <f t="shared" si="265"/>
        <v>0.34254325214220693</v>
      </c>
      <c r="BG182" s="177"/>
      <c r="BH182" s="542">
        <f t="shared" si="266"/>
        <v>0.23124539735077618</v>
      </c>
      <c r="BI182" s="542">
        <f t="shared" si="267"/>
        <v>0.19684882111661223</v>
      </c>
      <c r="BJ182" s="542">
        <f t="shared" si="268"/>
        <v>1.7499999999999998E-2</v>
      </c>
      <c r="BK182" s="542">
        <f t="shared" si="269"/>
        <v>0.10121127187500001</v>
      </c>
      <c r="BL182">
        <f t="shared" si="270"/>
        <v>3.48E-3</v>
      </c>
      <c r="BM182" s="469">
        <f t="shared" si="271"/>
        <v>550.28549034238847</v>
      </c>
      <c r="BN182" s="177">
        <f t="shared" si="272"/>
        <v>0.64800000000000002</v>
      </c>
      <c r="BO182" s="177">
        <f t="shared" si="273"/>
        <v>0.16200000000000001</v>
      </c>
      <c r="BP182" s="542"/>
      <c r="BR182" s="469">
        <f t="shared" si="274"/>
        <v>810</v>
      </c>
      <c r="BS182" s="542">
        <f t="shared" si="275"/>
        <v>0</v>
      </c>
      <c r="BT182" s="542">
        <f t="shared" si="276"/>
        <v>0</v>
      </c>
      <c r="BU182" s="542">
        <f t="shared" si="277"/>
        <v>0</v>
      </c>
      <c r="BV182" s="542">
        <f t="shared" si="278"/>
        <v>0</v>
      </c>
      <c r="BW182" s="647">
        <f t="shared" si="320"/>
        <v>0</v>
      </c>
      <c r="BX182" s="469">
        <f t="shared" si="279"/>
        <v>0</v>
      </c>
      <c r="BY182" s="177">
        <f t="shared" si="280"/>
        <v>1.3602854903423884</v>
      </c>
      <c r="BZ182" s="5">
        <f t="shared" si="281"/>
        <v>12.059999999999999</v>
      </c>
      <c r="CA182" s="177">
        <f t="shared" si="282"/>
        <v>0.89863960112314389</v>
      </c>
      <c r="CB182" s="5">
        <f t="shared" si="283"/>
        <v>89.863960112314388</v>
      </c>
      <c r="CC182">
        <f t="shared" si="284"/>
        <v>72</v>
      </c>
      <c r="CE182" s="576">
        <f t="shared" si="321"/>
        <v>-50</v>
      </c>
      <c r="CF182">
        <f t="shared" si="322"/>
        <v>-50</v>
      </c>
    </row>
    <row r="183" spans="5:84" x14ac:dyDescent="0.25">
      <c r="E183" s="174">
        <v>73</v>
      </c>
      <c r="F183" s="221">
        <f t="shared" si="323"/>
        <v>0.73</v>
      </c>
      <c r="G183" s="221">
        <f t="shared" si="285"/>
        <v>0.1825</v>
      </c>
      <c r="H183" s="221">
        <f t="shared" si="286"/>
        <v>10.95</v>
      </c>
      <c r="I183" s="221">
        <f t="shared" si="287"/>
        <v>1.2774999999999999</v>
      </c>
      <c r="J183" s="555">
        <f t="shared" si="288"/>
        <v>12</v>
      </c>
      <c r="K183" s="451">
        <f t="shared" si="289"/>
        <v>23.85</v>
      </c>
      <c r="L183" s="451">
        <f t="shared" si="290"/>
        <v>35.85</v>
      </c>
      <c r="M183" s="451"/>
      <c r="N183" s="221">
        <f t="shared" si="291"/>
        <v>0.66527196652719667</v>
      </c>
      <c r="O183" s="176">
        <f t="shared" si="292"/>
        <v>13.923050021857241</v>
      </c>
      <c r="P183" s="176">
        <f t="shared" si="293"/>
        <v>1.6243558358833448</v>
      </c>
      <c r="Q183" s="221">
        <f t="shared" si="294"/>
        <v>0.92820333479048278</v>
      </c>
      <c r="R183" s="221">
        <f t="shared" si="295"/>
        <v>1.9890071459796059</v>
      </c>
      <c r="S183" s="221">
        <f t="shared" si="296"/>
        <v>15</v>
      </c>
      <c r="T183" s="221">
        <f t="shared" si="297"/>
        <v>3.2245089926073045</v>
      </c>
      <c r="U183" s="221">
        <f t="shared" si="298"/>
        <v>1.8809635790209274</v>
      </c>
      <c r="V183" s="221">
        <f t="shared" si="299"/>
        <v>0.94639676931870553</v>
      </c>
      <c r="W183" s="201">
        <f t="shared" si="300"/>
        <v>350</v>
      </c>
      <c r="X183" s="451">
        <f t="shared" si="301"/>
        <v>350</v>
      </c>
      <c r="Z183" s="221">
        <f t="shared" si="302"/>
        <v>3.2584749380923919</v>
      </c>
      <c r="AA183" s="177">
        <f t="shared" si="303"/>
        <v>0.95636580992229525</v>
      </c>
      <c r="AB183" s="177">
        <f t="shared" si="304"/>
        <v>0.73256165472632317</v>
      </c>
      <c r="AC183" s="177"/>
      <c r="AD183" s="177">
        <f t="shared" si="305"/>
        <v>0.24067085953878403</v>
      </c>
      <c r="AE183" s="559">
        <f t="shared" si="306"/>
        <v>5507.4148041131984</v>
      </c>
      <c r="AF183" s="542">
        <f t="shared" si="307"/>
        <v>4.6392002252886505E-2</v>
      </c>
      <c r="AH183" s="177">
        <f t="shared" si="308"/>
        <v>3.1593721928669978</v>
      </c>
      <c r="AI183" s="177">
        <f t="shared" si="309"/>
        <v>3.1593721928669978</v>
      </c>
      <c r="AJ183" s="177">
        <f t="shared" si="310"/>
        <v>2.9328682910125909</v>
      </c>
      <c r="AL183" s="559">
        <f t="shared" si="311"/>
        <v>730</v>
      </c>
      <c r="AM183" s="469">
        <f t="shared" si="312"/>
        <v>350</v>
      </c>
      <c r="AO183">
        <f t="shared" si="313"/>
        <v>730</v>
      </c>
      <c r="AP183">
        <f t="shared" si="314"/>
        <v>350</v>
      </c>
      <c r="AR183" s="5">
        <f t="shared" si="237"/>
        <v>2.8571428571428572</v>
      </c>
      <c r="AS183" s="5">
        <f t="shared" si="324"/>
        <v>1.842967112505749</v>
      </c>
      <c r="AT183" s="5">
        <f t="shared" si="325"/>
        <v>1.0141757446371082</v>
      </c>
      <c r="AU183" s="177">
        <f t="shared" si="326"/>
        <v>0.64503848937701214</v>
      </c>
      <c r="AW183" s="5">
        <f t="shared" si="315"/>
        <v>17.111543209876547</v>
      </c>
      <c r="AX183" s="5">
        <f t="shared" si="316"/>
        <v>33.276618329124581</v>
      </c>
      <c r="AY183" s="5">
        <f t="shared" si="317"/>
        <v>1.2123152482368027</v>
      </c>
      <c r="AZ183" s="5">
        <f t="shared" si="318"/>
        <v>1.5752953569313055</v>
      </c>
      <c r="BA183" s="5">
        <f t="shared" si="319"/>
        <v>1.4503899318772211</v>
      </c>
      <c r="BB183" s="5"/>
      <c r="BC183" s="5"/>
      <c r="BD183" s="177">
        <f t="shared" si="263"/>
        <v>1.464984328476687</v>
      </c>
      <c r="BE183" s="177">
        <f t="shared" si="264"/>
        <v>1.45981728881259</v>
      </c>
      <c r="BF183" s="177">
        <f t="shared" si="265"/>
        <v>0.34277988237308277</v>
      </c>
      <c r="BG183" s="177"/>
      <c r="BH183" s="542">
        <f t="shared" si="266"/>
        <v>0.23607969909505186</v>
      </c>
      <c r="BI183" s="542">
        <f t="shared" si="267"/>
        <v>0.19821111294999327</v>
      </c>
      <c r="BJ183" s="542">
        <f t="shared" si="268"/>
        <v>1.7499999999999998E-2</v>
      </c>
      <c r="BK183" s="542">
        <f t="shared" si="269"/>
        <v>0.10121127187500001</v>
      </c>
      <c r="BL183">
        <f t="shared" si="270"/>
        <v>3.48E-3</v>
      </c>
      <c r="BM183" s="469">
        <f t="shared" si="271"/>
        <v>556.48208392004517</v>
      </c>
      <c r="BN183" s="177">
        <f t="shared" si="272"/>
        <v>0.65700000000000003</v>
      </c>
      <c r="BO183" s="177">
        <f t="shared" si="273"/>
        <v>0.16425000000000001</v>
      </c>
      <c r="BP183" s="542"/>
      <c r="BR183" s="469">
        <f t="shared" si="274"/>
        <v>821.25</v>
      </c>
      <c r="BS183" s="542">
        <f t="shared" si="275"/>
        <v>0</v>
      </c>
      <c r="BT183" s="542">
        <f t="shared" si="276"/>
        <v>0</v>
      </c>
      <c r="BU183" s="542">
        <f t="shared" si="277"/>
        <v>0</v>
      </c>
      <c r="BV183" s="542">
        <f t="shared" si="278"/>
        <v>0</v>
      </c>
      <c r="BW183" s="647">
        <f t="shared" si="320"/>
        <v>0</v>
      </c>
      <c r="BX183" s="469">
        <f t="shared" si="279"/>
        <v>0</v>
      </c>
      <c r="BY183" s="177">
        <f t="shared" si="280"/>
        <v>1.3777320839200451</v>
      </c>
      <c r="BZ183" s="5">
        <f t="shared" si="281"/>
        <v>12.227499999999999</v>
      </c>
      <c r="CA183" s="177">
        <f t="shared" si="282"/>
        <v>0.89873512811675005</v>
      </c>
      <c r="CB183" s="5">
        <f t="shared" si="283"/>
        <v>89.873512811674999</v>
      </c>
      <c r="CC183">
        <f t="shared" si="284"/>
        <v>73</v>
      </c>
      <c r="CE183" s="576">
        <f t="shared" si="321"/>
        <v>-50</v>
      </c>
      <c r="CF183">
        <f t="shared" si="322"/>
        <v>-50</v>
      </c>
    </row>
    <row r="184" spans="5:84" x14ac:dyDescent="0.25">
      <c r="E184" s="174">
        <v>74</v>
      </c>
      <c r="F184" s="221">
        <f t="shared" si="323"/>
        <v>0.74</v>
      </c>
      <c r="G184" s="221">
        <f t="shared" si="285"/>
        <v>0.185</v>
      </c>
      <c r="H184" s="221">
        <f t="shared" si="286"/>
        <v>11.1</v>
      </c>
      <c r="I184" s="221">
        <f t="shared" si="287"/>
        <v>1.2949999999999999</v>
      </c>
      <c r="J184" s="555">
        <f t="shared" si="288"/>
        <v>12</v>
      </c>
      <c r="K184" s="451">
        <f t="shared" si="289"/>
        <v>23.85</v>
      </c>
      <c r="L184" s="451">
        <f t="shared" si="290"/>
        <v>35.85</v>
      </c>
      <c r="M184" s="451"/>
      <c r="N184" s="221">
        <f t="shared" si="291"/>
        <v>0.66527196652719667</v>
      </c>
      <c r="O184" s="176">
        <f t="shared" si="292"/>
        <v>13.923050021857241</v>
      </c>
      <c r="P184" s="176">
        <f t="shared" si="293"/>
        <v>1.6243558358833448</v>
      </c>
      <c r="Q184" s="221">
        <f t="shared" si="294"/>
        <v>0.92820333479048278</v>
      </c>
      <c r="R184" s="221">
        <f t="shared" si="295"/>
        <v>1.9890071459796059</v>
      </c>
      <c r="S184" s="221">
        <f t="shared" si="296"/>
        <v>15</v>
      </c>
      <c r="T184" s="221">
        <f t="shared" si="297"/>
        <v>3.2686803486704186</v>
      </c>
      <c r="U184" s="221">
        <f t="shared" si="298"/>
        <v>1.9067302033910773</v>
      </c>
      <c r="V184" s="221">
        <f t="shared" si="299"/>
        <v>0.95936110862444135</v>
      </c>
      <c r="W184" s="201">
        <f t="shared" si="300"/>
        <v>350</v>
      </c>
      <c r="X184" s="451">
        <f t="shared" si="301"/>
        <v>348.90723676796284</v>
      </c>
      <c r="Z184" s="221">
        <f t="shared" si="302"/>
        <v>3.2584749380923919</v>
      </c>
      <c r="AA184" s="177">
        <f t="shared" si="303"/>
        <v>0.95636580992229525</v>
      </c>
      <c r="AB184" s="177">
        <f t="shared" si="304"/>
        <v>0.73256165472632317</v>
      </c>
      <c r="AC184" s="177"/>
      <c r="AD184" s="177">
        <f t="shared" si="305"/>
        <v>0.24067085953878403</v>
      </c>
      <c r="AE184" s="559">
        <f t="shared" si="306"/>
        <v>5582.8588425257085</v>
      </c>
      <c r="AF184" s="542">
        <f t="shared" si="307"/>
        <v>4.6392002252886505E-2</v>
      </c>
      <c r="AH184" s="177">
        <f t="shared" si="308"/>
        <v>3.1809381237205439</v>
      </c>
      <c r="AI184" s="177">
        <f t="shared" si="309"/>
        <v>3.2686803486704186</v>
      </c>
      <c r="AJ184" s="177">
        <f t="shared" si="310"/>
        <v>3.0138372953114212</v>
      </c>
      <c r="AL184" s="559">
        <f t="shared" si="311"/>
        <v>740</v>
      </c>
      <c r="AM184" s="469">
        <f t="shared" si="312"/>
        <v>348.90723676796284</v>
      </c>
      <c r="AO184">
        <f t="shared" si="313"/>
        <v>740</v>
      </c>
      <c r="AP184">
        <f t="shared" si="314"/>
        <v>348.90723676796284</v>
      </c>
      <c r="AR184" s="5">
        <f t="shared" si="237"/>
        <v>2.8660913120155191</v>
      </c>
      <c r="AS184" s="5">
        <f t="shared" si="324"/>
        <v>1.9067302033910773</v>
      </c>
      <c r="AT184" s="5">
        <f t="shared" si="325"/>
        <v>0.95936110862444179</v>
      </c>
      <c r="AU184" s="177">
        <f t="shared" si="326"/>
        <v>0.66527196652719656</v>
      </c>
      <c r="AW184" s="5">
        <f t="shared" si="315"/>
        <v>17.111543209876547</v>
      </c>
      <c r="AX184" s="5">
        <f t="shared" si="316"/>
        <v>34.164139983164993</v>
      </c>
      <c r="AY184" s="5">
        <f t="shared" si="317"/>
        <v>1.2123152482368027</v>
      </c>
      <c r="AZ184" s="5">
        <f t="shared" si="318"/>
        <v>1.6111470021684802</v>
      </c>
      <c r="BA184" s="5">
        <f t="shared" si="319"/>
        <v>1.3907930925613983</v>
      </c>
      <c r="BB184" s="5"/>
      <c r="BC184" s="5"/>
      <c r="BD184" s="177">
        <f t="shared" si="263"/>
        <v>1.5392580600867729</v>
      </c>
      <c r="BE184" s="177">
        <f t="shared" si="264"/>
        <v>1.466646919714373</v>
      </c>
      <c r="BF184" s="177">
        <f t="shared" si="265"/>
        <v>0.34438354886964079</v>
      </c>
      <c r="BG184" s="177"/>
      <c r="BH184" s="542">
        <f t="shared" si="266"/>
        <v>0.26062469130963051</v>
      </c>
      <c r="BI184" s="542">
        <f t="shared" si="267"/>
        <v>0.20442857142857143</v>
      </c>
      <c r="BJ184" s="542">
        <f t="shared" si="268"/>
        <v>1.7445361838398142E-2</v>
      </c>
      <c r="BK184" s="542">
        <f t="shared" si="269"/>
        <v>0.10089527199907797</v>
      </c>
      <c r="BL184">
        <f t="shared" si="270"/>
        <v>3.48E-3</v>
      </c>
      <c r="BM184" s="469">
        <f t="shared" si="271"/>
        <v>586.87389657567803</v>
      </c>
      <c r="BN184" s="177">
        <f t="shared" si="272"/>
        <v>0.66600000000000004</v>
      </c>
      <c r="BO184" s="177">
        <f t="shared" si="273"/>
        <v>0.16650000000000001</v>
      </c>
      <c r="BP184" s="542"/>
      <c r="BR184" s="469">
        <f t="shared" si="274"/>
        <v>832.5</v>
      </c>
      <c r="BS184" s="542">
        <f t="shared" si="275"/>
        <v>0</v>
      </c>
      <c r="BT184" s="542">
        <f t="shared" si="276"/>
        <v>0</v>
      </c>
      <c r="BU184" s="542">
        <f t="shared" si="277"/>
        <v>0</v>
      </c>
      <c r="BV184" s="542">
        <f t="shared" si="278"/>
        <v>0</v>
      </c>
      <c r="BW184" s="647">
        <f t="shared" si="320"/>
        <v>0</v>
      </c>
      <c r="BX184" s="469">
        <f t="shared" si="279"/>
        <v>0</v>
      </c>
      <c r="BY184" s="177">
        <f t="shared" si="280"/>
        <v>1.4193738965756781</v>
      </c>
      <c r="BZ184" s="5">
        <f t="shared" si="281"/>
        <v>12.395</v>
      </c>
      <c r="CA184" s="177">
        <f t="shared" si="282"/>
        <v>0.89725383812526505</v>
      </c>
      <c r="CB184" s="5">
        <f t="shared" si="283"/>
        <v>89.725383812526502</v>
      </c>
      <c r="CC184">
        <f t="shared" si="284"/>
        <v>74</v>
      </c>
      <c r="CE184" s="576">
        <f t="shared" si="321"/>
        <v>-50</v>
      </c>
      <c r="CF184">
        <f t="shared" si="322"/>
        <v>-50</v>
      </c>
    </row>
    <row r="185" spans="5:84" x14ac:dyDescent="0.25">
      <c r="E185" s="174">
        <v>75</v>
      </c>
      <c r="F185" s="221">
        <f t="shared" si="323"/>
        <v>0.75</v>
      </c>
      <c r="G185" s="221">
        <f t="shared" si="285"/>
        <v>0.1875</v>
      </c>
      <c r="H185" s="221">
        <f t="shared" si="286"/>
        <v>11.25</v>
      </c>
      <c r="I185" s="221">
        <f t="shared" si="287"/>
        <v>1.3125</v>
      </c>
      <c r="J185" s="555">
        <f t="shared" si="288"/>
        <v>12</v>
      </c>
      <c r="K185" s="451">
        <f t="shared" si="289"/>
        <v>23.85</v>
      </c>
      <c r="L185" s="451">
        <f t="shared" si="290"/>
        <v>35.85</v>
      </c>
      <c r="M185" s="451"/>
      <c r="N185" s="221">
        <f t="shared" si="291"/>
        <v>0.66527196652719667</v>
      </c>
      <c r="O185" s="176">
        <f t="shared" si="292"/>
        <v>13.923050021857241</v>
      </c>
      <c r="P185" s="176">
        <f t="shared" si="293"/>
        <v>1.6243558358833448</v>
      </c>
      <c r="Q185" s="221">
        <f t="shared" si="294"/>
        <v>0.92820333479048278</v>
      </c>
      <c r="R185" s="221">
        <f t="shared" si="295"/>
        <v>1.9890071459796059</v>
      </c>
      <c r="S185" s="221">
        <f t="shared" si="296"/>
        <v>15</v>
      </c>
      <c r="T185" s="221">
        <f t="shared" si="297"/>
        <v>3.3128517047335322</v>
      </c>
      <c r="U185" s="221">
        <f t="shared" si="298"/>
        <v>1.9324968277612269</v>
      </c>
      <c r="V185" s="221">
        <f t="shared" si="299"/>
        <v>0.97232544793017694</v>
      </c>
      <c r="W185" s="201">
        <f t="shared" si="300"/>
        <v>350</v>
      </c>
      <c r="X185" s="451">
        <f t="shared" si="301"/>
        <v>344.2551402777234</v>
      </c>
      <c r="Z185" s="221">
        <f t="shared" si="302"/>
        <v>3.2584749380923919</v>
      </c>
      <c r="AA185" s="177">
        <f t="shared" si="303"/>
        <v>0.95636580992229525</v>
      </c>
      <c r="AB185" s="177">
        <f t="shared" si="304"/>
        <v>0.73256165472632317</v>
      </c>
      <c r="AC185" s="177"/>
      <c r="AD185" s="177">
        <f t="shared" si="305"/>
        <v>0.24067085953878403</v>
      </c>
      <c r="AE185" s="559">
        <f t="shared" si="306"/>
        <v>5658.3028809382185</v>
      </c>
      <c r="AF185" s="542">
        <f t="shared" si="307"/>
        <v>4.6392002252886505E-2</v>
      </c>
      <c r="AH185" s="177">
        <f t="shared" si="308"/>
        <v>3.2023588244942705</v>
      </c>
      <c r="AI185" s="177">
        <f t="shared" si="309"/>
        <v>3.3128517047335322</v>
      </c>
      <c r="AJ185" s="177">
        <f t="shared" si="310"/>
        <v>3.0465568183211351</v>
      </c>
      <c r="AL185" s="559">
        <f t="shared" si="311"/>
        <v>750</v>
      </c>
      <c r="AM185" s="469">
        <f t="shared" si="312"/>
        <v>344.2551402777234</v>
      </c>
      <c r="AO185">
        <f t="shared" si="313"/>
        <v>750</v>
      </c>
      <c r="AP185">
        <f t="shared" si="314"/>
        <v>344.2551402777234</v>
      </c>
      <c r="AR185" s="5">
        <f t="shared" si="237"/>
        <v>2.9048222756914042</v>
      </c>
      <c r="AS185" s="5">
        <f t="shared" si="324"/>
        <v>1.9324968277612269</v>
      </c>
      <c r="AT185" s="5">
        <f t="shared" si="325"/>
        <v>0.97232544793017728</v>
      </c>
      <c r="AU185" s="177">
        <f t="shared" si="326"/>
        <v>0.66527196652719656</v>
      </c>
      <c r="AW185" s="5">
        <f t="shared" si="315"/>
        <v>17.111543209876547</v>
      </c>
      <c r="AX185" s="5">
        <f t="shared" si="316"/>
        <v>35.063328598484858</v>
      </c>
      <c r="AY185" s="5">
        <f t="shared" si="317"/>
        <v>1.2123152482368027</v>
      </c>
      <c r="AZ185" s="5">
        <f t="shared" si="318"/>
        <v>1.647384384075548</v>
      </c>
      <c r="BA185" s="5">
        <f t="shared" si="319"/>
        <v>1.4286360748096902</v>
      </c>
      <c r="BB185" s="5"/>
      <c r="BC185" s="5"/>
      <c r="BD185" s="177">
        <f t="shared" si="263"/>
        <v>1.5600588446825401</v>
      </c>
      <c r="BE185" s="177">
        <f t="shared" si="264"/>
        <v>1.4864664726834862</v>
      </c>
      <c r="BF185" s="177">
        <f t="shared" si="265"/>
        <v>0.34903738061112238</v>
      </c>
      <c r="BG185" s="177"/>
      <c r="BH185" s="542">
        <f t="shared" si="266"/>
        <v>0.26771619587594436</v>
      </c>
      <c r="BI185" s="542">
        <f t="shared" si="267"/>
        <v>0.20442857142857146</v>
      </c>
      <c r="BJ185" s="542">
        <f t="shared" si="268"/>
        <v>1.7212757013886169E-2</v>
      </c>
      <c r="BK185" s="542">
        <f t="shared" si="269"/>
        <v>9.9550001705756952E-2</v>
      </c>
      <c r="BL185">
        <f t="shared" si="270"/>
        <v>3.48E-3</v>
      </c>
      <c r="BM185" s="469">
        <f t="shared" si="271"/>
        <v>592.387526024159</v>
      </c>
      <c r="BN185" s="177">
        <f t="shared" si="272"/>
        <v>0.67500000000000004</v>
      </c>
      <c r="BO185" s="177">
        <f t="shared" si="273"/>
        <v>0.16875000000000001</v>
      </c>
      <c r="BP185" s="542"/>
      <c r="BR185" s="469">
        <f t="shared" si="274"/>
        <v>843.75</v>
      </c>
      <c r="BS185" s="542">
        <f t="shared" si="275"/>
        <v>0</v>
      </c>
      <c r="BT185" s="542">
        <f t="shared" si="276"/>
        <v>0</v>
      </c>
      <c r="BU185" s="542">
        <f t="shared" si="277"/>
        <v>0</v>
      </c>
      <c r="BV185" s="542">
        <f t="shared" si="278"/>
        <v>0</v>
      </c>
      <c r="BW185" s="647">
        <f t="shared" si="320"/>
        <v>0</v>
      </c>
      <c r="BX185" s="469">
        <f t="shared" si="279"/>
        <v>0</v>
      </c>
      <c r="BY185" s="177">
        <f t="shared" si="280"/>
        <v>1.4361375260241591</v>
      </c>
      <c r="BZ185" s="5">
        <f t="shared" si="281"/>
        <v>12.5625</v>
      </c>
      <c r="CA185" s="177">
        <f t="shared" si="282"/>
        <v>0.89740876400618919</v>
      </c>
      <c r="CB185" s="5">
        <f t="shared" si="283"/>
        <v>89.740876400618916</v>
      </c>
      <c r="CC185">
        <f t="shared" si="284"/>
        <v>75</v>
      </c>
      <c r="CE185" s="576">
        <f t="shared" si="321"/>
        <v>-50</v>
      </c>
      <c r="CF185">
        <f t="shared" si="322"/>
        <v>-50</v>
      </c>
    </row>
    <row r="186" spans="5:84" x14ac:dyDescent="0.25">
      <c r="E186" s="174">
        <v>76</v>
      </c>
      <c r="F186" s="221">
        <f t="shared" si="323"/>
        <v>0.76</v>
      </c>
      <c r="G186" s="221">
        <f t="shared" si="285"/>
        <v>0.19</v>
      </c>
      <c r="H186" s="221">
        <f t="shared" si="286"/>
        <v>11.4</v>
      </c>
      <c r="I186" s="221">
        <f t="shared" si="287"/>
        <v>1.33</v>
      </c>
      <c r="J186" s="555">
        <f t="shared" si="288"/>
        <v>12</v>
      </c>
      <c r="K186" s="451">
        <f t="shared" si="289"/>
        <v>23.85</v>
      </c>
      <c r="L186" s="451">
        <f t="shared" si="290"/>
        <v>35.85</v>
      </c>
      <c r="M186" s="451"/>
      <c r="N186" s="221">
        <f t="shared" si="291"/>
        <v>0.66527196652719667</v>
      </c>
      <c r="O186" s="176">
        <f t="shared" si="292"/>
        <v>13.923050021857241</v>
      </c>
      <c r="P186" s="176">
        <f t="shared" si="293"/>
        <v>1.6243558358833448</v>
      </c>
      <c r="Q186" s="221">
        <f t="shared" si="294"/>
        <v>0.92820333479048278</v>
      </c>
      <c r="R186" s="221">
        <f t="shared" si="295"/>
        <v>1.9890071459796059</v>
      </c>
      <c r="S186" s="221">
        <f t="shared" si="296"/>
        <v>15</v>
      </c>
      <c r="T186" s="221">
        <f t="shared" si="297"/>
        <v>3.3570230607966463</v>
      </c>
      <c r="U186" s="221">
        <f t="shared" si="298"/>
        <v>1.9582634521313769</v>
      </c>
      <c r="V186" s="221">
        <f t="shared" si="299"/>
        <v>0.98528978723591287</v>
      </c>
      <c r="W186" s="201">
        <f t="shared" si="300"/>
        <v>350</v>
      </c>
      <c r="X186" s="451">
        <f t="shared" si="301"/>
        <v>339.72546737933231</v>
      </c>
      <c r="Z186" s="221">
        <f t="shared" si="302"/>
        <v>3.2584749380923919</v>
      </c>
      <c r="AA186" s="177">
        <f t="shared" si="303"/>
        <v>0.95636580992229525</v>
      </c>
      <c r="AB186" s="177">
        <f t="shared" si="304"/>
        <v>0.73256165472632317</v>
      </c>
      <c r="AC186" s="177"/>
      <c r="AD186" s="177">
        <f t="shared" si="305"/>
        <v>0.24067085953878403</v>
      </c>
      <c r="AE186" s="559">
        <f t="shared" si="306"/>
        <v>5733.7469193507286</v>
      </c>
      <c r="AF186" s="542">
        <f t="shared" si="307"/>
        <v>4.6392002252886505E-2</v>
      </c>
      <c r="AH186" s="177">
        <f t="shared" si="308"/>
        <v>3.2236371903013334</v>
      </c>
      <c r="AI186" s="177">
        <f t="shared" si="309"/>
        <v>3.3570230607966463</v>
      </c>
      <c r="AJ186" s="177">
        <f t="shared" si="310"/>
        <v>3.079276341330849</v>
      </c>
      <c r="AL186" s="559">
        <f t="shared" si="311"/>
        <v>760</v>
      </c>
      <c r="AM186" s="469">
        <f t="shared" si="312"/>
        <v>339.72546737933231</v>
      </c>
      <c r="AO186">
        <f t="shared" si="313"/>
        <v>760</v>
      </c>
      <c r="AP186">
        <f t="shared" si="314"/>
        <v>339.72546737933231</v>
      </c>
      <c r="AR186" s="5">
        <f t="shared" si="237"/>
        <v>2.9435532393672892</v>
      </c>
      <c r="AS186" s="5">
        <f t="shared" si="324"/>
        <v>1.9582634521313769</v>
      </c>
      <c r="AT186" s="5">
        <f t="shared" si="325"/>
        <v>0.98528978723591232</v>
      </c>
      <c r="AU186" s="177">
        <f t="shared" si="326"/>
        <v>0.66527196652719678</v>
      </c>
      <c r="AW186" s="5">
        <f t="shared" si="315"/>
        <v>17.111543209876547</v>
      </c>
      <c r="AX186" s="5">
        <f t="shared" si="316"/>
        <v>35.974184175084183</v>
      </c>
      <c r="AY186" s="5">
        <f t="shared" si="317"/>
        <v>1.2123152482368027</v>
      </c>
      <c r="AZ186" s="5">
        <f t="shared" si="318"/>
        <v>1.6840075026525094</v>
      </c>
      <c r="BA186" s="5">
        <f t="shared" si="319"/>
        <v>1.4669870165512473</v>
      </c>
      <c r="BB186" s="5"/>
      <c r="BC186" s="5"/>
      <c r="BD186" s="177">
        <f t="shared" si="263"/>
        <v>1.5808596292783077</v>
      </c>
      <c r="BE186" s="177">
        <f t="shared" si="264"/>
        <v>1.5062860256525992</v>
      </c>
      <c r="BF186" s="177">
        <f t="shared" si="265"/>
        <v>0.35369121235260392</v>
      </c>
      <c r="BG186" s="177"/>
      <c r="BH186" s="542">
        <f t="shared" si="266"/>
        <v>0.2749028884230143</v>
      </c>
      <c r="BI186" s="542">
        <f t="shared" si="267"/>
        <v>0.20442857142857149</v>
      </c>
      <c r="BJ186" s="542">
        <f t="shared" si="268"/>
        <v>1.6986273368966617E-2</v>
      </c>
      <c r="BK186" s="542">
        <f t="shared" si="269"/>
        <v>9.8240133262260151E-2</v>
      </c>
      <c r="BL186">
        <f t="shared" si="270"/>
        <v>3.48E-3</v>
      </c>
      <c r="BM186" s="469">
        <f t="shared" si="271"/>
        <v>598.03786648281255</v>
      </c>
      <c r="BN186" s="177">
        <f t="shared" si="272"/>
        <v>0.68400000000000005</v>
      </c>
      <c r="BO186" s="177">
        <f t="shared" si="273"/>
        <v>0.17100000000000001</v>
      </c>
      <c r="BP186" s="542"/>
      <c r="BR186" s="469">
        <f t="shared" si="274"/>
        <v>855.00000000000011</v>
      </c>
      <c r="BS186" s="542">
        <f t="shared" si="275"/>
        <v>0</v>
      </c>
      <c r="BT186" s="542">
        <f t="shared" si="276"/>
        <v>0</v>
      </c>
      <c r="BU186" s="542">
        <f t="shared" si="277"/>
        <v>0</v>
      </c>
      <c r="BV186" s="542">
        <f t="shared" si="278"/>
        <v>0</v>
      </c>
      <c r="BW186" s="647">
        <f t="shared" si="320"/>
        <v>0</v>
      </c>
      <c r="BX186" s="469">
        <f t="shared" si="279"/>
        <v>0</v>
      </c>
      <c r="BY186" s="177">
        <f t="shared" si="280"/>
        <v>1.4530378664828125</v>
      </c>
      <c r="BZ186" s="5">
        <f t="shared" si="281"/>
        <v>12.73</v>
      </c>
      <c r="CA186" s="177">
        <f t="shared" si="282"/>
        <v>0.89755101268419968</v>
      </c>
      <c r="CB186" s="5">
        <f t="shared" si="283"/>
        <v>89.755101268419963</v>
      </c>
      <c r="CC186">
        <f t="shared" si="284"/>
        <v>76</v>
      </c>
      <c r="CE186" s="576">
        <f t="shared" si="321"/>
        <v>-50</v>
      </c>
      <c r="CF186">
        <f t="shared" si="322"/>
        <v>-50</v>
      </c>
    </row>
    <row r="187" spans="5:84" x14ac:dyDescent="0.25">
      <c r="E187" s="174">
        <v>77</v>
      </c>
      <c r="F187" s="221">
        <f t="shared" si="323"/>
        <v>0.77</v>
      </c>
      <c r="G187" s="221">
        <f t="shared" si="285"/>
        <v>0.1925</v>
      </c>
      <c r="H187" s="221">
        <f t="shared" si="286"/>
        <v>11.55</v>
      </c>
      <c r="I187" s="221">
        <f t="shared" si="287"/>
        <v>1.3475000000000001</v>
      </c>
      <c r="J187" s="555">
        <f t="shared" si="288"/>
        <v>12</v>
      </c>
      <c r="K187" s="451">
        <f t="shared" si="289"/>
        <v>23.85</v>
      </c>
      <c r="L187" s="451">
        <f t="shared" si="290"/>
        <v>35.85</v>
      </c>
      <c r="M187" s="451"/>
      <c r="N187" s="221">
        <f t="shared" si="291"/>
        <v>0.66527196652719667</v>
      </c>
      <c r="O187" s="176">
        <f t="shared" si="292"/>
        <v>13.923050021857241</v>
      </c>
      <c r="P187" s="176">
        <f t="shared" si="293"/>
        <v>1.6243558358833448</v>
      </c>
      <c r="Q187" s="221">
        <f t="shared" si="294"/>
        <v>0.92820333479048278</v>
      </c>
      <c r="R187" s="221">
        <f t="shared" si="295"/>
        <v>1.9890071459796059</v>
      </c>
      <c r="S187" s="221">
        <f t="shared" si="296"/>
        <v>15</v>
      </c>
      <c r="T187" s="221">
        <f t="shared" si="297"/>
        <v>3.4011944168597599</v>
      </c>
      <c r="U187" s="221">
        <f t="shared" si="298"/>
        <v>1.9840300765015264</v>
      </c>
      <c r="V187" s="221">
        <f t="shared" si="299"/>
        <v>0.99825412654164847</v>
      </c>
      <c r="W187" s="201">
        <f t="shared" si="300"/>
        <v>350</v>
      </c>
      <c r="X187" s="451">
        <f t="shared" si="301"/>
        <v>335.31344832245782</v>
      </c>
      <c r="Z187" s="221">
        <f t="shared" si="302"/>
        <v>3.2584749380923919</v>
      </c>
      <c r="AA187" s="177">
        <f t="shared" si="303"/>
        <v>0.95636580992229525</v>
      </c>
      <c r="AB187" s="177">
        <f t="shared" si="304"/>
        <v>0.73256165472632317</v>
      </c>
      <c r="AC187" s="177"/>
      <c r="AD187" s="177">
        <f t="shared" si="305"/>
        <v>0.24067085953878403</v>
      </c>
      <c r="AE187" s="559">
        <f t="shared" si="306"/>
        <v>5809.1909577632368</v>
      </c>
      <c r="AF187" s="542">
        <f t="shared" si="307"/>
        <v>4.6392002252886505E-2</v>
      </c>
      <c r="AH187" s="177">
        <f t="shared" si="308"/>
        <v>3.2447760213258832</v>
      </c>
      <c r="AI187" s="177">
        <f t="shared" si="309"/>
        <v>3.4011944168597599</v>
      </c>
      <c r="AJ187" s="177">
        <f t="shared" si="310"/>
        <v>3.111995864340563</v>
      </c>
      <c r="AL187" s="559">
        <f t="shared" si="311"/>
        <v>770</v>
      </c>
      <c r="AM187" s="469">
        <f t="shared" si="312"/>
        <v>335.31344832245782</v>
      </c>
      <c r="AO187">
        <f t="shared" si="313"/>
        <v>770</v>
      </c>
      <c r="AP187">
        <f t="shared" si="314"/>
        <v>335.31344832245782</v>
      </c>
      <c r="AR187" s="5">
        <f t="shared" si="237"/>
        <v>2.9822842030431751</v>
      </c>
      <c r="AS187" s="5">
        <f t="shared" si="324"/>
        <v>1.9840300765015264</v>
      </c>
      <c r="AT187" s="5">
        <f t="shared" si="325"/>
        <v>0.99825412654164869</v>
      </c>
      <c r="AU187" s="177">
        <f t="shared" si="326"/>
        <v>0.66527196652719656</v>
      </c>
      <c r="AW187" s="5">
        <f t="shared" si="315"/>
        <v>17.111543209876547</v>
      </c>
      <c r="AX187" s="5">
        <f t="shared" si="316"/>
        <v>36.896706712962974</v>
      </c>
      <c r="AY187" s="5">
        <f t="shared" si="317"/>
        <v>1.2123152482368027</v>
      </c>
      <c r="AZ187" s="5">
        <f t="shared" si="318"/>
        <v>1.721016357899364</v>
      </c>
      <c r="BA187" s="5">
        <f t="shared" si="319"/>
        <v>1.5058459177860719</v>
      </c>
      <c r="BB187" s="5"/>
      <c r="BC187" s="5"/>
      <c r="BD187" s="177">
        <f t="shared" si="263"/>
        <v>1.6016604138740747</v>
      </c>
      <c r="BE187" s="177">
        <f t="shared" si="264"/>
        <v>1.5261055786217128</v>
      </c>
      <c r="BF187" s="177">
        <f t="shared" si="265"/>
        <v>0.35834504409408569</v>
      </c>
      <c r="BG187" s="177"/>
      <c r="BH187" s="542">
        <f t="shared" si="266"/>
        <v>0.28218476895083994</v>
      </c>
      <c r="BI187" s="542">
        <f t="shared" si="267"/>
        <v>0.20442857142857146</v>
      </c>
      <c r="BJ187" s="542">
        <f t="shared" si="268"/>
        <v>1.6765672416122892E-2</v>
      </c>
      <c r="BK187" s="542">
        <f t="shared" si="269"/>
        <v>9.6964287375737271E-2</v>
      </c>
      <c r="BL187">
        <f t="shared" si="270"/>
        <v>3.48E-3</v>
      </c>
      <c r="BM187" s="469">
        <f t="shared" si="271"/>
        <v>603.82330017127163</v>
      </c>
      <c r="BN187" s="177">
        <f t="shared" si="272"/>
        <v>0.69300000000000006</v>
      </c>
      <c r="BO187" s="177">
        <f t="shared" si="273"/>
        <v>0.17325000000000002</v>
      </c>
      <c r="BP187" s="542"/>
      <c r="BR187" s="469">
        <f t="shared" si="274"/>
        <v>866.25000000000011</v>
      </c>
      <c r="BS187" s="542">
        <f t="shared" si="275"/>
        <v>0</v>
      </c>
      <c r="BT187" s="542">
        <f t="shared" si="276"/>
        <v>0</v>
      </c>
      <c r="BU187" s="542">
        <f t="shared" si="277"/>
        <v>0</v>
      </c>
      <c r="BV187" s="542">
        <f t="shared" si="278"/>
        <v>0</v>
      </c>
      <c r="BW187" s="647">
        <f t="shared" si="320"/>
        <v>0</v>
      </c>
      <c r="BX187" s="469">
        <f t="shared" si="279"/>
        <v>0</v>
      </c>
      <c r="BY187" s="177">
        <f t="shared" si="280"/>
        <v>1.4700733001712716</v>
      </c>
      <c r="BZ187" s="5">
        <f t="shared" si="281"/>
        <v>12.897500000000001</v>
      </c>
      <c r="CA187" s="177">
        <f t="shared" si="282"/>
        <v>0.89768116929295583</v>
      </c>
      <c r="CB187" s="5">
        <f t="shared" si="283"/>
        <v>89.768116929295587</v>
      </c>
      <c r="CC187">
        <f t="shared" si="284"/>
        <v>77</v>
      </c>
      <c r="CE187" s="576">
        <f t="shared" si="321"/>
        <v>-50</v>
      </c>
      <c r="CF187">
        <f t="shared" si="322"/>
        <v>-50</v>
      </c>
    </row>
    <row r="188" spans="5:84" x14ac:dyDescent="0.25">
      <c r="E188" s="174">
        <v>78</v>
      </c>
      <c r="F188" s="221">
        <f t="shared" si="323"/>
        <v>0.78</v>
      </c>
      <c r="G188" s="221">
        <f t="shared" si="285"/>
        <v>0.19500000000000001</v>
      </c>
      <c r="H188" s="221">
        <f t="shared" si="286"/>
        <v>11.700000000000001</v>
      </c>
      <c r="I188" s="221">
        <f t="shared" si="287"/>
        <v>1.365</v>
      </c>
      <c r="J188" s="555">
        <f t="shared" si="288"/>
        <v>12</v>
      </c>
      <c r="K188" s="451">
        <f t="shared" si="289"/>
        <v>23.85</v>
      </c>
      <c r="L188" s="451">
        <f t="shared" si="290"/>
        <v>35.85</v>
      </c>
      <c r="M188" s="451"/>
      <c r="N188" s="221">
        <f t="shared" si="291"/>
        <v>0.66527196652719667</v>
      </c>
      <c r="O188" s="176">
        <f t="shared" si="292"/>
        <v>13.923050021857241</v>
      </c>
      <c r="P188" s="176">
        <f t="shared" si="293"/>
        <v>1.6243558358833448</v>
      </c>
      <c r="Q188" s="221">
        <f t="shared" si="294"/>
        <v>0.92820333479048278</v>
      </c>
      <c r="R188" s="221">
        <f t="shared" si="295"/>
        <v>1.9890071459796059</v>
      </c>
      <c r="S188" s="221">
        <f t="shared" si="296"/>
        <v>15</v>
      </c>
      <c r="T188" s="221">
        <f t="shared" si="297"/>
        <v>3.4453657729228739</v>
      </c>
      <c r="U188" s="221">
        <f t="shared" si="298"/>
        <v>2.0097967008716764</v>
      </c>
      <c r="V188" s="221">
        <f t="shared" si="299"/>
        <v>1.0112184658473842</v>
      </c>
      <c r="W188" s="201">
        <f t="shared" si="300"/>
        <v>350</v>
      </c>
      <c r="X188" s="451">
        <f t="shared" si="301"/>
        <v>331.01455795934936</v>
      </c>
      <c r="Z188" s="221">
        <f t="shared" si="302"/>
        <v>3.2584749380923919</v>
      </c>
      <c r="AA188" s="177">
        <f t="shared" si="303"/>
        <v>0.95636580992229525</v>
      </c>
      <c r="AB188" s="177">
        <f t="shared" si="304"/>
        <v>0.73256165472632317</v>
      </c>
      <c r="AC188" s="177"/>
      <c r="AD188" s="177">
        <f t="shared" si="305"/>
        <v>0.24067085953878403</v>
      </c>
      <c r="AE188" s="559">
        <f t="shared" si="306"/>
        <v>5884.6349961757478</v>
      </c>
      <c r="AF188" s="542">
        <f t="shared" si="307"/>
        <v>4.6392002252886505E-2</v>
      </c>
      <c r="AH188" s="177">
        <f t="shared" si="308"/>
        <v>3.2657780271244676</v>
      </c>
      <c r="AI188" s="177">
        <f t="shared" si="309"/>
        <v>3.4453657729228739</v>
      </c>
      <c r="AJ188" s="177">
        <f t="shared" si="310"/>
        <v>3.1447153873502769</v>
      </c>
      <c r="AL188" s="559">
        <f t="shared" si="311"/>
        <v>780</v>
      </c>
      <c r="AM188" s="469">
        <f t="shared" si="312"/>
        <v>331.01455795934936</v>
      </c>
      <c r="AO188">
        <f t="shared" si="313"/>
        <v>780</v>
      </c>
      <c r="AP188">
        <f t="shared" si="314"/>
        <v>331.01455795934936</v>
      </c>
      <c r="AR188" s="5">
        <f t="shared" si="237"/>
        <v>3.0210151667190606</v>
      </c>
      <c r="AS188" s="5">
        <f t="shared" si="324"/>
        <v>2.0097967008716764</v>
      </c>
      <c r="AT188" s="5">
        <f t="shared" si="325"/>
        <v>1.0112184658473842</v>
      </c>
      <c r="AU188" s="177">
        <f t="shared" si="326"/>
        <v>0.66527196652719667</v>
      </c>
      <c r="AW188" s="5">
        <f t="shared" si="315"/>
        <v>17.111543209876547</v>
      </c>
      <c r="AX188" s="5">
        <f t="shared" si="316"/>
        <v>37.830896212121232</v>
      </c>
      <c r="AY188" s="5">
        <f t="shared" si="317"/>
        <v>1.2123152482368027</v>
      </c>
      <c r="AZ188" s="5">
        <f t="shared" si="318"/>
        <v>1.7584109498161127</v>
      </c>
      <c r="BA188" s="5">
        <f t="shared" si="319"/>
        <v>1.5452127785141612</v>
      </c>
      <c r="BB188" s="5"/>
      <c r="BC188" s="5"/>
      <c r="BD188" s="177">
        <f t="shared" si="263"/>
        <v>1.622461198469842</v>
      </c>
      <c r="BE188" s="177">
        <f t="shared" si="264"/>
        <v>1.5459251315908258</v>
      </c>
      <c r="BF188" s="177">
        <f t="shared" si="265"/>
        <v>0.36299887583556728</v>
      </c>
      <c r="BG188" s="177"/>
      <c r="BH188" s="542">
        <f t="shared" si="266"/>
        <v>0.28956183745942154</v>
      </c>
      <c r="BI188" s="542">
        <f t="shared" si="267"/>
        <v>0.20442857142857146</v>
      </c>
      <c r="BJ188" s="542">
        <f t="shared" si="268"/>
        <v>1.6550727897967469E-2</v>
      </c>
      <c r="BK188" s="542">
        <f t="shared" si="269"/>
        <v>9.5721155486304735E-2</v>
      </c>
      <c r="BL188">
        <f t="shared" si="270"/>
        <v>3.48E-3</v>
      </c>
      <c r="BM188" s="469">
        <f t="shared" si="271"/>
        <v>609.74229227226533</v>
      </c>
      <c r="BN188" s="177">
        <f t="shared" si="272"/>
        <v>0.70200000000000007</v>
      </c>
      <c r="BO188" s="177">
        <f t="shared" si="273"/>
        <v>0.17550000000000002</v>
      </c>
      <c r="BP188" s="542"/>
      <c r="BR188" s="469">
        <f t="shared" si="274"/>
        <v>877.50000000000011</v>
      </c>
      <c r="BS188" s="542">
        <f t="shared" si="275"/>
        <v>0</v>
      </c>
      <c r="BT188" s="542">
        <f t="shared" si="276"/>
        <v>0</v>
      </c>
      <c r="BU188" s="542">
        <f t="shared" si="277"/>
        <v>0</v>
      </c>
      <c r="BV188" s="542">
        <f t="shared" si="278"/>
        <v>0</v>
      </c>
      <c r="BW188" s="647">
        <f t="shared" si="320"/>
        <v>0</v>
      </c>
      <c r="BX188" s="469">
        <f t="shared" si="279"/>
        <v>0</v>
      </c>
      <c r="BY188" s="177">
        <f t="shared" si="280"/>
        <v>1.4872422922722652</v>
      </c>
      <c r="BZ188" s="5">
        <f t="shared" si="281"/>
        <v>13.065000000000001</v>
      </c>
      <c r="CA188" s="177">
        <f t="shared" si="282"/>
        <v>0.89779978491273194</v>
      </c>
      <c r="CB188" s="5">
        <f t="shared" si="283"/>
        <v>89.779978491273198</v>
      </c>
      <c r="CC188">
        <f t="shared" si="284"/>
        <v>78</v>
      </c>
      <c r="CE188" s="576">
        <f t="shared" si="321"/>
        <v>-50</v>
      </c>
      <c r="CF188">
        <f t="shared" si="322"/>
        <v>-50</v>
      </c>
    </row>
    <row r="189" spans="5:84" x14ac:dyDescent="0.25">
      <c r="E189" s="174">
        <v>79</v>
      </c>
      <c r="F189" s="221">
        <f t="shared" si="323"/>
        <v>0.79</v>
      </c>
      <c r="G189" s="221">
        <f t="shared" si="285"/>
        <v>0.19750000000000001</v>
      </c>
      <c r="H189" s="221">
        <f t="shared" si="286"/>
        <v>11.850000000000001</v>
      </c>
      <c r="I189" s="221">
        <f t="shared" si="287"/>
        <v>1.3825000000000001</v>
      </c>
      <c r="J189" s="555">
        <f t="shared" si="288"/>
        <v>12</v>
      </c>
      <c r="K189" s="451">
        <f t="shared" si="289"/>
        <v>23.85</v>
      </c>
      <c r="L189" s="451">
        <f t="shared" si="290"/>
        <v>35.85</v>
      </c>
      <c r="M189" s="451"/>
      <c r="N189" s="221">
        <f t="shared" si="291"/>
        <v>0.66527196652719667</v>
      </c>
      <c r="O189" s="176">
        <f t="shared" si="292"/>
        <v>13.923050021857241</v>
      </c>
      <c r="P189" s="176">
        <f t="shared" si="293"/>
        <v>1.6243558358833448</v>
      </c>
      <c r="Q189" s="221">
        <f t="shared" si="294"/>
        <v>0.92820333479048278</v>
      </c>
      <c r="R189" s="221">
        <f t="shared" si="295"/>
        <v>1.9890071459796059</v>
      </c>
      <c r="S189" s="221">
        <f t="shared" si="296"/>
        <v>15</v>
      </c>
      <c r="T189" s="221">
        <f t="shared" si="297"/>
        <v>3.4895371289859876</v>
      </c>
      <c r="U189" s="221">
        <f t="shared" si="298"/>
        <v>2.0355633252418261</v>
      </c>
      <c r="V189" s="221">
        <f t="shared" si="299"/>
        <v>1.0241828051531199</v>
      </c>
      <c r="W189" s="201">
        <f t="shared" si="300"/>
        <v>350</v>
      </c>
      <c r="X189" s="451">
        <f t="shared" si="301"/>
        <v>326.82450026366138</v>
      </c>
      <c r="Z189" s="221">
        <f t="shared" si="302"/>
        <v>3.2584749380923919</v>
      </c>
      <c r="AA189" s="177">
        <f t="shared" si="303"/>
        <v>0.95636580992229525</v>
      </c>
      <c r="AB189" s="177">
        <f t="shared" si="304"/>
        <v>0.73256165472632317</v>
      </c>
      <c r="AC189" s="177"/>
      <c r="AD189" s="177">
        <f t="shared" si="305"/>
        <v>0.24067085953878403</v>
      </c>
      <c r="AE189" s="559">
        <f t="shared" si="306"/>
        <v>5960.0790345882569</v>
      </c>
      <c r="AF189" s="542">
        <f t="shared" si="307"/>
        <v>4.6392002252886505E-2</v>
      </c>
      <c r="AH189" s="177">
        <f t="shared" si="308"/>
        <v>3.2866458306800461</v>
      </c>
      <c r="AI189" s="177">
        <f t="shared" si="309"/>
        <v>3.4895371289859876</v>
      </c>
      <c r="AJ189" s="177">
        <f t="shared" si="310"/>
        <v>3.1774349103599908</v>
      </c>
      <c r="AL189" s="559">
        <f t="shared" si="311"/>
        <v>790</v>
      </c>
      <c r="AM189" s="469">
        <f t="shared" si="312"/>
        <v>326.82450026366138</v>
      </c>
      <c r="AO189">
        <f t="shared" si="313"/>
        <v>790</v>
      </c>
      <c r="AP189">
        <f t="shared" si="314"/>
        <v>326.82450026366138</v>
      </c>
      <c r="AR189" s="5">
        <f t="shared" si="237"/>
        <v>3.0597461303949465</v>
      </c>
      <c r="AS189" s="5">
        <f t="shared" si="324"/>
        <v>2.0355633252418261</v>
      </c>
      <c r="AT189" s="5">
        <f t="shared" si="325"/>
        <v>1.0241828051531203</v>
      </c>
      <c r="AU189" s="177">
        <f t="shared" si="326"/>
        <v>0.66527196652719656</v>
      </c>
      <c r="AW189" s="5">
        <f t="shared" si="315"/>
        <v>17.111543209876547</v>
      </c>
      <c r="AX189" s="5">
        <f t="shared" si="316"/>
        <v>38.776752672558935</v>
      </c>
      <c r="AY189" s="5">
        <f t="shared" si="317"/>
        <v>1.2123152482368027</v>
      </c>
      <c r="AZ189" s="5">
        <f t="shared" si="318"/>
        <v>1.7961912784027549</v>
      </c>
      <c r="BA189" s="5">
        <f t="shared" si="319"/>
        <v>1.5850875987355166</v>
      </c>
      <c r="BB189" s="5"/>
      <c r="BC189" s="5"/>
      <c r="BD189" s="177">
        <f t="shared" si="263"/>
        <v>1.643261983065609</v>
      </c>
      <c r="BE189" s="177">
        <f t="shared" si="264"/>
        <v>1.5657446845599392</v>
      </c>
      <c r="BF189" s="177">
        <f t="shared" si="265"/>
        <v>0.36765270757704899</v>
      </c>
      <c r="BG189" s="177"/>
      <c r="BH189" s="542">
        <f t="shared" si="266"/>
        <v>0.29703409394875896</v>
      </c>
      <c r="BI189" s="542">
        <f t="shared" si="267"/>
        <v>0.20442857142857143</v>
      </c>
      <c r="BJ189" s="542">
        <f t="shared" si="268"/>
        <v>1.634122501318307E-2</v>
      </c>
      <c r="BK189" s="542">
        <f t="shared" si="269"/>
        <v>9.4509495290275566E-2</v>
      </c>
      <c r="BL189">
        <f t="shared" si="270"/>
        <v>3.48E-3</v>
      </c>
      <c r="BM189" s="469">
        <f t="shared" si="271"/>
        <v>615.79338568078902</v>
      </c>
      <c r="BN189" s="177">
        <f t="shared" si="272"/>
        <v>0.71100000000000008</v>
      </c>
      <c r="BO189" s="177">
        <f t="shared" si="273"/>
        <v>0.17775000000000002</v>
      </c>
      <c r="BP189" s="542"/>
      <c r="BR189" s="469">
        <f t="shared" si="274"/>
        <v>888.75000000000011</v>
      </c>
      <c r="BS189" s="542">
        <f t="shared" si="275"/>
        <v>0</v>
      </c>
      <c r="BT189" s="542">
        <f t="shared" si="276"/>
        <v>0</v>
      </c>
      <c r="BU189" s="542">
        <f t="shared" si="277"/>
        <v>0</v>
      </c>
      <c r="BV189" s="542">
        <f t="shared" si="278"/>
        <v>0</v>
      </c>
      <c r="BW189" s="647">
        <f t="shared" si="320"/>
        <v>0</v>
      </c>
      <c r="BX189" s="469">
        <f t="shared" si="279"/>
        <v>0</v>
      </c>
      <c r="BY189" s="177">
        <f t="shared" si="280"/>
        <v>1.504543385680789</v>
      </c>
      <c r="BZ189" s="5">
        <f t="shared" si="281"/>
        <v>13.232500000000002</v>
      </c>
      <c r="CA189" s="177">
        <f t="shared" si="282"/>
        <v>0.89790737895617012</v>
      </c>
      <c r="CB189" s="5">
        <f t="shared" si="283"/>
        <v>89.790737895617013</v>
      </c>
      <c r="CC189">
        <f t="shared" si="284"/>
        <v>79</v>
      </c>
      <c r="CE189" s="576">
        <f t="shared" si="321"/>
        <v>-50</v>
      </c>
      <c r="CF189">
        <f t="shared" si="322"/>
        <v>-50</v>
      </c>
    </row>
    <row r="190" spans="5:84" x14ac:dyDescent="0.25">
      <c r="E190" s="174">
        <v>80</v>
      </c>
      <c r="F190" s="221">
        <f t="shared" si="323"/>
        <v>0.8</v>
      </c>
      <c r="G190" s="221">
        <f t="shared" si="285"/>
        <v>0.2</v>
      </c>
      <c r="H190" s="221">
        <f t="shared" si="286"/>
        <v>12</v>
      </c>
      <c r="I190" s="221">
        <f t="shared" si="287"/>
        <v>1.4000000000000001</v>
      </c>
      <c r="J190" s="555">
        <f t="shared" si="288"/>
        <v>12</v>
      </c>
      <c r="K190" s="451">
        <f t="shared" si="289"/>
        <v>23.85</v>
      </c>
      <c r="L190" s="451">
        <f t="shared" si="290"/>
        <v>35.85</v>
      </c>
      <c r="M190" s="451"/>
      <c r="N190" s="221">
        <f t="shared" si="291"/>
        <v>0.66527196652719667</v>
      </c>
      <c r="O190" s="176">
        <f t="shared" si="292"/>
        <v>13.923050021857241</v>
      </c>
      <c r="P190" s="176">
        <f t="shared" si="293"/>
        <v>1.6243558358833448</v>
      </c>
      <c r="Q190" s="221">
        <f t="shared" si="294"/>
        <v>0.92820333479048278</v>
      </c>
      <c r="R190" s="221">
        <f t="shared" si="295"/>
        <v>1.9890071459796059</v>
      </c>
      <c r="S190" s="221">
        <f t="shared" si="296"/>
        <v>15</v>
      </c>
      <c r="T190" s="221">
        <f t="shared" si="297"/>
        <v>3.5337084850491012</v>
      </c>
      <c r="U190" s="221">
        <f t="shared" si="298"/>
        <v>2.0613299496119755</v>
      </c>
      <c r="V190" s="221">
        <f t="shared" si="299"/>
        <v>1.0371471444588556</v>
      </c>
      <c r="W190" s="201">
        <f t="shared" si="300"/>
        <v>350</v>
      </c>
      <c r="X190" s="451">
        <f t="shared" si="301"/>
        <v>322.73919401036568</v>
      </c>
      <c r="Z190" s="221">
        <f t="shared" si="302"/>
        <v>3.2584749380923919</v>
      </c>
      <c r="AA190" s="177">
        <f t="shared" si="303"/>
        <v>0.95636580992229525</v>
      </c>
      <c r="AB190" s="177">
        <f t="shared" si="304"/>
        <v>0.73256165472632317</v>
      </c>
      <c r="AC190" s="177"/>
      <c r="AD190" s="177">
        <f t="shared" si="305"/>
        <v>0.24067085953878403</v>
      </c>
      <c r="AE190" s="559">
        <f t="shared" si="306"/>
        <v>6035.523073000767</v>
      </c>
      <c r="AF190" s="542">
        <f t="shared" si="307"/>
        <v>4.6392002252886505E-2</v>
      </c>
      <c r="AH190" s="177">
        <f t="shared" si="308"/>
        <v>3.3073819722257785</v>
      </c>
      <c r="AI190" s="177">
        <f t="shared" si="309"/>
        <v>3.5337084850491012</v>
      </c>
      <c r="AJ190" s="177">
        <f t="shared" si="310"/>
        <v>3.2101544333697047</v>
      </c>
      <c r="AL190" s="559">
        <f t="shared" si="311"/>
        <v>800</v>
      </c>
      <c r="AM190" s="469">
        <f t="shared" si="312"/>
        <v>322.73919401036568</v>
      </c>
      <c r="AO190">
        <f t="shared" si="313"/>
        <v>800</v>
      </c>
      <c r="AP190">
        <f t="shared" si="314"/>
        <v>322.73919401036568</v>
      </c>
      <c r="AR190" s="5">
        <f t="shared" si="237"/>
        <v>3.0984770940708311</v>
      </c>
      <c r="AS190" s="5">
        <f t="shared" si="324"/>
        <v>2.0613299496119755</v>
      </c>
      <c r="AT190" s="5">
        <f t="shared" si="325"/>
        <v>1.0371471444588556</v>
      </c>
      <c r="AU190" s="177">
        <f t="shared" si="326"/>
        <v>0.66527196652719667</v>
      </c>
      <c r="AW190" s="5">
        <f t="shared" si="315"/>
        <v>17.111543209876547</v>
      </c>
      <c r="AX190" s="5">
        <f t="shared" si="316"/>
        <v>39.734276094276112</v>
      </c>
      <c r="AY190" s="5">
        <f t="shared" si="317"/>
        <v>1.2123152482368027</v>
      </c>
      <c r="AZ190" s="5">
        <f t="shared" si="318"/>
        <v>1.8343573436592906</v>
      </c>
      <c r="BA190" s="5">
        <f t="shared" si="319"/>
        <v>1.6254703784501363</v>
      </c>
      <c r="BB190" s="5"/>
      <c r="BC190" s="5"/>
      <c r="BD190" s="177">
        <f t="shared" si="263"/>
        <v>1.6640627676613764</v>
      </c>
      <c r="BE190" s="177">
        <f t="shared" si="264"/>
        <v>1.585564237529052</v>
      </c>
      <c r="BF190" s="177">
        <f t="shared" si="265"/>
        <v>0.37230653931853058</v>
      </c>
      <c r="BG190" s="177"/>
      <c r="BH190" s="542">
        <f t="shared" si="266"/>
        <v>0.3046015384188524</v>
      </c>
      <c r="BI190" s="542">
        <f t="shared" si="267"/>
        <v>0.20442857142857146</v>
      </c>
      <c r="BJ190" s="542">
        <f t="shared" si="268"/>
        <v>1.6136959700518282E-2</v>
      </c>
      <c r="BK190" s="542">
        <f t="shared" si="269"/>
        <v>9.3328126599147132E-2</v>
      </c>
      <c r="BL190">
        <f t="shared" si="270"/>
        <v>3.48E-3</v>
      </c>
      <c r="BM190" s="469">
        <f t="shared" si="271"/>
        <v>621.97519614708938</v>
      </c>
      <c r="BN190" s="177">
        <f t="shared" si="272"/>
        <v>0.72000000000000008</v>
      </c>
      <c r="BO190" s="177">
        <f t="shared" si="273"/>
        <v>0.18000000000000002</v>
      </c>
      <c r="BP190" s="542"/>
      <c r="BR190" s="469">
        <f t="shared" si="274"/>
        <v>900.00000000000011</v>
      </c>
      <c r="BS190" s="542">
        <f t="shared" si="275"/>
        <v>0</v>
      </c>
      <c r="BT190" s="542">
        <f t="shared" si="276"/>
        <v>0</v>
      </c>
      <c r="BU190" s="542">
        <f t="shared" si="277"/>
        <v>0</v>
      </c>
      <c r="BV190" s="542">
        <f t="shared" si="278"/>
        <v>0</v>
      </c>
      <c r="BW190" s="647">
        <f t="shared" si="320"/>
        <v>0</v>
      </c>
      <c r="BX190" s="469">
        <f t="shared" si="279"/>
        <v>0</v>
      </c>
      <c r="BY190" s="177">
        <f t="shared" si="280"/>
        <v>1.5219751961470893</v>
      </c>
      <c r="BZ190" s="5">
        <f t="shared" si="281"/>
        <v>13.4</v>
      </c>
      <c r="CA190" s="177">
        <f t="shared" si="282"/>
        <v>0.89800444135974244</v>
      </c>
      <c r="CB190" s="5">
        <f t="shared" si="283"/>
        <v>89.800444135974246</v>
      </c>
      <c r="CC190">
        <f t="shared" si="284"/>
        <v>80</v>
      </c>
      <c r="CE190" s="576">
        <f t="shared" si="321"/>
        <v>-50</v>
      </c>
      <c r="CF190">
        <f t="shared" si="322"/>
        <v>-50</v>
      </c>
    </row>
    <row r="191" spans="5:84" x14ac:dyDescent="0.25">
      <c r="E191" s="174">
        <v>81</v>
      </c>
      <c r="F191" s="221">
        <f t="shared" si="323"/>
        <v>0.81</v>
      </c>
      <c r="G191" s="221">
        <f t="shared" si="285"/>
        <v>0.20250000000000001</v>
      </c>
      <c r="H191" s="221">
        <f t="shared" si="286"/>
        <v>12.15</v>
      </c>
      <c r="I191" s="221">
        <f t="shared" si="287"/>
        <v>1.4175</v>
      </c>
      <c r="J191" s="555">
        <f t="shared" si="288"/>
        <v>12</v>
      </c>
      <c r="K191" s="451">
        <f t="shared" si="289"/>
        <v>23.85</v>
      </c>
      <c r="L191" s="451">
        <f t="shared" si="290"/>
        <v>35.85</v>
      </c>
      <c r="M191" s="451"/>
      <c r="N191" s="221">
        <f t="shared" si="291"/>
        <v>0.66527196652719667</v>
      </c>
      <c r="O191" s="176">
        <f t="shared" si="292"/>
        <v>13.923050021857241</v>
      </c>
      <c r="P191" s="176">
        <f t="shared" si="293"/>
        <v>1.6243558358833448</v>
      </c>
      <c r="Q191" s="221">
        <f t="shared" si="294"/>
        <v>0.92820333479048278</v>
      </c>
      <c r="R191" s="221">
        <f t="shared" si="295"/>
        <v>1.9890071459796059</v>
      </c>
      <c r="S191" s="221">
        <f t="shared" si="296"/>
        <v>15</v>
      </c>
      <c r="T191" s="221">
        <f t="shared" si="297"/>
        <v>3.5778798411122152</v>
      </c>
      <c r="U191" s="221">
        <f t="shared" si="298"/>
        <v>2.0870965739821252</v>
      </c>
      <c r="V191" s="221">
        <f t="shared" si="299"/>
        <v>1.0501114837645913</v>
      </c>
      <c r="W191" s="201">
        <f t="shared" si="300"/>
        <v>350</v>
      </c>
      <c r="X191" s="451">
        <f t="shared" si="301"/>
        <v>318.7547595164105</v>
      </c>
      <c r="Z191" s="221">
        <f t="shared" si="302"/>
        <v>3.2584749380923919</v>
      </c>
      <c r="AA191" s="177">
        <f t="shared" si="303"/>
        <v>0.95636580992229525</v>
      </c>
      <c r="AB191" s="177">
        <f t="shared" si="304"/>
        <v>0.73256165472632317</v>
      </c>
      <c r="AC191" s="177"/>
      <c r="AD191" s="177">
        <f t="shared" si="305"/>
        <v>0.24067085953878403</v>
      </c>
      <c r="AE191" s="559">
        <f t="shared" si="306"/>
        <v>6110.9671114132761</v>
      </c>
      <c r="AF191" s="542">
        <f t="shared" si="307"/>
        <v>4.6392002252886505E-2</v>
      </c>
      <c r="AH191" s="177">
        <f t="shared" si="308"/>
        <v>3.3279889128543734</v>
      </c>
      <c r="AI191" s="177">
        <f t="shared" si="309"/>
        <v>3.5778798411122152</v>
      </c>
      <c r="AJ191" s="177">
        <f t="shared" si="310"/>
        <v>3.2428739563794187</v>
      </c>
      <c r="AL191" s="559">
        <f t="shared" si="311"/>
        <v>810</v>
      </c>
      <c r="AM191" s="469">
        <f t="shared" si="312"/>
        <v>318.7547595164105</v>
      </c>
      <c r="AO191">
        <f t="shared" si="313"/>
        <v>810</v>
      </c>
      <c r="AP191">
        <f t="shared" si="314"/>
        <v>318.7547595164105</v>
      </c>
      <c r="AR191" s="5">
        <f t="shared" si="237"/>
        <v>3.137208057746717</v>
      </c>
      <c r="AS191" s="5">
        <f t="shared" si="324"/>
        <v>2.0870965739821252</v>
      </c>
      <c r="AT191" s="5">
        <f t="shared" si="325"/>
        <v>1.0501114837645917</v>
      </c>
      <c r="AU191" s="177">
        <f t="shared" si="326"/>
        <v>0.66527196652719656</v>
      </c>
      <c r="AW191" s="5">
        <f t="shared" si="315"/>
        <v>17.111543209876547</v>
      </c>
      <c r="AX191" s="5">
        <f t="shared" si="316"/>
        <v>40.703466477272741</v>
      </c>
      <c r="AY191" s="5">
        <f t="shared" si="317"/>
        <v>1.2123152482368027</v>
      </c>
      <c r="AZ191" s="5">
        <f t="shared" si="318"/>
        <v>1.8729091455857194</v>
      </c>
      <c r="BA191" s="5">
        <f t="shared" si="319"/>
        <v>1.6663611176580233</v>
      </c>
      <c r="BB191" s="5"/>
      <c r="BC191" s="5"/>
      <c r="BD191" s="177">
        <f t="shared" si="263"/>
        <v>1.6848635522571436</v>
      </c>
      <c r="BE191" s="177">
        <f t="shared" si="264"/>
        <v>1.6053837904981654</v>
      </c>
      <c r="BF191" s="177">
        <f t="shared" si="265"/>
        <v>0.37696037106001223</v>
      </c>
      <c r="BG191" s="177"/>
      <c r="BH191" s="542">
        <f t="shared" si="266"/>
        <v>0.31226417086970165</v>
      </c>
      <c r="BI191" s="542">
        <f t="shared" si="267"/>
        <v>0.20442857142857146</v>
      </c>
      <c r="BJ191" s="542">
        <f t="shared" si="268"/>
        <v>1.5937737975820526E-2</v>
      </c>
      <c r="BK191" s="542">
        <f t="shared" si="269"/>
        <v>9.2175927505330491E-2</v>
      </c>
      <c r="BL191">
        <f t="shared" si="270"/>
        <v>3.48E-3</v>
      </c>
      <c r="BM191" s="469">
        <f t="shared" si="271"/>
        <v>628.28640777942428</v>
      </c>
      <c r="BN191" s="177">
        <f t="shared" si="272"/>
        <v>0.72900000000000009</v>
      </c>
      <c r="BO191" s="177">
        <f t="shared" si="273"/>
        <v>0.18225000000000002</v>
      </c>
      <c r="BP191" s="542"/>
      <c r="BR191" s="469">
        <f t="shared" si="274"/>
        <v>911.25000000000011</v>
      </c>
      <c r="BS191" s="542">
        <f t="shared" si="275"/>
        <v>0</v>
      </c>
      <c r="BT191" s="542">
        <f t="shared" si="276"/>
        <v>0</v>
      </c>
      <c r="BU191" s="542">
        <f t="shared" si="277"/>
        <v>0</v>
      </c>
      <c r="BV191" s="542">
        <f t="shared" si="278"/>
        <v>0</v>
      </c>
      <c r="BW191" s="647">
        <f t="shared" si="320"/>
        <v>0</v>
      </c>
      <c r="BX191" s="469">
        <f t="shared" si="279"/>
        <v>0</v>
      </c>
      <c r="BY191" s="177">
        <f t="shared" si="280"/>
        <v>1.5395364077794242</v>
      </c>
      <c r="BZ191" s="5">
        <f t="shared" si="281"/>
        <v>13.567500000000001</v>
      </c>
      <c r="CA191" s="177">
        <f t="shared" si="282"/>
        <v>0.89809143459887109</v>
      </c>
      <c r="CB191" s="5">
        <f t="shared" si="283"/>
        <v>89.80914345988711</v>
      </c>
      <c r="CC191">
        <f t="shared" si="284"/>
        <v>81</v>
      </c>
      <c r="CE191" s="576">
        <f t="shared" si="321"/>
        <v>-50</v>
      </c>
      <c r="CF191">
        <f t="shared" si="322"/>
        <v>-50</v>
      </c>
    </row>
    <row r="192" spans="5:84" x14ac:dyDescent="0.25">
      <c r="E192" s="174">
        <v>82</v>
      </c>
      <c r="F192" s="221">
        <f t="shared" si="323"/>
        <v>0.82</v>
      </c>
      <c r="G192" s="221">
        <f t="shared" si="285"/>
        <v>0.20499999999999999</v>
      </c>
      <c r="H192" s="221">
        <f t="shared" si="286"/>
        <v>12.299999999999999</v>
      </c>
      <c r="I192" s="221">
        <f t="shared" si="287"/>
        <v>1.4349999999999998</v>
      </c>
      <c r="J192" s="555">
        <f t="shared" si="288"/>
        <v>12</v>
      </c>
      <c r="K192" s="451">
        <f t="shared" si="289"/>
        <v>23.85</v>
      </c>
      <c r="L192" s="451">
        <f t="shared" si="290"/>
        <v>35.85</v>
      </c>
      <c r="M192" s="451"/>
      <c r="N192" s="221">
        <f t="shared" si="291"/>
        <v>0.66527196652719667</v>
      </c>
      <c r="O192" s="176">
        <f t="shared" si="292"/>
        <v>13.923050021857241</v>
      </c>
      <c r="P192" s="176">
        <f t="shared" si="293"/>
        <v>1.6243558358833448</v>
      </c>
      <c r="Q192" s="221">
        <f t="shared" si="294"/>
        <v>0.92820333479048278</v>
      </c>
      <c r="R192" s="221">
        <f t="shared" si="295"/>
        <v>1.9890071459796059</v>
      </c>
      <c r="S192" s="221">
        <f t="shared" si="296"/>
        <v>15</v>
      </c>
      <c r="T192" s="221">
        <f t="shared" si="297"/>
        <v>3.6220511971753284</v>
      </c>
      <c r="U192" s="221">
        <f t="shared" si="298"/>
        <v>2.112863198352275</v>
      </c>
      <c r="V192" s="221">
        <f t="shared" si="299"/>
        <v>1.063075823070327</v>
      </c>
      <c r="W192" s="201">
        <f t="shared" si="300"/>
        <v>350</v>
      </c>
      <c r="X192" s="451">
        <f t="shared" si="301"/>
        <v>314.86750635157625</v>
      </c>
      <c r="Z192" s="221">
        <f t="shared" si="302"/>
        <v>3.2584749380923919</v>
      </c>
      <c r="AA192" s="177">
        <f t="shared" si="303"/>
        <v>0.95636580992229525</v>
      </c>
      <c r="AB192" s="177">
        <f t="shared" si="304"/>
        <v>0.73256165472632317</v>
      </c>
      <c r="AC192" s="177"/>
      <c r="AD192" s="177">
        <f t="shared" si="305"/>
        <v>0.24067085953878403</v>
      </c>
      <c r="AE192" s="559">
        <f t="shared" si="306"/>
        <v>6186.4111498257844</v>
      </c>
      <c r="AF192" s="542">
        <f t="shared" si="307"/>
        <v>4.6392002252886505E-2</v>
      </c>
      <c r="AH192" s="177">
        <f t="shared" si="308"/>
        <v>3.3484690379275097</v>
      </c>
      <c r="AI192" s="177">
        <f t="shared" si="309"/>
        <v>3.6220511971753284</v>
      </c>
      <c r="AJ192" s="177">
        <f t="shared" si="310"/>
        <v>3.2755934793891317</v>
      </c>
      <c r="AL192" s="559">
        <f t="shared" si="311"/>
        <v>820</v>
      </c>
      <c r="AM192" s="469">
        <f t="shared" si="312"/>
        <v>314.86750635157625</v>
      </c>
      <c r="AO192">
        <f t="shared" si="313"/>
        <v>820</v>
      </c>
      <c r="AP192">
        <f t="shared" si="314"/>
        <v>314.86750635157625</v>
      </c>
      <c r="AR192" s="5">
        <f t="shared" si="237"/>
        <v>3.175939021422602</v>
      </c>
      <c r="AS192" s="5">
        <f t="shared" si="324"/>
        <v>2.112863198352275</v>
      </c>
      <c r="AT192" s="5">
        <f t="shared" si="325"/>
        <v>1.063075823070327</v>
      </c>
      <c r="AU192" s="177">
        <f t="shared" si="326"/>
        <v>0.66527196652719667</v>
      </c>
      <c r="AW192" s="5">
        <f t="shared" si="315"/>
        <v>17.111543209876547</v>
      </c>
      <c r="AX192" s="5">
        <f t="shared" si="316"/>
        <v>41.68432382154883</v>
      </c>
      <c r="AY192" s="5">
        <f t="shared" si="317"/>
        <v>1.2123152482368027</v>
      </c>
      <c r="AZ192" s="5">
        <f t="shared" si="318"/>
        <v>1.9118466841820414</v>
      </c>
      <c r="BA192" s="5">
        <f t="shared" si="319"/>
        <v>1.7077598163591743</v>
      </c>
      <c r="BB192" s="5"/>
      <c r="BC192" s="5"/>
      <c r="BD192" s="177">
        <f t="shared" si="263"/>
        <v>1.7056643368529107</v>
      </c>
      <c r="BE192" s="177">
        <f t="shared" si="264"/>
        <v>1.6252033434672781</v>
      </c>
      <c r="BF192" s="177">
        <f t="shared" si="265"/>
        <v>0.38161420280149372</v>
      </c>
      <c r="BG192" s="177"/>
      <c r="BH192" s="542">
        <f t="shared" si="266"/>
        <v>0.32002199130130676</v>
      </c>
      <c r="BI192" s="542">
        <f t="shared" si="267"/>
        <v>0.20442857142857143</v>
      </c>
      <c r="BJ192" s="542">
        <f t="shared" si="268"/>
        <v>1.5743375317578811E-2</v>
      </c>
      <c r="BK192" s="542">
        <f t="shared" si="269"/>
        <v>9.1051830828436223E-2</v>
      </c>
      <c r="BL192">
        <f t="shared" si="270"/>
        <v>3.48E-3</v>
      </c>
      <c r="BM192" s="469">
        <f t="shared" si="271"/>
        <v>634.72576887589344</v>
      </c>
      <c r="BN192" s="177">
        <f t="shared" si="272"/>
        <v>0.73799999999999999</v>
      </c>
      <c r="BO192" s="177">
        <f t="shared" si="273"/>
        <v>0.1845</v>
      </c>
      <c r="BP192" s="542"/>
      <c r="BR192" s="469">
        <f t="shared" si="274"/>
        <v>922.5</v>
      </c>
      <c r="BS192" s="542">
        <f t="shared" si="275"/>
        <v>0</v>
      </c>
      <c r="BT192" s="542">
        <f t="shared" si="276"/>
        <v>0</v>
      </c>
      <c r="BU192" s="542">
        <f t="shared" si="277"/>
        <v>0</v>
      </c>
      <c r="BV192" s="542">
        <f t="shared" si="278"/>
        <v>0</v>
      </c>
      <c r="BW192" s="647">
        <f t="shared" si="320"/>
        <v>0</v>
      </c>
      <c r="BX192" s="469">
        <f t="shared" si="279"/>
        <v>0</v>
      </c>
      <c r="BY192" s="177">
        <f t="shared" si="280"/>
        <v>1.5572257688758935</v>
      </c>
      <c r="BZ192" s="5">
        <f t="shared" si="281"/>
        <v>13.734999999999999</v>
      </c>
      <c r="CA192" s="177">
        <f t="shared" si="282"/>
        <v>0.89816879554281115</v>
      </c>
      <c r="CB192" s="5">
        <f t="shared" si="283"/>
        <v>89.816879554281115</v>
      </c>
      <c r="CC192">
        <f t="shared" si="284"/>
        <v>82</v>
      </c>
      <c r="CE192" s="576">
        <f t="shared" si="321"/>
        <v>-50</v>
      </c>
      <c r="CF192">
        <f t="shared" si="322"/>
        <v>-50</v>
      </c>
    </row>
    <row r="193" spans="5:84" x14ac:dyDescent="0.25">
      <c r="E193" s="174">
        <v>83</v>
      </c>
      <c r="F193" s="221">
        <f t="shared" si="323"/>
        <v>0.83</v>
      </c>
      <c r="G193" s="221">
        <f t="shared" si="285"/>
        <v>0.20749999999999999</v>
      </c>
      <c r="H193" s="221">
        <f t="shared" si="286"/>
        <v>12.45</v>
      </c>
      <c r="I193" s="221">
        <f t="shared" si="287"/>
        <v>1.4524999999999999</v>
      </c>
      <c r="J193" s="555">
        <f t="shared" si="288"/>
        <v>12</v>
      </c>
      <c r="K193" s="451">
        <f t="shared" si="289"/>
        <v>23.85</v>
      </c>
      <c r="L193" s="451">
        <f t="shared" si="290"/>
        <v>35.85</v>
      </c>
      <c r="M193" s="451"/>
      <c r="N193" s="221">
        <f t="shared" si="291"/>
        <v>0.66527196652719667</v>
      </c>
      <c r="O193" s="176">
        <f t="shared" si="292"/>
        <v>13.923050021857241</v>
      </c>
      <c r="P193" s="176">
        <f t="shared" si="293"/>
        <v>1.6243558358833448</v>
      </c>
      <c r="Q193" s="221">
        <f t="shared" si="294"/>
        <v>0.92820333479048278</v>
      </c>
      <c r="R193" s="221">
        <f t="shared" si="295"/>
        <v>1.9890071459796059</v>
      </c>
      <c r="S193" s="221">
        <f t="shared" si="296"/>
        <v>15</v>
      </c>
      <c r="T193" s="221">
        <f t="shared" si="297"/>
        <v>3.6662225532384425</v>
      </c>
      <c r="U193" s="221">
        <f t="shared" si="298"/>
        <v>2.1386298227224247</v>
      </c>
      <c r="V193" s="221">
        <f t="shared" si="299"/>
        <v>1.0760401623760627</v>
      </c>
      <c r="W193" s="201">
        <f t="shared" si="300"/>
        <v>350</v>
      </c>
      <c r="X193" s="451">
        <f t="shared" si="301"/>
        <v>311.07392193770181</v>
      </c>
      <c r="Z193" s="221">
        <f t="shared" si="302"/>
        <v>3.2584749380923919</v>
      </c>
      <c r="AA193" s="177">
        <f t="shared" si="303"/>
        <v>0.95636580992229525</v>
      </c>
      <c r="AB193" s="177">
        <f t="shared" si="304"/>
        <v>0.73256165472632317</v>
      </c>
      <c r="AC193" s="177"/>
      <c r="AD193" s="177">
        <f t="shared" si="305"/>
        <v>0.24067085953878403</v>
      </c>
      <c r="AE193" s="559">
        <f t="shared" si="306"/>
        <v>6261.8551882382935</v>
      </c>
      <c r="AF193" s="542">
        <f t="shared" si="307"/>
        <v>4.6392002252886505E-2</v>
      </c>
      <c r="AH193" s="177">
        <f t="shared" si="308"/>
        <v>3.3688246602987122</v>
      </c>
      <c r="AI193" s="177">
        <f t="shared" si="309"/>
        <v>3.6662225532384425</v>
      </c>
      <c r="AJ193" s="177">
        <f t="shared" si="310"/>
        <v>3.3083130023988465</v>
      </c>
      <c r="AL193" s="559">
        <f t="shared" si="311"/>
        <v>830</v>
      </c>
      <c r="AM193" s="469">
        <f t="shared" si="312"/>
        <v>311.07392193770181</v>
      </c>
      <c r="AO193">
        <f t="shared" si="313"/>
        <v>830</v>
      </c>
      <c r="AP193">
        <f t="shared" si="314"/>
        <v>311.07392193770181</v>
      </c>
      <c r="AR193" s="5">
        <f t="shared" si="237"/>
        <v>3.2146699850984879</v>
      </c>
      <c r="AS193" s="5">
        <f t="shared" si="324"/>
        <v>2.1386298227224247</v>
      </c>
      <c r="AT193" s="5">
        <f t="shared" si="325"/>
        <v>1.0760401623760631</v>
      </c>
      <c r="AU193" s="177">
        <f t="shared" si="326"/>
        <v>0.66527196652719656</v>
      </c>
      <c r="AW193" s="5">
        <f t="shared" si="315"/>
        <v>17.111543209876547</v>
      </c>
      <c r="AX193" s="5">
        <f t="shared" si="316"/>
        <v>42.676848127104385</v>
      </c>
      <c r="AY193" s="5">
        <f t="shared" si="317"/>
        <v>1.2123152482368027</v>
      </c>
      <c r="AZ193" s="5">
        <f t="shared" si="318"/>
        <v>1.9511699594482574</v>
      </c>
      <c r="BA193" s="5">
        <f t="shared" si="319"/>
        <v>1.749666474553593</v>
      </c>
      <c r="BB193" s="5"/>
      <c r="BC193" s="5"/>
      <c r="BD193" s="177">
        <f t="shared" si="263"/>
        <v>1.7264651214486777</v>
      </c>
      <c r="BE193" s="177">
        <f t="shared" si="264"/>
        <v>1.6450228964363915</v>
      </c>
      <c r="BF193" s="177">
        <f t="shared" si="265"/>
        <v>0.38626803454297542</v>
      </c>
      <c r="BG193" s="177"/>
      <c r="BH193" s="542">
        <f t="shared" si="266"/>
        <v>0.32787499971366774</v>
      </c>
      <c r="BI193" s="542">
        <f t="shared" si="267"/>
        <v>0.20442857142857146</v>
      </c>
      <c r="BJ193" s="542">
        <f t="shared" si="268"/>
        <v>1.5553696096885091E-2</v>
      </c>
      <c r="BK193" s="542">
        <f t="shared" si="269"/>
        <v>8.9954820818455045E-2</v>
      </c>
      <c r="BL193">
        <f t="shared" si="270"/>
        <v>3.48E-3</v>
      </c>
      <c r="BM193" s="469">
        <f t="shared" si="271"/>
        <v>641.29208805757946</v>
      </c>
      <c r="BN193" s="177">
        <f t="shared" si="272"/>
        <v>0.747</v>
      </c>
      <c r="BO193" s="177">
        <f t="shared" si="273"/>
        <v>0.18675</v>
      </c>
      <c r="BP193" s="542"/>
      <c r="BR193" s="469">
        <f t="shared" si="274"/>
        <v>933.75</v>
      </c>
      <c r="BS193" s="542">
        <f t="shared" si="275"/>
        <v>0</v>
      </c>
      <c r="BT193" s="542">
        <f t="shared" si="276"/>
        <v>0</v>
      </c>
      <c r="BU193" s="542">
        <f t="shared" si="277"/>
        <v>0</v>
      </c>
      <c r="BV193" s="542">
        <f t="shared" si="278"/>
        <v>0</v>
      </c>
      <c r="BW193" s="647">
        <f t="shared" si="320"/>
        <v>0</v>
      </c>
      <c r="BX193" s="469">
        <f t="shared" ref="BX193:BX210" si="327">SUM(BS193:BW193)*1000</f>
        <v>0</v>
      </c>
      <c r="BY193" s="177">
        <f t="shared" ref="BY193:BY210" si="328">SUM(BH193:BL193,BN193:BQ193,BS193:BW193)</f>
        <v>1.5750420880575793</v>
      </c>
      <c r="BZ193" s="5">
        <f t="shared" ref="BZ193:BZ210" si="329">MIN(H193+I193,O193+P193)</f>
        <v>13.9025</v>
      </c>
      <c r="CA193" s="177">
        <f t="shared" ref="CA193:CA210" si="330">BZ193/(BZ193+BY193)</f>
        <v>0.8982369371637583</v>
      </c>
      <c r="CB193" s="5">
        <f t="shared" ref="CB193:CB210" si="331">CA193*100</f>
        <v>89.823693716375828</v>
      </c>
      <c r="CC193">
        <f t="shared" ref="CC193:CC210" si="332">F193/Iout*100</f>
        <v>83</v>
      </c>
      <c r="CE193" s="576">
        <f t="shared" si="321"/>
        <v>-50</v>
      </c>
      <c r="CF193">
        <f t="shared" si="322"/>
        <v>-50</v>
      </c>
    </row>
    <row r="194" spans="5:84" x14ac:dyDescent="0.25">
      <c r="E194" s="174">
        <v>84</v>
      </c>
      <c r="F194" s="221">
        <f t="shared" si="323"/>
        <v>0.84</v>
      </c>
      <c r="G194" s="221">
        <f t="shared" si="285"/>
        <v>0.21</v>
      </c>
      <c r="H194" s="221">
        <f t="shared" si="286"/>
        <v>12.6</v>
      </c>
      <c r="I194" s="221">
        <f t="shared" si="287"/>
        <v>1.47</v>
      </c>
      <c r="J194" s="555">
        <f t="shared" si="288"/>
        <v>12</v>
      </c>
      <c r="K194" s="451">
        <f t="shared" si="289"/>
        <v>23.85</v>
      </c>
      <c r="L194" s="451">
        <f t="shared" si="290"/>
        <v>35.85</v>
      </c>
      <c r="M194" s="451"/>
      <c r="N194" s="221">
        <f t="shared" si="291"/>
        <v>0.66527196652719667</v>
      </c>
      <c r="O194" s="176">
        <f t="shared" si="292"/>
        <v>13.923050021857241</v>
      </c>
      <c r="P194" s="176">
        <f t="shared" si="293"/>
        <v>1.6243558358833448</v>
      </c>
      <c r="Q194" s="221">
        <f t="shared" si="294"/>
        <v>0.92820333479048278</v>
      </c>
      <c r="R194" s="221">
        <f t="shared" si="295"/>
        <v>1.9890071459796059</v>
      </c>
      <c r="S194" s="221">
        <f t="shared" si="296"/>
        <v>15</v>
      </c>
      <c r="T194" s="221">
        <f t="shared" si="297"/>
        <v>3.7103939093015561</v>
      </c>
      <c r="U194" s="221">
        <f t="shared" si="298"/>
        <v>2.1643964470925741</v>
      </c>
      <c r="V194" s="221">
        <f t="shared" si="299"/>
        <v>1.0890045016817982</v>
      </c>
      <c r="W194" s="201">
        <f t="shared" si="300"/>
        <v>350</v>
      </c>
      <c r="X194" s="451">
        <f t="shared" si="301"/>
        <v>307.37066096225306</v>
      </c>
      <c r="Z194" s="221">
        <f t="shared" si="302"/>
        <v>3.2584749380923919</v>
      </c>
      <c r="AA194" s="177">
        <f t="shared" si="303"/>
        <v>0.95636580992229525</v>
      </c>
      <c r="AB194" s="177">
        <f t="shared" si="304"/>
        <v>0.73256165472632317</v>
      </c>
      <c r="AC194" s="177"/>
      <c r="AD194" s="177">
        <f t="shared" si="305"/>
        <v>0.24067085953878403</v>
      </c>
      <c r="AE194" s="559">
        <f t="shared" si="306"/>
        <v>6337.2992266508045</v>
      </c>
      <c r="AF194" s="542">
        <f t="shared" si="307"/>
        <v>4.6392002252886505E-2</v>
      </c>
      <c r="AH194" s="177">
        <f t="shared" si="308"/>
        <v>3.3890580233619909</v>
      </c>
      <c r="AI194" s="177">
        <f t="shared" si="309"/>
        <v>3.7103939093015561</v>
      </c>
      <c r="AJ194" s="177">
        <f t="shared" si="310"/>
        <v>3.3410325254085596</v>
      </c>
      <c r="AL194" s="559">
        <f t="shared" si="311"/>
        <v>840</v>
      </c>
      <c r="AM194" s="469">
        <f t="shared" si="312"/>
        <v>307.37066096225306</v>
      </c>
      <c r="AO194">
        <f t="shared" si="313"/>
        <v>840</v>
      </c>
      <c r="AP194">
        <f t="shared" si="314"/>
        <v>307.37066096225306</v>
      </c>
      <c r="AR194" s="5">
        <f t="shared" si="237"/>
        <v>3.2534009487743725</v>
      </c>
      <c r="AS194" s="5">
        <f t="shared" si="324"/>
        <v>2.1643964470925741</v>
      </c>
      <c r="AT194" s="5">
        <f t="shared" si="325"/>
        <v>1.0890045016817984</v>
      </c>
      <c r="AU194" s="177">
        <f t="shared" si="326"/>
        <v>0.66527196652719667</v>
      </c>
      <c r="AW194" s="5">
        <f t="shared" si="315"/>
        <v>17.111543209876547</v>
      </c>
      <c r="AX194" s="5">
        <f t="shared" si="316"/>
        <v>43.6810393939394</v>
      </c>
      <c r="AY194" s="5">
        <f t="shared" si="317"/>
        <v>1.2123152482368027</v>
      </c>
      <c r="AZ194" s="5">
        <f t="shared" si="318"/>
        <v>1.9908789713843671</v>
      </c>
      <c r="BA194" s="5">
        <f t="shared" si="319"/>
        <v>1.7920810922412753</v>
      </c>
      <c r="BB194" s="5"/>
      <c r="BC194" s="5"/>
      <c r="BD194" s="177">
        <f t="shared" si="263"/>
        <v>1.7472659060444451</v>
      </c>
      <c r="BE194" s="177">
        <f t="shared" si="264"/>
        <v>1.6648424494055043</v>
      </c>
      <c r="BF194" s="177">
        <f t="shared" si="265"/>
        <v>0.39092186628445702</v>
      </c>
      <c r="BG194" s="177"/>
      <c r="BH194" s="542">
        <f t="shared" si="266"/>
        <v>0.33582319610678474</v>
      </c>
      <c r="BI194" s="542">
        <f t="shared" si="267"/>
        <v>0.20442857142857149</v>
      </c>
      <c r="BJ194" s="542">
        <f t="shared" si="268"/>
        <v>1.5368533048112651E-2</v>
      </c>
      <c r="BK194" s="542">
        <f t="shared" si="269"/>
        <v>8.8883930094425842E-2</v>
      </c>
      <c r="BL194">
        <f t="shared" si="270"/>
        <v>3.48E-3</v>
      </c>
      <c r="BM194" s="469">
        <f t="shared" si="271"/>
        <v>647.98423067789474</v>
      </c>
      <c r="BN194" s="177">
        <f t="shared" si="272"/>
        <v>0.75600000000000001</v>
      </c>
      <c r="BO194" s="177">
        <f t="shared" si="273"/>
        <v>0.189</v>
      </c>
      <c r="BP194" s="542"/>
      <c r="BR194" s="469">
        <f t="shared" si="274"/>
        <v>945.00000000000011</v>
      </c>
      <c r="BS194" s="542">
        <f t="shared" si="275"/>
        <v>0</v>
      </c>
      <c r="BT194" s="542">
        <f t="shared" si="276"/>
        <v>0</v>
      </c>
      <c r="BU194" s="542">
        <f t="shared" si="277"/>
        <v>0</v>
      </c>
      <c r="BV194" s="542">
        <f t="shared" si="278"/>
        <v>0</v>
      </c>
      <c r="BW194" s="647">
        <f t="shared" si="320"/>
        <v>0</v>
      </c>
      <c r="BX194" s="469">
        <f t="shared" si="327"/>
        <v>0</v>
      </c>
      <c r="BY194" s="177">
        <f t="shared" si="328"/>
        <v>1.592984230677895</v>
      </c>
      <c r="BZ194" s="5">
        <f t="shared" si="329"/>
        <v>14.07</v>
      </c>
      <c r="CA194" s="177">
        <f t="shared" si="330"/>
        <v>0.89829625011319114</v>
      </c>
      <c r="CB194" s="5">
        <f t="shared" si="331"/>
        <v>89.829625011319109</v>
      </c>
      <c r="CC194">
        <f t="shared" si="332"/>
        <v>84</v>
      </c>
      <c r="CE194" s="576">
        <f t="shared" si="321"/>
        <v>-50</v>
      </c>
      <c r="CF194">
        <f t="shared" si="322"/>
        <v>-50</v>
      </c>
    </row>
    <row r="195" spans="5:84" x14ac:dyDescent="0.25">
      <c r="E195" s="174">
        <v>85</v>
      </c>
      <c r="F195" s="221">
        <f t="shared" si="323"/>
        <v>0.85</v>
      </c>
      <c r="G195" s="221">
        <f t="shared" si="285"/>
        <v>0.21249999999999999</v>
      </c>
      <c r="H195" s="221">
        <f t="shared" si="286"/>
        <v>12.75</v>
      </c>
      <c r="I195" s="221">
        <f t="shared" si="287"/>
        <v>1.4875</v>
      </c>
      <c r="J195" s="555">
        <f t="shared" si="288"/>
        <v>12</v>
      </c>
      <c r="K195" s="451">
        <f t="shared" si="289"/>
        <v>23.85</v>
      </c>
      <c r="L195" s="451">
        <f t="shared" si="290"/>
        <v>35.85</v>
      </c>
      <c r="M195" s="451"/>
      <c r="N195" s="221">
        <f t="shared" si="291"/>
        <v>0.66527196652719667</v>
      </c>
      <c r="O195" s="176">
        <f t="shared" si="292"/>
        <v>13.923050021857241</v>
      </c>
      <c r="P195" s="176">
        <f t="shared" si="293"/>
        <v>1.6243558358833448</v>
      </c>
      <c r="Q195" s="221">
        <f t="shared" si="294"/>
        <v>0.92820333479048278</v>
      </c>
      <c r="R195" s="221">
        <f t="shared" si="295"/>
        <v>1.9890071459796059</v>
      </c>
      <c r="S195" s="221">
        <f t="shared" si="296"/>
        <v>15</v>
      </c>
      <c r="T195" s="221">
        <f t="shared" si="297"/>
        <v>3.7545652653646702</v>
      </c>
      <c r="U195" s="221">
        <f t="shared" si="298"/>
        <v>2.1901630714627243</v>
      </c>
      <c r="V195" s="221">
        <f t="shared" si="299"/>
        <v>1.1019688409875341</v>
      </c>
      <c r="W195" s="201">
        <f t="shared" si="300"/>
        <v>350</v>
      </c>
      <c r="X195" s="451">
        <f t="shared" si="301"/>
        <v>303.75453553916765</v>
      </c>
      <c r="Z195" s="221">
        <f t="shared" si="302"/>
        <v>3.2584749380923919</v>
      </c>
      <c r="AA195" s="177">
        <f t="shared" si="303"/>
        <v>0.95636580992229525</v>
      </c>
      <c r="AB195" s="177">
        <f t="shared" si="304"/>
        <v>0.73256165472632317</v>
      </c>
      <c r="AC195" s="177"/>
      <c r="AD195" s="177">
        <f t="shared" si="305"/>
        <v>0.24067085953878403</v>
      </c>
      <c r="AE195" s="559">
        <f t="shared" si="306"/>
        <v>6412.7432650633136</v>
      </c>
      <c r="AF195" s="542">
        <f t="shared" si="307"/>
        <v>4.6392002252886505E-2</v>
      </c>
      <c r="AH195" s="177">
        <f t="shared" si="308"/>
        <v>3.4091713039376352</v>
      </c>
      <c r="AI195" s="177">
        <f t="shared" si="309"/>
        <v>3.7545652653646702</v>
      </c>
      <c r="AJ195" s="177">
        <f t="shared" si="310"/>
        <v>3.3737520484182744</v>
      </c>
      <c r="AL195" s="559">
        <f t="shared" si="311"/>
        <v>850</v>
      </c>
      <c r="AM195" s="469">
        <f t="shared" si="312"/>
        <v>303.75453553916765</v>
      </c>
      <c r="AO195">
        <f t="shared" si="313"/>
        <v>850</v>
      </c>
      <c r="AP195">
        <f t="shared" si="314"/>
        <v>303.75453553916765</v>
      </c>
      <c r="AR195" s="5">
        <f t="shared" si="237"/>
        <v>3.2921319124502584</v>
      </c>
      <c r="AS195" s="5">
        <f t="shared" si="324"/>
        <v>2.1901630714627243</v>
      </c>
      <c r="AT195" s="5">
        <f t="shared" si="325"/>
        <v>1.1019688409875341</v>
      </c>
      <c r="AU195" s="177">
        <f t="shared" si="326"/>
        <v>0.66527196652719667</v>
      </c>
      <c r="AW195" s="5">
        <f t="shared" si="315"/>
        <v>17.111543209876547</v>
      </c>
      <c r="AX195" s="5">
        <f t="shared" si="316"/>
        <v>44.696897622053875</v>
      </c>
      <c r="AY195" s="5">
        <f t="shared" si="317"/>
        <v>1.2123152482368027</v>
      </c>
      <c r="AZ195" s="5">
        <f t="shared" si="318"/>
        <v>2.0309737199903704</v>
      </c>
      <c r="BA195" s="5">
        <f t="shared" si="319"/>
        <v>1.8350036694222245</v>
      </c>
      <c r="BB195" s="5"/>
      <c r="BC195" s="5"/>
      <c r="BD195" s="177">
        <f t="shared" si="263"/>
        <v>1.7680666906402125</v>
      </c>
      <c r="BE195" s="177">
        <f t="shared" si="264"/>
        <v>1.6846620023746177</v>
      </c>
      <c r="BF195" s="177">
        <f t="shared" si="265"/>
        <v>0.39557569802593873</v>
      </c>
      <c r="BG195" s="177"/>
      <c r="BH195" s="542">
        <f t="shared" si="266"/>
        <v>0.3438665804806576</v>
      </c>
      <c r="BI195" s="542">
        <f t="shared" si="267"/>
        <v>0.20442857142857143</v>
      </c>
      <c r="BJ195" s="542">
        <f t="shared" si="268"/>
        <v>1.5187726776958382E-2</v>
      </c>
      <c r="BK195" s="542">
        <f t="shared" si="269"/>
        <v>8.7838236799197278E-2</v>
      </c>
      <c r="BL195">
        <f t="shared" si="270"/>
        <v>3.48E-3</v>
      </c>
      <c r="BM195" s="469">
        <f t="shared" si="271"/>
        <v>654.80111548538468</v>
      </c>
      <c r="BN195" s="177">
        <f t="shared" si="272"/>
        <v>0.76500000000000001</v>
      </c>
      <c r="BO195" s="177">
        <f t="shared" si="273"/>
        <v>0.19125</v>
      </c>
      <c r="BP195" s="542"/>
      <c r="BR195" s="469">
        <f t="shared" si="274"/>
        <v>956.25</v>
      </c>
      <c r="BS195" s="542">
        <f t="shared" si="275"/>
        <v>0</v>
      </c>
      <c r="BT195" s="542">
        <f t="shared" si="276"/>
        <v>0</v>
      </c>
      <c r="BU195" s="542">
        <f t="shared" si="277"/>
        <v>0</v>
      </c>
      <c r="BV195" s="542">
        <f t="shared" si="278"/>
        <v>0</v>
      </c>
      <c r="BW195" s="647">
        <f t="shared" si="320"/>
        <v>0</v>
      </c>
      <c r="BX195" s="469">
        <f t="shared" si="327"/>
        <v>0</v>
      </c>
      <c r="BY195" s="177">
        <f t="shared" si="328"/>
        <v>1.6110511154853846</v>
      </c>
      <c r="BZ195" s="5">
        <f t="shared" si="329"/>
        <v>14.237500000000001</v>
      </c>
      <c r="CA195" s="177">
        <f t="shared" si="330"/>
        <v>0.89834710417716035</v>
      </c>
      <c r="CB195" s="5">
        <f t="shared" si="331"/>
        <v>89.834710417716039</v>
      </c>
      <c r="CC195">
        <f t="shared" si="332"/>
        <v>85</v>
      </c>
      <c r="CE195" s="576">
        <f t="shared" si="321"/>
        <v>-50</v>
      </c>
      <c r="CF195">
        <f t="shared" si="322"/>
        <v>-50</v>
      </c>
    </row>
    <row r="196" spans="5:84" x14ac:dyDescent="0.25">
      <c r="E196" s="174">
        <v>86</v>
      </c>
      <c r="F196" s="221">
        <f t="shared" si="323"/>
        <v>0.86</v>
      </c>
      <c r="G196" s="221">
        <f t="shared" si="285"/>
        <v>0.215</v>
      </c>
      <c r="H196" s="221">
        <f t="shared" si="286"/>
        <v>12.9</v>
      </c>
      <c r="I196" s="221">
        <f t="shared" si="287"/>
        <v>1.5049999999999999</v>
      </c>
      <c r="J196" s="555">
        <f t="shared" si="288"/>
        <v>12</v>
      </c>
      <c r="K196" s="451">
        <f t="shared" si="289"/>
        <v>23.85</v>
      </c>
      <c r="L196" s="451">
        <f t="shared" si="290"/>
        <v>35.85</v>
      </c>
      <c r="M196" s="451"/>
      <c r="N196" s="221">
        <f t="shared" si="291"/>
        <v>0.66527196652719667</v>
      </c>
      <c r="O196" s="176">
        <f t="shared" si="292"/>
        <v>13.923050021857241</v>
      </c>
      <c r="P196" s="176">
        <f t="shared" si="293"/>
        <v>1.6243558358833448</v>
      </c>
      <c r="Q196" s="221">
        <f t="shared" si="294"/>
        <v>0.92820333479048278</v>
      </c>
      <c r="R196" s="221">
        <f t="shared" si="295"/>
        <v>1.9890071459796059</v>
      </c>
      <c r="S196" s="221">
        <f t="shared" si="296"/>
        <v>15</v>
      </c>
      <c r="T196" s="221">
        <f t="shared" si="297"/>
        <v>3.7987366214277838</v>
      </c>
      <c r="U196" s="221">
        <f t="shared" si="298"/>
        <v>2.2159296958328736</v>
      </c>
      <c r="V196" s="221">
        <f t="shared" si="299"/>
        <v>1.1149331802932696</v>
      </c>
      <c r="W196" s="201">
        <f t="shared" si="300"/>
        <v>350</v>
      </c>
      <c r="X196" s="451">
        <f t="shared" si="301"/>
        <v>300.22250605615415</v>
      </c>
      <c r="Z196" s="221">
        <f t="shared" si="302"/>
        <v>3.2584749380923919</v>
      </c>
      <c r="AA196" s="177">
        <f t="shared" si="303"/>
        <v>0.95636580992229525</v>
      </c>
      <c r="AB196" s="177">
        <f t="shared" si="304"/>
        <v>0.73256165472632317</v>
      </c>
      <c r="AC196" s="177"/>
      <c r="AD196" s="177">
        <f t="shared" si="305"/>
        <v>0.24067085953878403</v>
      </c>
      <c r="AE196" s="559">
        <f t="shared" si="306"/>
        <v>6488.1873034758228</v>
      </c>
      <c r="AF196" s="542">
        <f t="shared" si="307"/>
        <v>4.6392002252886505E-2</v>
      </c>
      <c r="AH196" s="177">
        <f t="shared" si="308"/>
        <v>3.4291666150056614</v>
      </c>
      <c r="AI196" s="177">
        <f t="shared" si="309"/>
        <v>3.7987366214277838</v>
      </c>
      <c r="AJ196" s="177">
        <f t="shared" si="310"/>
        <v>3.4064715714279883</v>
      </c>
      <c r="AL196" s="559">
        <f t="shared" si="311"/>
        <v>860</v>
      </c>
      <c r="AM196" s="469">
        <f t="shared" si="312"/>
        <v>300.22250605615415</v>
      </c>
      <c r="AO196">
        <f t="shared" si="313"/>
        <v>860</v>
      </c>
      <c r="AP196">
        <f t="shared" si="314"/>
        <v>300.22250605615415</v>
      </c>
      <c r="AR196" s="5">
        <f t="shared" si="237"/>
        <v>3.330862876126143</v>
      </c>
      <c r="AS196" s="5">
        <f t="shared" si="324"/>
        <v>2.2159296958328736</v>
      </c>
      <c r="AT196" s="5">
        <f t="shared" si="325"/>
        <v>1.1149331802932694</v>
      </c>
      <c r="AU196" s="177">
        <f t="shared" si="326"/>
        <v>0.66527196652719667</v>
      </c>
      <c r="AW196" s="5">
        <f t="shared" si="315"/>
        <v>17.111543209876547</v>
      </c>
      <c r="AX196" s="5">
        <f t="shared" si="316"/>
        <v>45.724422811447816</v>
      </c>
      <c r="AY196" s="5">
        <f t="shared" si="317"/>
        <v>1.2123152482368027</v>
      </c>
      <c r="AZ196" s="5">
        <f t="shared" si="318"/>
        <v>2.0714542052662672</v>
      </c>
      <c r="BA196" s="5">
        <f t="shared" si="319"/>
        <v>1.8784342060964383</v>
      </c>
      <c r="BB196" s="5"/>
      <c r="BC196" s="5"/>
      <c r="BD196" s="177">
        <f t="shared" si="263"/>
        <v>1.7888674752359797</v>
      </c>
      <c r="BE196" s="177">
        <f t="shared" si="264"/>
        <v>1.7044815553437309</v>
      </c>
      <c r="BF196" s="177">
        <f t="shared" si="265"/>
        <v>0.40022952976742032</v>
      </c>
      <c r="BG196" s="177"/>
      <c r="BH196" s="542">
        <f t="shared" si="266"/>
        <v>0.35200515283528627</v>
      </c>
      <c r="BI196" s="542">
        <f t="shared" si="267"/>
        <v>0.20442857142857149</v>
      </c>
      <c r="BJ196" s="542">
        <f t="shared" si="268"/>
        <v>1.5011125302807706E-2</v>
      </c>
      <c r="BK196" s="542">
        <f t="shared" si="269"/>
        <v>8.6816861952695015E-2</v>
      </c>
      <c r="BL196">
        <f t="shared" si="270"/>
        <v>3.48E-3</v>
      </c>
      <c r="BM196" s="469">
        <f t="shared" si="271"/>
        <v>661.74171151936048</v>
      </c>
      <c r="BN196" s="177">
        <f t="shared" si="272"/>
        <v>0.77400000000000002</v>
      </c>
      <c r="BO196" s="177">
        <f t="shared" si="273"/>
        <v>0.19350000000000001</v>
      </c>
      <c r="BP196" s="542"/>
      <c r="BR196" s="469">
        <f t="shared" si="274"/>
        <v>967.5</v>
      </c>
      <c r="BS196" s="542">
        <f t="shared" si="275"/>
        <v>0</v>
      </c>
      <c r="BT196" s="542">
        <f t="shared" si="276"/>
        <v>0</v>
      </c>
      <c r="BU196" s="542">
        <f t="shared" si="277"/>
        <v>0</v>
      </c>
      <c r="BV196" s="542">
        <f t="shared" si="278"/>
        <v>0</v>
      </c>
      <c r="BW196" s="647">
        <f t="shared" si="320"/>
        <v>0</v>
      </c>
      <c r="BX196" s="469">
        <f t="shared" si="327"/>
        <v>0</v>
      </c>
      <c r="BY196" s="177">
        <f t="shared" si="328"/>
        <v>1.6292417115193605</v>
      </c>
      <c r="BZ196" s="5">
        <f t="shared" si="329"/>
        <v>14.405000000000001</v>
      </c>
      <c r="CA196" s="177">
        <f t="shared" si="330"/>
        <v>0.89838984962108459</v>
      </c>
      <c r="CB196" s="5">
        <f t="shared" si="331"/>
        <v>89.838984962108455</v>
      </c>
      <c r="CC196">
        <f t="shared" si="332"/>
        <v>86</v>
      </c>
      <c r="CE196" s="576">
        <f t="shared" si="321"/>
        <v>-50</v>
      </c>
      <c r="CF196">
        <f t="shared" si="322"/>
        <v>-50</v>
      </c>
    </row>
    <row r="197" spans="5:84" x14ac:dyDescent="0.25">
      <c r="E197" s="174">
        <v>87</v>
      </c>
      <c r="F197" s="221">
        <f t="shared" si="323"/>
        <v>0.87</v>
      </c>
      <c r="G197" s="221">
        <f t="shared" si="285"/>
        <v>0.2175</v>
      </c>
      <c r="H197" s="221">
        <f t="shared" si="286"/>
        <v>13.05</v>
      </c>
      <c r="I197" s="221">
        <f t="shared" si="287"/>
        <v>1.5225</v>
      </c>
      <c r="J197" s="555">
        <f t="shared" si="288"/>
        <v>12</v>
      </c>
      <c r="K197" s="451">
        <f t="shared" si="289"/>
        <v>23.85</v>
      </c>
      <c r="L197" s="451">
        <f t="shared" si="290"/>
        <v>35.85</v>
      </c>
      <c r="M197" s="451"/>
      <c r="N197" s="221">
        <f t="shared" si="291"/>
        <v>0.66527196652719667</v>
      </c>
      <c r="O197" s="176">
        <f t="shared" si="292"/>
        <v>13.923050021857241</v>
      </c>
      <c r="P197" s="176">
        <f t="shared" si="293"/>
        <v>1.6243558358833448</v>
      </c>
      <c r="Q197" s="221">
        <f t="shared" si="294"/>
        <v>0.92820333479048278</v>
      </c>
      <c r="R197" s="221">
        <f t="shared" si="295"/>
        <v>1.9890071459796059</v>
      </c>
      <c r="S197" s="221">
        <f t="shared" si="296"/>
        <v>15</v>
      </c>
      <c r="T197" s="221">
        <f t="shared" si="297"/>
        <v>3.8429079774908979</v>
      </c>
      <c r="U197" s="221">
        <f t="shared" si="298"/>
        <v>2.2416963202030233</v>
      </c>
      <c r="V197" s="221">
        <f t="shared" si="299"/>
        <v>1.1278975195990055</v>
      </c>
      <c r="W197" s="201">
        <f t="shared" si="300"/>
        <v>350</v>
      </c>
      <c r="X197" s="451">
        <f t="shared" si="301"/>
        <v>296.77167265320981</v>
      </c>
      <c r="Z197" s="221">
        <f t="shared" si="302"/>
        <v>3.2584749380923919</v>
      </c>
      <c r="AA197" s="177">
        <f t="shared" si="303"/>
        <v>0.95636580992229525</v>
      </c>
      <c r="AB197" s="177">
        <f t="shared" si="304"/>
        <v>0.73256165472632317</v>
      </c>
      <c r="AC197" s="177"/>
      <c r="AD197" s="177">
        <f t="shared" si="305"/>
        <v>0.24067085953878403</v>
      </c>
      <c r="AE197" s="559">
        <f t="shared" si="306"/>
        <v>6563.6313418883328</v>
      </c>
      <c r="AF197" s="542">
        <f t="shared" si="307"/>
        <v>4.6392002252886505E-2</v>
      </c>
      <c r="AH197" s="177">
        <f t="shared" si="308"/>
        <v>3.4490460082966332</v>
      </c>
      <c r="AI197" s="177">
        <f t="shared" si="309"/>
        <v>3.8429079774908979</v>
      </c>
      <c r="AJ197" s="177">
        <f t="shared" si="310"/>
        <v>3.4391910944377022</v>
      </c>
      <c r="AL197" s="559">
        <f t="shared" si="311"/>
        <v>870</v>
      </c>
      <c r="AM197" s="469">
        <f t="shared" si="312"/>
        <v>296.77167265320981</v>
      </c>
      <c r="AO197">
        <f t="shared" si="313"/>
        <v>870</v>
      </c>
      <c r="AP197">
        <f t="shared" si="314"/>
        <v>296.77167265320981</v>
      </c>
      <c r="AR197" s="5">
        <f t="shared" si="237"/>
        <v>3.3695938398020289</v>
      </c>
      <c r="AS197" s="5">
        <f t="shared" si="324"/>
        <v>2.2416963202030233</v>
      </c>
      <c r="AT197" s="5">
        <f t="shared" si="325"/>
        <v>1.1278975195990055</v>
      </c>
      <c r="AU197" s="177">
        <f t="shared" si="326"/>
        <v>0.66527196652719667</v>
      </c>
      <c r="AW197" s="5">
        <f t="shared" si="315"/>
        <v>17.111543209876547</v>
      </c>
      <c r="AX197" s="5">
        <f t="shared" si="316"/>
        <v>46.763614962121217</v>
      </c>
      <c r="AY197" s="5">
        <f t="shared" si="317"/>
        <v>1.2123152482368027</v>
      </c>
      <c r="AZ197" s="5">
        <f t="shared" si="318"/>
        <v>2.1123204272120573</v>
      </c>
      <c r="BA197" s="5">
        <f t="shared" si="319"/>
        <v>1.9223727022639194</v>
      </c>
      <c r="BB197" s="5"/>
      <c r="BC197" s="5"/>
      <c r="BD197" s="177">
        <f t="shared" si="263"/>
        <v>1.8096682598317471</v>
      </c>
      <c r="BE197" s="177">
        <f t="shared" si="264"/>
        <v>1.7243011083128441</v>
      </c>
      <c r="BF197" s="177">
        <f t="shared" si="265"/>
        <v>0.40488336150890197</v>
      </c>
      <c r="BG197" s="177"/>
      <c r="BH197" s="542">
        <f t="shared" si="266"/>
        <v>0.36023891317067097</v>
      </c>
      <c r="BI197" s="542">
        <f t="shared" si="267"/>
        <v>0.20442857142857149</v>
      </c>
      <c r="BJ197" s="542">
        <f t="shared" si="268"/>
        <v>1.4838583632660489E-2</v>
      </c>
      <c r="BK197" s="542">
        <f t="shared" si="269"/>
        <v>8.5818966987721498E-2</v>
      </c>
      <c r="BL197">
        <f t="shared" si="270"/>
        <v>3.48E-3</v>
      </c>
      <c r="BM197" s="469">
        <f t="shared" si="271"/>
        <v>668.80503521962441</v>
      </c>
      <c r="BN197" s="177">
        <f t="shared" si="272"/>
        <v>0.78300000000000003</v>
      </c>
      <c r="BO197" s="177">
        <f t="shared" si="273"/>
        <v>0.19575000000000001</v>
      </c>
      <c r="BP197" s="542"/>
      <c r="BR197" s="469">
        <f t="shared" si="274"/>
        <v>978.75</v>
      </c>
      <c r="BS197" s="542">
        <f t="shared" si="275"/>
        <v>0</v>
      </c>
      <c r="BT197" s="542">
        <f t="shared" si="276"/>
        <v>0</v>
      </c>
      <c r="BU197" s="542">
        <f t="shared" si="277"/>
        <v>0</v>
      </c>
      <c r="BV197" s="542">
        <f t="shared" si="278"/>
        <v>0</v>
      </c>
      <c r="BW197" s="647">
        <f t="shared" si="320"/>
        <v>0</v>
      </c>
      <c r="BX197" s="469">
        <f t="shared" si="327"/>
        <v>0</v>
      </c>
      <c r="BY197" s="177">
        <f t="shared" si="328"/>
        <v>1.6475550352196244</v>
      </c>
      <c r="BZ197" s="5">
        <f t="shared" si="329"/>
        <v>14.572500000000002</v>
      </c>
      <c r="CA197" s="177">
        <f t="shared" si="330"/>
        <v>0.89842481843358823</v>
      </c>
      <c r="CB197" s="5">
        <f t="shared" si="331"/>
        <v>89.842481843358826</v>
      </c>
      <c r="CC197">
        <f t="shared" si="332"/>
        <v>87</v>
      </c>
      <c r="CE197" s="576">
        <f t="shared" si="321"/>
        <v>-50</v>
      </c>
      <c r="CF197">
        <f t="shared" si="322"/>
        <v>-50</v>
      </c>
    </row>
    <row r="198" spans="5:84" x14ac:dyDescent="0.25">
      <c r="E198" s="174">
        <v>88</v>
      </c>
      <c r="F198" s="221">
        <f t="shared" si="323"/>
        <v>0.88</v>
      </c>
      <c r="G198" s="221">
        <f t="shared" si="285"/>
        <v>0.22</v>
      </c>
      <c r="H198" s="221">
        <f t="shared" si="286"/>
        <v>13.2</v>
      </c>
      <c r="I198" s="221">
        <f t="shared" si="287"/>
        <v>1.54</v>
      </c>
      <c r="J198" s="555">
        <f t="shared" si="288"/>
        <v>12</v>
      </c>
      <c r="K198" s="451">
        <f t="shared" si="289"/>
        <v>23.85</v>
      </c>
      <c r="L198" s="451">
        <f t="shared" si="290"/>
        <v>35.85</v>
      </c>
      <c r="M198" s="451"/>
      <c r="N198" s="221">
        <f t="shared" si="291"/>
        <v>0.66527196652719667</v>
      </c>
      <c r="O198" s="176">
        <f t="shared" si="292"/>
        <v>13.923050021857241</v>
      </c>
      <c r="P198" s="176">
        <f t="shared" si="293"/>
        <v>1.6243558358833448</v>
      </c>
      <c r="Q198" s="221">
        <f t="shared" si="294"/>
        <v>0.92820333479048278</v>
      </c>
      <c r="R198" s="221">
        <f t="shared" si="295"/>
        <v>1.9890071459796059</v>
      </c>
      <c r="S198" s="221">
        <f t="shared" si="296"/>
        <v>15</v>
      </c>
      <c r="T198" s="221">
        <f t="shared" si="297"/>
        <v>3.8870793335540106</v>
      </c>
      <c r="U198" s="221">
        <f t="shared" si="298"/>
        <v>2.2674629445731731</v>
      </c>
      <c r="V198" s="221">
        <f t="shared" si="299"/>
        <v>1.140861858904741</v>
      </c>
      <c r="W198" s="201">
        <f t="shared" si="300"/>
        <v>350</v>
      </c>
      <c r="X198" s="451">
        <f t="shared" si="301"/>
        <v>293.39926728215067</v>
      </c>
      <c r="Z198" s="221">
        <f t="shared" si="302"/>
        <v>3.2584749380923919</v>
      </c>
      <c r="AA198" s="177">
        <f t="shared" si="303"/>
        <v>0.95636580992229525</v>
      </c>
      <c r="AB198" s="177">
        <f t="shared" si="304"/>
        <v>0.73256165472632317</v>
      </c>
      <c r="AC198" s="177"/>
      <c r="AD198" s="177">
        <f t="shared" si="305"/>
        <v>0.24067085953878403</v>
      </c>
      <c r="AE198" s="559">
        <f t="shared" si="306"/>
        <v>6639.0753803008429</v>
      </c>
      <c r="AF198" s="542">
        <f t="shared" si="307"/>
        <v>4.6392002252886505E-2</v>
      </c>
      <c r="AH198" s="177">
        <f t="shared" si="308"/>
        <v>3.4688114767488427</v>
      </c>
      <c r="AI198" s="177">
        <f t="shared" si="309"/>
        <v>3.8870793335540106</v>
      </c>
      <c r="AJ198" s="177">
        <f t="shared" si="310"/>
        <v>3.4719106174474152</v>
      </c>
      <c r="AL198" s="559">
        <f t="shared" si="311"/>
        <v>880</v>
      </c>
      <c r="AM198" s="469">
        <f t="shared" si="312"/>
        <v>293.39926728215067</v>
      </c>
      <c r="AO198">
        <f t="shared" si="313"/>
        <v>880</v>
      </c>
      <c r="AP198">
        <f t="shared" si="314"/>
        <v>293.39926728215067</v>
      </c>
      <c r="AR198" s="5">
        <f t="shared" ref="AR198:AR264" si="333">1/AM198*1000</f>
        <v>3.4083248034779134</v>
      </c>
      <c r="AS198" s="5">
        <f t="shared" si="324"/>
        <v>2.2674629445731731</v>
      </c>
      <c r="AT198" s="5">
        <f t="shared" si="325"/>
        <v>1.1408618589047403</v>
      </c>
      <c r="AU198" s="177">
        <f t="shared" si="326"/>
        <v>0.66527196652719678</v>
      </c>
      <c r="AW198" s="5">
        <f t="shared" si="315"/>
        <v>17.111543209876547</v>
      </c>
      <c r="AX198" s="5">
        <f t="shared" si="316"/>
        <v>47.814474074074091</v>
      </c>
      <c r="AY198" s="5">
        <f t="shared" si="317"/>
        <v>1.2123152482368027</v>
      </c>
      <c r="AZ198" s="5">
        <f t="shared" si="318"/>
        <v>2.1535723858277409</v>
      </c>
      <c r="BA198" s="5">
        <f t="shared" si="319"/>
        <v>1.9668191579246634</v>
      </c>
      <c r="BB198" s="5"/>
      <c r="BC198" s="5"/>
      <c r="BD198" s="177">
        <f t="shared" si="263"/>
        <v>1.8304690444275138</v>
      </c>
      <c r="BE198" s="177">
        <f t="shared" si="264"/>
        <v>1.7441206612819562</v>
      </c>
      <c r="BF198" s="177">
        <f t="shared" si="265"/>
        <v>0.40953719325038346</v>
      </c>
      <c r="BG198" s="177"/>
      <c r="BH198" s="542">
        <f t="shared" si="266"/>
        <v>0.36856786148681131</v>
      </c>
      <c r="BI198" s="542">
        <f t="shared" si="267"/>
        <v>0.20442857142857146</v>
      </c>
      <c r="BJ198" s="542">
        <f t="shared" si="268"/>
        <v>1.4669963364107533E-2</v>
      </c>
      <c r="BK198" s="542">
        <f t="shared" si="269"/>
        <v>8.4843751453770141E-2</v>
      </c>
      <c r="BL198">
        <f t="shared" si="270"/>
        <v>3.48E-3</v>
      </c>
      <c r="BM198" s="469">
        <f t="shared" si="271"/>
        <v>675.99014773326041</v>
      </c>
      <c r="BN198" s="177">
        <f t="shared" si="272"/>
        <v>0.79200000000000004</v>
      </c>
      <c r="BO198" s="177">
        <f t="shared" si="273"/>
        <v>0.19800000000000001</v>
      </c>
      <c r="BP198" s="542"/>
      <c r="BR198" s="469">
        <f t="shared" si="274"/>
        <v>990</v>
      </c>
      <c r="BS198" s="542">
        <f t="shared" si="275"/>
        <v>0</v>
      </c>
      <c r="BT198" s="542">
        <f t="shared" si="276"/>
        <v>0</v>
      </c>
      <c r="BU198" s="542">
        <f t="shared" si="277"/>
        <v>0</v>
      </c>
      <c r="BV198" s="542">
        <f t="shared" si="278"/>
        <v>0</v>
      </c>
      <c r="BW198" s="647">
        <f t="shared" si="320"/>
        <v>0</v>
      </c>
      <c r="BX198" s="469">
        <f t="shared" si="327"/>
        <v>0</v>
      </c>
      <c r="BY198" s="177">
        <f t="shared" si="328"/>
        <v>1.6659901477332604</v>
      </c>
      <c r="BZ198" s="5">
        <f t="shared" si="329"/>
        <v>14.739999999999998</v>
      </c>
      <c r="CA198" s="177">
        <f t="shared" si="330"/>
        <v>0.89845232547799359</v>
      </c>
      <c r="CB198" s="5">
        <f t="shared" si="331"/>
        <v>89.845232547799355</v>
      </c>
      <c r="CC198">
        <f t="shared" si="332"/>
        <v>88</v>
      </c>
      <c r="CE198" s="576">
        <f t="shared" si="321"/>
        <v>-50</v>
      </c>
      <c r="CF198">
        <f t="shared" si="322"/>
        <v>-50</v>
      </c>
    </row>
    <row r="199" spans="5:84" x14ac:dyDescent="0.25">
      <c r="E199" s="174">
        <v>89</v>
      </c>
      <c r="F199" s="221">
        <f t="shared" si="323"/>
        <v>0.89</v>
      </c>
      <c r="G199" s="221">
        <f t="shared" si="285"/>
        <v>0.2225</v>
      </c>
      <c r="H199" s="221">
        <f t="shared" si="286"/>
        <v>13.35</v>
      </c>
      <c r="I199" s="221">
        <f t="shared" si="287"/>
        <v>1.5575000000000001</v>
      </c>
      <c r="J199" s="555">
        <f t="shared" si="288"/>
        <v>12</v>
      </c>
      <c r="K199" s="451">
        <f t="shared" si="289"/>
        <v>23.85</v>
      </c>
      <c r="L199" s="451">
        <f t="shared" si="290"/>
        <v>35.85</v>
      </c>
      <c r="M199" s="451"/>
      <c r="N199" s="221">
        <f t="shared" si="291"/>
        <v>0.66527196652719667</v>
      </c>
      <c r="O199" s="176">
        <f t="shared" si="292"/>
        <v>13.923050021857241</v>
      </c>
      <c r="P199" s="176">
        <f t="shared" si="293"/>
        <v>1.6243558358833448</v>
      </c>
      <c r="Q199" s="221">
        <f t="shared" si="294"/>
        <v>0.92820333479048278</v>
      </c>
      <c r="R199" s="221">
        <f t="shared" si="295"/>
        <v>1.9890071459796059</v>
      </c>
      <c r="S199" s="221">
        <f t="shared" si="296"/>
        <v>15</v>
      </c>
      <c r="T199" s="221">
        <f t="shared" si="297"/>
        <v>3.9312506896171246</v>
      </c>
      <c r="U199" s="221">
        <f t="shared" si="298"/>
        <v>2.2932295689433224</v>
      </c>
      <c r="V199" s="221">
        <f t="shared" si="299"/>
        <v>1.1538261982104767</v>
      </c>
      <c r="W199" s="201">
        <f t="shared" si="300"/>
        <v>350</v>
      </c>
      <c r="X199" s="451">
        <f t="shared" si="301"/>
        <v>290.10264630145235</v>
      </c>
      <c r="Z199" s="221">
        <f t="shared" si="302"/>
        <v>3.2584749380923919</v>
      </c>
      <c r="AA199" s="177">
        <f t="shared" si="303"/>
        <v>0.95636580992229525</v>
      </c>
      <c r="AB199" s="177">
        <f t="shared" si="304"/>
        <v>0.73256165472632317</v>
      </c>
      <c r="AC199" s="177"/>
      <c r="AD199" s="177">
        <f t="shared" si="305"/>
        <v>0.24067085953878403</v>
      </c>
      <c r="AE199" s="559">
        <f t="shared" si="306"/>
        <v>6714.519418713352</v>
      </c>
      <c r="AF199" s="542">
        <f t="shared" si="307"/>
        <v>4.6392002252886505E-2</v>
      </c>
      <c r="AH199" s="177">
        <f t="shared" si="308"/>
        <v>3.4884649568401915</v>
      </c>
      <c r="AI199" s="177">
        <f t="shared" si="309"/>
        <v>3.9312506896171246</v>
      </c>
      <c r="AJ199" s="177">
        <f t="shared" si="310"/>
        <v>3.5046301404571292</v>
      </c>
      <c r="AL199" s="559">
        <f t="shared" si="311"/>
        <v>890</v>
      </c>
      <c r="AM199" s="469">
        <f t="shared" si="312"/>
        <v>290.10264630145235</v>
      </c>
      <c r="AO199">
        <f t="shared" si="313"/>
        <v>890</v>
      </c>
      <c r="AP199">
        <f t="shared" si="314"/>
        <v>290.10264630145235</v>
      </c>
      <c r="AR199" s="5">
        <f t="shared" si="333"/>
        <v>3.4470557671537989</v>
      </c>
      <c r="AS199" s="5">
        <f t="shared" si="324"/>
        <v>2.2932295689433224</v>
      </c>
      <c r="AT199" s="5">
        <f t="shared" si="325"/>
        <v>1.1538261982104765</v>
      </c>
      <c r="AU199" s="177">
        <f t="shared" si="326"/>
        <v>0.66527196652719667</v>
      </c>
      <c r="AW199" s="5">
        <f t="shared" si="315"/>
        <v>17.111543209876547</v>
      </c>
      <c r="AX199" s="5">
        <f t="shared" si="316"/>
        <v>48.877000147306418</v>
      </c>
      <c r="AY199" s="5">
        <f t="shared" si="317"/>
        <v>1.2123152482368027</v>
      </c>
      <c r="AZ199" s="5">
        <f t="shared" si="318"/>
        <v>2.1952100811133182</v>
      </c>
      <c r="BA199" s="5">
        <f t="shared" si="319"/>
        <v>2.0117735730786754</v>
      </c>
      <c r="BB199" s="5"/>
      <c r="BC199" s="5"/>
      <c r="BD199" s="177">
        <f t="shared" si="263"/>
        <v>1.851269829023281</v>
      </c>
      <c r="BE199" s="177">
        <f t="shared" si="264"/>
        <v>1.7639402142510701</v>
      </c>
      <c r="BF199" s="177">
        <f t="shared" si="265"/>
        <v>0.41419102499186511</v>
      </c>
      <c r="BG199" s="177"/>
      <c r="BH199" s="542">
        <f t="shared" si="266"/>
        <v>0.37699199778370768</v>
      </c>
      <c r="BI199" s="542">
        <f t="shared" si="267"/>
        <v>0.20442857142857146</v>
      </c>
      <c r="BJ199" s="542">
        <f t="shared" si="268"/>
        <v>1.4505132315072618E-2</v>
      </c>
      <c r="BK199" s="542">
        <f t="shared" si="269"/>
        <v>8.3890450875637887E-2</v>
      </c>
      <c r="BL199">
        <f t="shared" si="270"/>
        <v>3.48E-3</v>
      </c>
      <c r="BM199" s="469">
        <f t="shared" si="271"/>
        <v>683.29615240298972</v>
      </c>
      <c r="BN199" s="177">
        <f t="shared" si="272"/>
        <v>0.80100000000000005</v>
      </c>
      <c r="BO199" s="177">
        <f t="shared" si="273"/>
        <v>0.20025000000000001</v>
      </c>
      <c r="BP199" s="542"/>
      <c r="BR199" s="469">
        <f t="shared" si="274"/>
        <v>1001.25</v>
      </c>
      <c r="BS199" s="542">
        <f t="shared" si="275"/>
        <v>0</v>
      </c>
      <c r="BT199" s="542">
        <f t="shared" si="276"/>
        <v>0</v>
      </c>
      <c r="BU199" s="542">
        <f t="shared" si="277"/>
        <v>0</v>
      </c>
      <c r="BV199" s="542">
        <f t="shared" si="278"/>
        <v>0</v>
      </c>
      <c r="BW199" s="647">
        <f t="shared" si="320"/>
        <v>0</v>
      </c>
      <c r="BX199" s="469">
        <f t="shared" si="327"/>
        <v>0</v>
      </c>
      <c r="BY199" s="177">
        <f t="shared" si="328"/>
        <v>1.6845461524029899</v>
      </c>
      <c r="BZ199" s="5">
        <f t="shared" si="329"/>
        <v>14.907499999999999</v>
      </c>
      <c r="CA199" s="177">
        <f t="shared" si="330"/>
        <v>0.89847266955926219</v>
      </c>
      <c r="CB199" s="5">
        <f t="shared" si="331"/>
        <v>89.847266955926216</v>
      </c>
      <c r="CC199">
        <f t="shared" si="332"/>
        <v>89</v>
      </c>
      <c r="CE199" s="576">
        <f t="shared" si="321"/>
        <v>-50</v>
      </c>
      <c r="CF199">
        <f t="shared" si="322"/>
        <v>-50</v>
      </c>
    </row>
    <row r="200" spans="5:84" x14ac:dyDescent="0.25">
      <c r="E200" s="174">
        <v>90</v>
      </c>
      <c r="F200" s="221">
        <f t="shared" si="323"/>
        <v>0.9</v>
      </c>
      <c r="G200" s="221">
        <f t="shared" si="285"/>
        <v>0.22500000000000001</v>
      </c>
      <c r="H200" s="221">
        <f t="shared" si="286"/>
        <v>13.5</v>
      </c>
      <c r="I200" s="221">
        <f t="shared" si="287"/>
        <v>1.575</v>
      </c>
      <c r="J200" s="555">
        <f t="shared" si="288"/>
        <v>12</v>
      </c>
      <c r="K200" s="451">
        <f t="shared" si="289"/>
        <v>23.85</v>
      </c>
      <c r="L200" s="451">
        <f t="shared" si="290"/>
        <v>35.85</v>
      </c>
      <c r="M200" s="451"/>
      <c r="N200" s="221">
        <f t="shared" si="291"/>
        <v>0.66527196652719667</v>
      </c>
      <c r="O200" s="176">
        <f t="shared" si="292"/>
        <v>13.923050021857241</v>
      </c>
      <c r="P200" s="176">
        <f t="shared" si="293"/>
        <v>1.6243558358833448</v>
      </c>
      <c r="Q200" s="221">
        <f t="shared" si="294"/>
        <v>0.92820333479048278</v>
      </c>
      <c r="R200" s="221">
        <f t="shared" si="295"/>
        <v>1.9890071459796059</v>
      </c>
      <c r="S200" s="221">
        <f t="shared" si="296"/>
        <v>15</v>
      </c>
      <c r="T200" s="221">
        <f t="shared" si="297"/>
        <v>3.9754220456802387</v>
      </c>
      <c r="U200" s="221">
        <f t="shared" si="298"/>
        <v>2.3189961933134722</v>
      </c>
      <c r="V200" s="221">
        <f t="shared" si="299"/>
        <v>1.1667905375162124</v>
      </c>
      <c r="W200" s="201">
        <f t="shared" si="300"/>
        <v>350</v>
      </c>
      <c r="X200" s="451">
        <f t="shared" si="301"/>
        <v>286.87928356476948</v>
      </c>
      <c r="Z200" s="221">
        <f t="shared" si="302"/>
        <v>3.2584749380923919</v>
      </c>
      <c r="AA200" s="177">
        <f t="shared" si="303"/>
        <v>0.95636580992229525</v>
      </c>
      <c r="AB200" s="177">
        <f t="shared" si="304"/>
        <v>0.73256165472632317</v>
      </c>
      <c r="AC200" s="177"/>
      <c r="AD200" s="177">
        <f t="shared" si="305"/>
        <v>0.24067085953878403</v>
      </c>
      <c r="AE200" s="559">
        <f t="shared" si="306"/>
        <v>6789.9634571258621</v>
      </c>
      <c r="AF200" s="542">
        <f t="shared" si="307"/>
        <v>4.6392002252886505E-2</v>
      </c>
      <c r="AH200" s="177">
        <f t="shared" si="308"/>
        <v>3.5080083308024781</v>
      </c>
      <c r="AI200" s="177">
        <f t="shared" si="309"/>
        <v>3.9754220456802387</v>
      </c>
      <c r="AJ200" s="177">
        <f t="shared" si="310"/>
        <v>3.5373496634668431</v>
      </c>
      <c r="AL200" s="559">
        <f t="shared" si="311"/>
        <v>900</v>
      </c>
      <c r="AM200" s="469">
        <f t="shared" si="312"/>
        <v>286.87928356476948</v>
      </c>
      <c r="AO200">
        <f t="shared" si="313"/>
        <v>900</v>
      </c>
      <c r="AP200">
        <f t="shared" si="314"/>
        <v>286.87928356476948</v>
      </c>
      <c r="AR200" s="5">
        <f t="shared" si="333"/>
        <v>3.4857867308296853</v>
      </c>
      <c r="AS200" s="5">
        <f t="shared" si="324"/>
        <v>2.3189961933134722</v>
      </c>
      <c r="AT200" s="5">
        <f t="shared" si="325"/>
        <v>1.1667905375162131</v>
      </c>
      <c r="AU200" s="177">
        <f t="shared" si="326"/>
        <v>0.66527196652719656</v>
      </c>
      <c r="AW200" s="5">
        <f t="shared" si="315"/>
        <v>17.111543209876547</v>
      </c>
      <c r="AX200" s="5">
        <f t="shared" si="316"/>
        <v>49.951193181818198</v>
      </c>
      <c r="AY200" s="5">
        <f t="shared" si="317"/>
        <v>1.2123152482368027</v>
      </c>
      <c r="AZ200" s="5">
        <f t="shared" si="318"/>
        <v>2.237233513068789</v>
      </c>
      <c r="BA200" s="5">
        <f t="shared" si="319"/>
        <v>2.0572359477259545</v>
      </c>
      <c r="BB200" s="5"/>
      <c r="BC200" s="5"/>
      <c r="BD200" s="177">
        <f t="shared" si="263"/>
        <v>1.8720706136190481</v>
      </c>
      <c r="BE200" s="177">
        <f t="shared" si="264"/>
        <v>1.7837597672201835</v>
      </c>
      <c r="BF200" s="177">
        <f t="shared" si="265"/>
        <v>0.41884485673334687</v>
      </c>
      <c r="BG200" s="177"/>
      <c r="BH200" s="542">
        <f t="shared" si="266"/>
        <v>0.38551132206135991</v>
      </c>
      <c r="BI200" s="542">
        <f t="shared" si="267"/>
        <v>0.20442857142857146</v>
      </c>
      <c r="BJ200" s="542">
        <f t="shared" si="268"/>
        <v>1.4343964178238473E-2</v>
      </c>
      <c r="BK200" s="542">
        <f t="shared" si="269"/>
        <v>8.2958334754797455E-2</v>
      </c>
      <c r="BL200">
        <f t="shared" si="270"/>
        <v>3.48E-3</v>
      </c>
      <c r="BM200" s="469">
        <f t="shared" si="271"/>
        <v>690.72219242296728</v>
      </c>
      <c r="BN200" s="177">
        <f t="shared" si="272"/>
        <v>0.81</v>
      </c>
      <c r="BO200" s="177">
        <f t="shared" si="273"/>
        <v>0.20250000000000001</v>
      </c>
      <c r="BP200" s="542"/>
      <c r="BR200" s="469">
        <f t="shared" si="274"/>
        <v>1012.5000000000002</v>
      </c>
      <c r="BS200" s="542">
        <f t="shared" si="275"/>
        <v>0</v>
      </c>
      <c r="BT200" s="542">
        <f t="shared" si="276"/>
        <v>0</v>
      </c>
      <c r="BU200" s="542">
        <f t="shared" si="277"/>
        <v>0</v>
      </c>
      <c r="BV200" s="542">
        <f t="shared" si="278"/>
        <v>0</v>
      </c>
      <c r="BW200" s="647">
        <f t="shared" si="320"/>
        <v>0</v>
      </c>
      <c r="BX200" s="469">
        <f t="shared" si="327"/>
        <v>0</v>
      </c>
      <c r="BY200" s="177">
        <f t="shared" si="328"/>
        <v>1.7032221924229676</v>
      </c>
      <c r="BZ200" s="5">
        <f t="shared" si="329"/>
        <v>15.074999999999999</v>
      </c>
      <c r="CA200" s="177">
        <f t="shared" si="330"/>
        <v>0.89848613441344571</v>
      </c>
      <c r="CB200" s="5">
        <f t="shared" si="331"/>
        <v>89.848613441344568</v>
      </c>
      <c r="CC200">
        <f t="shared" si="332"/>
        <v>90</v>
      </c>
      <c r="CE200" s="576">
        <f t="shared" si="321"/>
        <v>-50</v>
      </c>
      <c r="CF200">
        <f t="shared" si="322"/>
        <v>-50</v>
      </c>
    </row>
    <row r="201" spans="5:84" x14ac:dyDescent="0.25">
      <c r="E201" s="174">
        <v>91</v>
      </c>
      <c r="F201" s="221">
        <f t="shared" si="323"/>
        <v>0.91</v>
      </c>
      <c r="G201" s="221">
        <f t="shared" si="285"/>
        <v>0.22750000000000001</v>
      </c>
      <c r="H201" s="221">
        <f t="shared" si="286"/>
        <v>13.65</v>
      </c>
      <c r="I201" s="221">
        <f t="shared" si="287"/>
        <v>1.5925</v>
      </c>
      <c r="J201" s="555">
        <f t="shared" si="288"/>
        <v>12</v>
      </c>
      <c r="K201" s="451">
        <f t="shared" si="289"/>
        <v>23.85</v>
      </c>
      <c r="L201" s="451">
        <f t="shared" si="290"/>
        <v>35.85</v>
      </c>
      <c r="M201" s="451"/>
      <c r="N201" s="221">
        <f t="shared" si="291"/>
        <v>0.66527196652719667</v>
      </c>
      <c r="O201" s="176">
        <f t="shared" si="292"/>
        <v>13.923050021857241</v>
      </c>
      <c r="P201" s="176">
        <f t="shared" si="293"/>
        <v>1.6243558358833448</v>
      </c>
      <c r="Q201" s="221">
        <f t="shared" si="294"/>
        <v>0.92820333479048278</v>
      </c>
      <c r="R201" s="221">
        <f t="shared" si="295"/>
        <v>1.9890071459796059</v>
      </c>
      <c r="S201" s="221">
        <f t="shared" si="296"/>
        <v>15</v>
      </c>
      <c r="T201" s="221">
        <f t="shared" si="297"/>
        <v>4.0195934017433528</v>
      </c>
      <c r="U201" s="221">
        <f t="shared" si="298"/>
        <v>2.3447628176836224</v>
      </c>
      <c r="V201" s="221">
        <f t="shared" si="299"/>
        <v>1.1797548768219481</v>
      </c>
      <c r="W201" s="201">
        <f t="shared" si="300"/>
        <v>350</v>
      </c>
      <c r="X201" s="451">
        <f t="shared" si="301"/>
        <v>283.72676396515664</v>
      </c>
      <c r="Z201" s="221">
        <f t="shared" si="302"/>
        <v>3.2584749380923919</v>
      </c>
      <c r="AA201" s="177">
        <f t="shared" si="303"/>
        <v>0.95636580992229525</v>
      </c>
      <c r="AB201" s="177">
        <f t="shared" si="304"/>
        <v>0.73256165472632317</v>
      </c>
      <c r="AC201" s="177"/>
      <c r="AD201" s="177">
        <f t="shared" si="305"/>
        <v>0.24067085953878403</v>
      </c>
      <c r="AE201" s="559">
        <f t="shared" si="306"/>
        <v>6865.4074955383712</v>
      </c>
      <c r="AF201" s="542">
        <f t="shared" si="307"/>
        <v>4.6392002252886505E-2</v>
      </c>
      <c r="AH201" s="177">
        <f t="shared" si="308"/>
        <v>3.5274434287252774</v>
      </c>
      <c r="AI201" s="177">
        <f t="shared" si="309"/>
        <v>4.0195934017433528</v>
      </c>
      <c r="AJ201" s="177">
        <f t="shared" si="310"/>
        <v>3.5700691864765579</v>
      </c>
      <c r="AL201" s="559">
        <f t="shared" si="311"/>
        <v>910</v>
      </c>
      <c r="AM201" s="469">
        <f t="shared" si="312"/>
        <v>283.72676396515664</v>
      </c>
      <c r="AO201">
        <f t="shared" si="313"/>
        <v>910</v>
      </c>
      <c r="AP201">
        <f t="shared" si="314"/>
        <v>283.72676396515664</v>
      </c>
      <c r="AR201" s="5">
        <f t="shared" si="333"/>
        <v>3.5245176945055703</v>
      </c>
      <c r="AS201" s="5">
        <f t="shared" si="324"/>
        <v>2.3447628176836224</v>
      </c>
      <c r="AT201" s="5">
        <f t="shared" si="325"/>
        <v>1.1797548768219479</v>
      </c>
      <c r="AU201" s="177">
        <f t="shared" si="326"/>
        <v>0.66527196652719678</v>
      </c>
      <c r="AW201" s="5">
        <f t="shared" si="315"/>
        <v>17.111543209876547</v>
      </c>
      <c r="AX201" s="5">
        <f t="shared" si="316"/>
        <v>51.03705317760943</v>
      </c>
      <c r="AY201" s="5">
        <f t="shared" si="317"/>
        <v>1.2123152482368027</v>
      </c>
      <c r="AZ201" s="5">
        <f t="shared" si="318"/>
        <v>2.2796426816941535</v>
      </c>
      <c r="BA201" s="5">
        <f t="shared" si="319"/>
        <v>2.1032062818664961</v>
      </c>
      <c r="BB201" s="5"/>
      <c r="BC201" s="5"/>
      <c r="BD201" s="177">
        <f t="shared" si="263"/>
        <v>1.892871398214816</v>
      </c>
      <c r="BE201" s="177">
        <f t="shared" si="264"/>
        <v>1.803579320189296</v>
      </c>
      <c r="BF201" s="177">
        <f t="shared" si="265"/>
        <v>0.42349868847482836</v>
      </c>
      <c r="BG201" s="177"/>
      <c r="BH201" s="542">
        <f t="shared" si="266"/>
        <v>0.39412583431976839</v>
      </c>
      <c r="BI201" s="542">
        <f t="shared" si="267"/>
        <v>0.20442857142857149</v>
      </c>
      <c r="BJ201" s="542">
        <f t="shared" si="268"/>
        <v>1.4186338198257832E-2</v>
      </c>
      <c r="BK201" s="542">
        <f t="shared" si="269"/>
        <v>8.2046704702546935E-2</v>
      </c>
      <c r="BL201">
        <f t="shared" si="270"/>
        <v>3.48E-3</v>
      </c>
      <c r="BM201" s="469">
        <f t="shared" si="271"/>
        <v>698.26744864914474</v>
      </c>
      <c r="BN201" s="177">
        <f t="shared" si="272"/>
        <v>0.81900000000000006</v>
      </c>
      <c r="BO201" s="177">
        <f t="shared" si="273"/>
        <v>0.20475000000000002</v>
      </c>
      <c r="BP201" s="542"/>
      <c r="BR201" s="469">
        <f t="shared" si="274"/>
        <v>1023.7500000000001</v>
      </c>
      <c r="BS201" s="542">
        <f t="shared" si="275"/>
        <v>0</v>
      </c>
      <c r="BT201" s="542">
        <f t="shared" si="276"/>
        <v>0</v>
      </c>
      <c r="BU201" s="542">
        <f t="shared" si="277"/>
        <v>0</v>
      </c>
      <c r="BV201" s="542">
        <f t="shared" si="278"/>
        <v>0</v>
      </c>
      <c r="BW201" s="647">
        <f t="shared" si="320"/>
        <v>0</v>
      </c>
      <c r="BX201" s="469">
        <f t="shared" si="327"/>
        <v>0</v>
      </c>
      <c r="BY201" s="177">
        <f t="shared" si="328"/>
        <v>1.7220174486491449</v>
      </c>
      <c r="BZ201" s="5">
        <f t="shared" si="329"/>
        <v>15.2425</v>
      </c>
      <c r="CA201" s="177">
        <f t="shared" si="330"/>
        <v>0.89849298962604651</v>
      </c>
      <c r="CB201" s="5">
        <f t="shared" si="331"/>
        <v>89.849298962604649</v>
      </c>
      <c r="CC201">
        <f t="shared" si="332"/>
        <v>91</v>
      </c>
      <c r="CE201" s="576">
        <f t="shared" si="321"/>
        <v>-50</v>
      </c>
      <c r="CF201">
        <f t="shared" si="322"/>
        <v>-50</v>
      </c>
    </row>
    <row r="202" spans="5:84" x14ac:dyDescent="0.25">
      <c r="E202" s="174">
        <v>92</v>
      </c>
      <c r="F202" s="221">
        <f t="shared" si="323"/>
        <v>0.92</v>
      </c>
      <c r="G202" s="221">
        <f t="shared" si="285"/>
        <v>0.23</v>
      </c>
      <c r="H202" s="221">
        <f t="shared" si="286"/>
        <v>13.8</v>
      </c>
      <c r="I202" s="221">
        <f t="shared" si="287"/>
        <v>1.61</v>
      </c>
      <c r="J202" s="555">
        <f t="shared" si="288"/>
        <v>12</v>
      </c>
      <c r="K202" s="451">
        <f t="shared" si="289"/>
        <v>23.85</v>
      </c>
      <c r="L202" s="451">
        <f t="shared" si="290"/>
        <v>35.85</v>
      </c>
      <c r="M202" s="451"/>
      <c r="N202" s="221">
        <f t="shared" si="291"/>
        <v>0.66527196652719667</v>
      </c>
      <c r="O202" s="176">
        <f t="shared" si="292"/>
        <v>13.923050021857241</v>
      </c>
      <c r="P202" s="176">
        <f t="shared" si="293"/>
        <v>1.6243558358833448</v>
      </c>
      <c r="Q202" s="221">
        <f t="shared" si="294"/>
        <v>0.92820333479048278</v>
      </c>
      <c r="R202" s="221">
        <f t="shared" si="295"/>
        <v>1.9890071459796059</v>
      </c>
      <c r="S202" s="221">
        <f t="shared" si="296"/>
        <v>15</v>
      </c>
      <c r="T202" s="221">
        <f t="shared" si="297"/>
        <v>4.0637647578064664</v>
      </c>
      <c r="U202" s="221">
        <f t="shared" si="298"/>
        <v>2.3705294420537721</v>
      </c>
      <c r="V202" s="221">
        <f t="shared" si="299"/>
        <v>1.1927192161276838</v>
      </c>
      <c r="W202" s="201">
        <f t="shared" si="300"/>
        <v>350</v>
      </c>
      <c r="X202" s="451">
        <f t="shared" si="301"/>
        <v>280.64277740031798</v>
      </c>
      <c r="Z202" s="221">
        <f t="shared" si="302"/>
        <v>3.2584749380923919</v>
      </c>
      <c r="AA202" s="177">
        <f t="shared" si="303"/>
        <v>0.95636580992229525</v>
      </c>
      <c r="AB202" s="177">
        <f t="shared" si="304"/>
        <v>0.73256165472632317</v>
      </c>
      <c r="AC202" s="177"/>
      <c r="AD202" s="177">
        <f t="shared" si="305"/>
        <v>0.24067085953878403</v>
      </c>
      <c r="AE202" s="559">
        <f t="shared" si="306"/>
        <v>6940.8515339508822</v>
      </c>
      <c r="AF202" s="542">
        <f t="shared" si="307"/>
        <v>4.6392002252886505E-2</v>
      </c>
      <c r="AH202" s="177">
        <f t="shared" si="308"/>
        <v>3.5467720305560508</v>
      </c>
      <c r="AI202" s="177">
        <f t="shared" si="309"/>
        <v>4.0637647578064664</v>
      </c>
      <c r="AJ202" s="177">
        <f t="shared" si="310"/>
        <v>3.6027887094862718</v>
      </c>
      <c r="AL202" s="559">
        <f t="shared" si="311"/>
        <v>920</v>
      </c>
      <c r="AM202" s="469">
        <f t="shared" si="312"/>
        <v>280.64277740031798</v>
      </c>
      <c r="AO202">
        <f t="shared" si="313"/>
        <v>920</v>
      </c>
      <c r="AP202">
        <f t="shared" si="314"/>
        <v>280.64277740031798</v>
      </c>
      <c r="AR202" s="5">
        <f t="shared" si="333"/>
        <v>3.5632486581814558</v>
      </c>
      <c r="AS202" s="5">
        <f t="shared" si="324"/>
        <v>2.3705294420537721</v>
      </c>
      <c r="AT202" s="5">
        <f t="shared" si="325"/>
        <v>1.1927192161276836</v>
      </c>
      <c r="AU202" s="177">
        <f t="shared" si="326"/>
        <v>0.66527196652719678</v>
      </c>
      <c r="AW202" s="5">
        <f t="shared" si="315"/>
        <v>17.111543209876547</v>
      </c>
      <c r="AX202" s="5">
        <f t="shared" si="316"/>
        <v>52.134580134680149</v>
      </c>
      <c r="AY202" s="5">
        <f t="shared" si="317"/>
        <v>1.2123152482368027</v>
      </c>
      <c r="AZ202" s="5">
        <f t="shared" si="318"/>
        <v>2.3224375869894116</v>
      </c>
      <c r="BA202" s="5">
        <f t="shared" si="319"/>
        <v>2.1496845755003049</v>
      </c>
      <c r="BB202" s="5"/>
      <c r="BC202" s="5"/>
      <c r="BD202" s="177">
        <f t="shared" si="263"/>
        <v>1.9136721828105832</v>
      </c>
      <c r="BE202" s="177">
        <f t="shared" si="264"/>
        <v>1.8233988731584092</v>
      </c>
      <c r="BF202" s="177">
        <f t="shared" si="265"/>
        <v>0.42815252021631006</v>
      </c>
      <c r="BG202" s="177"/>
      <c r="BH202" s="542">
        <f t="shared" si="266"/>
        <v>0.4028355345589324</v>
      </c>
      <c r="BI202" s="542">
        <f t="shared" si="267"/>
        <v>0.20442857142857146</v>
      </c>
      <c r="BJ202" s="542">
        <f t="shared" si="268"/>
        <v>1.4032138870015899E-2</v>
      </c>
      <c r="BK202" s="542">
        <f t="shared" si="269"/>
        <v>8.1154892694910552E-2</v>
      </c>
      <c r="BL202">
        <f t="shared" si="270"/>
        <v>3.48E-3</v>
      </c>
      <c r="BM202" s="469">
        <f t="shared" si="271"/>
        <v>705.9311375524303</v>
      </c>
      <c r="BN202" s="177">
        <f t="shared" si="272"/>
        <v>0.82800000000000007</v>
      </c>
      <c r="BO202" s="177">
        <f t="shared" si="273"/>
        <v>0.20700000000000002</v>
      </c>
      <c r="BP202" s="542"/>
      <c r="BR202" s="469">
        <f t="shared" si="274"/>
        <v>1035.0000000000002</v>
      </c>
      <c r="BS202" s="542">
        <f t="shared" si="275"/>
        <v>0</v>
      </c>
      <c r="BT202" s="542">
        <f t="shared" si="276"/>
        <v>0</v>
      </c>
      <c r="BU202" s="542">
        <f t="shared" si="277"/>
        <v>0</v>
      </c>
      <c r="BV202" s="542">
        <f t="shared" si="278"/>
        <v>0</v>
      </c>
      <c r="BW202" s="647">
        <f t="shared" si="320"/>
        <v>0</v>
      </c>
      <c r="BX202" s="469">
        <f t="shared" si="327"/>
        <v>0</v>
      </c>
      <c r="BY202" s="177">
        <f t="shared" si="328"/>
        <v>1.7409311375524303</v>
      </c>
      <c r="BZ202" s="5">
        <f t="shared" si="329"/>
        <v>15.41</v>
      </c>
      <c r="CA202" s="177">
        <f t="shared" si="330"/>
        <v>0.89849349148509994</v>
      </c>
      <c r="CB202" s="5">
        <f t="shared" si="331"/>
        <v>89.849349148509987</v>
      </c>
      <c r="CC202">
        <f t="shared" si="332"/>
        <v>92</v>
      </c>
      <c r="CE202" s="576">
        <f t="shared" si="321"/>
        <v>-50</v>
      </c>
      <c r="CF202">
        <f t="shared" si="322"/>
        <v>-50</v>
      </c>
    </row>
    <row r="203" spans="5:84" x14ac:dyDescent="0.25">
      <c r="E203" s="174">
        <v>93</v>
      </c>
      <c r="F203" s="221">
        <f t="shared" si="323"/>
        <v>0.93</v>
      </c>
      <c r="G203" s="221">
        <f t="shared" si="285"/>
        <v>0.23250000000000001</v>
      </c>
      <c r="H203" s="221">
        <f t="shared" si="286"/>
        <v>13.950000000000001</v>
      </c>
      <c r="I203" s="221">
        <f t="shared" si="287"/>
        <v>1.6275000000000002</v>
      </c>
      <c r="J203" s="555">
        <f t="shared" si="288"/>
        <v>12</v>
      </c>
      <c r="K203" s="451">
        <f t="shared" si="289"/>
        <v>23.806532293318128</v>
      </c>
      <c r="L203" s="451">
        <f t="shared" si="290"/>
        <v>35.85</v>
      </c>
      <c r="M203" s="451"/>
      <c r="N203" s="221">
        <f t="shared" si="291"/>
        <v>0.66527196652719667</v>
      </c>
      <c r="O203" s="176">
        <f t="shared" si="292"/>
        <v>13.923050021857241</v>
      </c>
      <c r="P203" s="176">
        <f t="shared" si="293"/>
        <v>1.6243558358833448</v>
      </c>
      <c r="Q203" s="221">
        <f t="shared" si="294"/>
        <v>0.92820333479048278</v>
      </c>
      <c r="R203" s="221">
        <f t="shared" si="295"/>
        <v>1.9890071459796059</v>
      </c>
      <c r="S203" s="221">
        <f t="shared" si="296"/>
        <v>14.971021528878753</v>
      </c>
      <c r="T203" s="221">
        <f t="shared" si="297"/>
        <v>4.0999999999999996</v>
      </c>
      <c r="U203" s="221">
        <f t="shared" si="298"/>
        <v>2.3916666666666666</v>
      </c>
      <c r="V203" s="221">
        <f t="shared" si="299"/>
        <v>1.2055514699238805</v>
      </c>
      <c r="W203" s="201">
        <f t="shared" si="300"/>
        <v>350</v>
      </c>
      <c r="X203" s="451">
        <f t="shared" si="301"/>
        <v>277.99259372905385</v>
      </c>
      <c r="Z203" s="221">
        <f t="shared" si="302"/>
        <v>3.256484669397488</v>
      </c>
      <c r="AA203" s="177">
        <f t="shared" si="303"/>
        <v>0.95752679999432277</v>
      </c>
      <c r="AB203" s="177">
        <f t="shared" si="304"/>
        <v>0.73300296536298903</v>
      </c>
      <c r="AC203" s="177"/>
      <c r="AD203" s="177">
        <f t="shared" si="305"/>
        <v>0.2411102939847761</v>
      </c>
      <c r="AE203" s="559">
        <f t="shared" si="306"/>
        <v>7003.5080554689321</v>
      </c>
      <c r="AF203" s="542">
        <f t="shared" si="307"/>
        <v>4.6476708161393779E-2</v>
      </c>
      <c r="AH203" s="177">
        <f t="shared" si="308"/>
        <v>3.565995868002688</v>
      </c>
      <c r="AI203" s="177">
        <f t="shared" si="309"/>
        <v>4.0999999999999996</v>
      </c>
      <c r="AJ203" s="177">
        <f t="shared" si="310"/>
        <v>3.6296296296296298</v>
      </c>
      <c r="AL203" s="559">
        <f t="shared" si="311"/>
        <v>930</v>
      </c>
      <c r="AM203" s="469">
        <f t="shared" si="312"/>
        <v>277.99259372905385</v>
      </c>
      <c r="AO203" t="str">
        <f t="shared" si="313"/>
        <v/>
      </c>
      <c r="AP203" t="str">
        <f t="shared" si="314"/>
        <v/>
      </c>
      <c r="AR203" s="5">
        <f t="shared" si="333"/>
        <v>3.5972181365905467</v>
      </c>
      <c r="AS203" s="5">
        <f t="shared" si="324"/>
        <v>2.3916666666666666</v>
      </c>
      <c r="AT203" s="5">
        <f t="shared" si="325"/>
        <v>1.2055514699238801</v>
      </c>
      <c r="AU203" s="177">
        <f t="shared" si="326"/>
        <v>0.66486562000198712</v>
      </c>
      <c r="AW203" s="5">
        <f t="shared" si="315"/>
        <v>17.111543209876547</v>
      </c>
      <c r="AX203" s="5">
        <f t="shared" si="316"/>
        <v>53.243774053030329</v>
      </c>
      <c r="AY203" s="5">
        <f t="shared" si="317"/>
        <v>1.2123152482368027</v>
      </c>
      <c r="AZ203" s="5">
        <f t="shared" si="318"/>
        <v>2.3656182289545629</v>
      </c>
      <c r="BA203" s="5">
        <f t="shared" si="319"/>
        <v>2.196430178098157</v>
      </c>
      <c r="BB203" s="5"/>
      <c r="BC203" s="5"/>
      <c r="BD203" s="177">
        <f t="shared" si="263"/>
        <v>1.9301460283471992</v>
      </c>
      <c r="BE203" s="177">
        <f t="shared" si="264"/>
        <v>1.8407738128600537</v>
      </c>
      <c r="BF203" s="177">
        <f t="shared" si="265"/>
        <v>0.43223233200701261</v>
      </c>
      <c r="BG203" s="177"/>
      <c r="BH203" s="542">
        <f t="shared" si="266"/>
        <v>0.40980100598189134</v>
      </c>
      <c r="BI203" s="542">
        <f t="shared" si="267"/>
        <v>0.20430370694632491</v>
      </c>
      <c r="BJ203" s="542">
        <f t="shared" si="268"/>
        <v>1.3899629686452693E-2</v>
      </c>
      <c r="BK203" s="542">
        <f t="shared" si="269"/>
        <v>8.038852566613626E-2</v>
      </c>
      <c r="BL203">
        <f t="shared" si="270"/>
        <v>3.48E-3</v>
      </c>
      <c r="BM203" s="469">
        <f t="shared" si="271"/>
        <v>711.87286828080516</v>
      </c>
      <c r="BN203" s="177">
        <f t="shared" si="272"/>
        <v>0.83700000000000008</v>
      </c>
      <c r="BO203" s="177">
        <f t="shared" si="273"/>
        <v>0.20925000000000002</v>
      </c>
      <c r="BP203" s="542"/>
      <c r="BR203" s="469">
        <f t="shared" si="274"/>
        <v>1046.2500000000002</v>
      </c>
      <c r="BS203" s="542">
        <f t="shared" si="275"/>
        <v>0</v>
      </c>
      <c r="BT203" s="542">
        <f t="shared" si="276"/>
        <v>0</v>
      </c>
      <c r="BU203" s="542">
        <f t="shared" si="277"/>
        <v>0</v>
      </c>
      <c r="BV203" s="542">
        <f t="shared" si="278"/>
        <v>0</v>
      </c>
      <c r="BW203" s="647">
        <f t="shared" si="320"/>
        <v>0</v>
      </c>
      <c r="BX203" s="469">
        <f t="shared" si="327"/>
        <v>0</v>
      </c>
      <c r="BY203" s="177">
        <f t="shared" si="328"/>
        <v>1.7581228682808052</v>
      </c>
      <c r="BZ203" s="5">
        <f t="shared" si="329"/>
        <v>15.547405857740586</v>
      </c>
      <c r="CA203" s="177">
        <f t="shared" si="330"/>
        <v>0.89840686776375633</v>
      </c>
      <c r="CB203" s="5">
        <f t="shared" si="331"/>
        <v>89.840686776375634</v>
      </c>
      <c r="CC203">
        <f t="shared" si="332"/>
        <v>93</v>
      </c>
      <c r="CE203" s="576">
        <f t="shared" si="321"/>
        <v>277.99259372905385</v>
      </c>
      <c r="CF203">
        <f t="shared" si="322"/>
        <v>13.967896198504597</v>
      </c>
    </row>
    <row r="204" spans="5:84" x14ac:dyDescent="0.25">
      <c r="E204" s="174">
        <v>94</v>
      </c>
      <c r="F204" s="221">
        <f t="shared" si="323"/>
        <v>0.94</v>
      </c>
      <c r="G204" s="221">
        <f t="shared" si="285"/>
        <v>0.23499999999999999</v>
      </c>
      <c r="H204" s="221">
        <f t="shared" si="286"/>
        <v>14.1</v>
      </c>
      <c r="I204" s="221">
        <f t="shared" si="287"/>
        <v>1.645</v>
      </c>
      <c r="J204" s="555">
        <f t="shared" si="288"/>
        <v>12</v>
      </c>
      <c r="K204" s="451">
        <f t="shared" si="289"/>
        <v>23.567633013601984</v>
      </c>
      <c r="L204" s="451">
        <f t="shared" si="290"/>
        <v>35.85</v>
      </c>
      <c r="M204" s="451"/>
      <c r="N204" s="221">
        <f t="shared" si="291"/>
        <v>0.66527196652719667</v>
      </c>
      <c r="O204" s="176">
        <f t="shared" si="292"/>
        <v>13.923050021857241</v>
      </c>
      <c r="P204" s="176">
        <f t="shared" si="293"/>
        <v>1.6243558358833448</v>
      </c>
      <c r="Q204" s="221">
        <f t="shared" si="294"/>
        <v>0.92820333479048278</v>
      </c>
      <c r="R204" s="221">
        <f t="shared" si="295"/>
        <v>1.9890071459796059</v>
      </c>
      <c r="S204" s="221">
        <f t="shared" si="296"/>
        <v>14.811755342401321</v>
      </c>
      <c r="T204" s="221">
        <f t="shared" si="297"/>
        <v>4.0999999999999996</v>
      </c>
      <c r="U204" s="221">
        <f t="shared" si="298"/>
        <v>2.3916666666666666</v>
      </c>
      <c r="V204" s="221">
        <f t="shared" si="299"/>
        <v>1.2177718476622528</v>
      </c>
      <c r="W204" s="201">
        <f t="shared" si="300"/>
        <v>350</v>
      </c>
      <c r="X204" s="451">
        <f t="shared" si="301"/>
        <v>277.05140177070552</v>
      </c>
      <c r="Z204" s="221">
        <f t="shared" si="302"/>
        <v>3.2454592778854074</v>
      </c>
      <c r="AA204" s="177">
        <f t="shared" si="303"/>
        <v>0.96395827837636916</v>
      </c>
      <c r="AB204" s="177">
        <f t="shared" si="304"/>
        <v>0.73542799364632472</v>
      </c>
      <c r="AC204" s="177"/>
      <c r="AD204" s="177">
        <f t="shared" si="305"/>
        <v>0.24355436953245058</v>
      </c>
      <c r="AE204" s="559">
        <f t="shared" si="306"/>
        <v>7007.7784727375683</v>
      </c>
      <c r="AF204" s="542">
        <f t="shared" si="307"/>
        <v>4.6947831082262664E-2</v>
      </c>
      <c r="AH204" s="177">
        <f t="shared" si="308"/>
        <v>3.5851166263442247</v>
      </c>
      <c r="AI204" s="177">
        <f t="shared" si="309"/>
        <v>4.0999999999999996</v>
      </c>
      <c r="AJ204" s="177">
        <f t="shared" si="310"/>
        <v>3.6296296296296298</v>
      </c>
      <c r="AL204" s="559">
        <f t="shared" si="311"/>
        <v>940</v>
      </c>
      <c r="AM204" s="469">
        <f t="shared" si="312"/>
        <v>277.05140177070552</v>
      </c>
      <c r="AO204" t="str">
        <f t="shared" si="313"/>
        <v/>
      </c>
      <c r="AP204" t="str">
        <f t="shared" si="314"/>
        <v/>
      </c>
      <c r="AR204" s="5">
        <f t="shared" si="333"/>
        <v>3.6094385143289198</v>
      </c>
      <c r="AS204" s="5">
        <f t="shared" si="324"/>
        <v>2.3916666666666666</v>
      </c>
      <c r="AT204" s="5">
        <f t="shared" si="325"/>
        <v>1.2177718476622532</v>
      </c>
      <c r="AU204" s="177">
        <f t="shared" si="326"/>
        <v>0.66261460256827065</v>
      </c>
      <c r="AW204" s="5">
        <f t="shared" si="315"/>
        <v>17.111543209876547</v>
      </c>
      <c r="AX204" s="5">
        <f t="shared" si="316"/>
        <v>54.364634932659953</v>
      </c>
      <c r="AY204" s="5">
        <f t="shared" si="317"/>
        <v>1.2123152482368027</v>
      </c>
      <c r="AZ204" s="5">
        <f t="shared" si="318"/>
        <v>2.4091846075896077</v>
      </c>
      <c r="BA204" s="5">
        <f t="shared" si="319"/>
        <v>2.2425517826248162</v>
      </c>
      <c r="BB204" s="5"/>
      <c r="BC204" s="5"/>
      <c r="BD204" s="177">
        <f t="shared" si="263"/>
        <v>1.9268758366133012</v>
      </c>
      <c r="BE204" s="177">
        <f t="shared" si="264"/>
        <v>1.8469454853965532</v>
      </c>
      <c r="BF204" s="177">
        <f t="shared" si="265"/>
        <v>0.43368150321653237</v>
      </c>
      <c r="BG204" s="177"/>
      <c r="BH204" s="542">
        <f t="shared" si="266"/>
        <v>0.40841355386966305</v>
      </c>
      <c r="BI204" s="542">
        <f t="shared" si="267"/>
        <v>0.20361200144633573</v>
      </c>
      <c r="BJ204" s="542">
        <f t="shared" si="268"/>
        <v>1.3852570088535274E-2</v>
      </c>
      <c r="BK204" s="542">
        <f t="shared" si="269"/>
        <v>8.0116356422756385E-2</v>
      </c>
      <c r="BL204">
        <f t="shared" si="270"/>
        <v>3.48E-3</v>
      </c>
      <c r="BM204" s="469">
        <f t="shared" si="271"/>
        <v>709.47448182729045</v>
      </c>
      <c r="BN204" s="177">
        <f t="shared" si="272"/>
        <v>0.84599999999999997</v>
      </c>
      <c r="BO204" s="177">
        <f t="shared" si="273"/>
        <v>0.21149999999999999</v>
      </c>
      <c r="BP204" s="542"/>
      <c r="BR204" s="469">
        <f t="shared" si="274"/>
        <v>1057.4999999999998</v>
      </c>
      <c r="BS204" s="542">
        <f t="shared" si="275"/>
        <v>0</v>
      </c>
      <c r="BT204" s="542">
        <f t="shared" si="276"/>
        <v>0</v>
      </c>
      <c r="BU204" s="542">
        <f t="shared" si="277"/>
        <v>0</v>
      </c>
      <c r="BV204" s="542">
        <f t="shared" si="278"/>
        <v>0</v>
      </c>
      <c r="BW204" s="647">
        <f t="shared" si="320"/>
        <v>0</v>
      </c>
      <c r="BX204" s="469">
        <f t="shared" si="327"/>
        <v>0</v>
      </c>
      <c r="BY204" s="177">
        <f t="shared" si="328"/>
        <v>1.7669744818272903</v>
      </c>
      <c r="BZ204" s="5">
        <f t="shared" si="329"/>
        <v>15.547405857740586</v>
      </c>
      <c r="CA204" s="177">
        <f t="shared" si="330"/>
        <v>0.89794757610878551</v>
      </c>
      <c r="CB204" s="5">
        <f t="shared" si="331"/>
        <v>89.794757610878548</v>
      </c>
      <c r="CC204">
        <f t="shared" si="332"/>
        <v>94</v>
      </c>
      <c r="CE204" s="576">
        <f t="shared" si="321"/>
        <v>-50</v>
      </c>
      <c r="CF204">
        <f t="shared" si="322"/>
        <v>-50</v>
      </c>
    </row>
    <row r="205" spans="5:84" x14ac:dyDescent="0.25">
      <c r="E205" s="174">
        <v>95</v>
      </c>
      <c r="F205" s="221">
        <f t="shared" si="323"/>
        <v>0.95</v>
      </c>
      <c r="G205" s="221">
        <f t="shared" si="285"/>
        <v>0.23749999999999999</v>
      </c>
      <c r="H205" s="221">
        <f t="shared" si="286"/>
        <v>14.25</v>
      </c>
      <c r="I205" s="221">
        <f t="shared" si="287"/>
        <v>1.6624999999999999</v>
      </c>
      <c r="J205" s="555">
        <f t="shared" si="288"/>
        <v>12</v>
      </c>
      <c r="K205" s="451">
        <f t="shared" si="289"/>
        <v>23.33376319240617</v>
      </c>
      <c r="L205" s="451">
        <f t="shared" si="290"/>
        <v>35.85</v>
      </c>
      <c r="M205" s="451"/>
      <c r="N205" s="221">
        <f t="shared" si="291"/>
        <v>0.66527196652719667</v>
      </c>
      <c r="O205" s="176">
        <f t="shared" si="292"/>
        <v>13.923050021857241</v>
      </c>
      <c r="P205" s="176">
        <f t="shared" si="293"/>
        <v>1.6243558358833448</v>
      </c>
      <c r="Q205" s="221">
        <f t="shared" si="294"/>
        <v>0.92820333479048278</v>
      </c>
      <c r="R205" s="221">
        <f t="shared" si="295"/>
        <v>1.9890071459796059</v>
      </c>
      <c r="S205" s="221">
        <f t="shared" si="296"/>
        <v>14.65584212827078</v>
      </c>
      <c r="T205" s="221">
        <f t="shared" si="297"/>
        <v>4.0999999999999996</v>
      </c>
      <c r="U205" s="221">
        <f t="shared" si="298"/>
        <v>2.3916666666666666</v>
      </c>
      <c r="V205" s="221">
        <f t="shared" si="299"/>
        <v>1.2299773407034591</v>
      </c>
      <c r="W205" s="201">
        <f t="shared" si="300"/>
        <v>350</v>
      </c>
      <c r="X205" s="451">
        <f t="shared" si="301"/>
        <v>276.11769626307222</v>
      </c>
      <c r="Z205" s="221">
        <f t="shared" si="302"/>
        <v>3.2345215847959885</v>
      </c>
      <c r="AA205" s="177">
        <f t="shared" si="303"/>
        <v>0.97033859934519706</v>
      </c>
      <c r="AB205" s="177">
        <f t="shared" si="304"/>
        <v>0.73780079134698895</v>
      </c>
      <c r="AC205" s="177"/>
      <c r="AD205" s="177">
        <f t="shared" si="305"/>
        <v>0.24599546814069184</v>
      </c>
      <c r="AE205" s="559">
        <f t="shared" si="306"/>
        <v>7012.0488900061982</v>
      </c>
      <c r="AF205" s="542">
        <f t="shared" si="307"/>
        <v>4.741838016473187E-2</v>
      </c>
      <c r="AH205" s="177">
        <f t="shared" si="308"/>
        <v>3.6041359461551039</v>
      </c>
      <c r="AI205" s="177">
        <f t="shared" si="309"/>
        <v>4.0999999999999996</v>
      </c>
      <c r="AJ205" s="177">
        <f t="shared" si="310"/>
        <v>3.6296296296296298</v>
      </c>
      <c r="AL205" s="559">
        <f t="shared" si="311"/>
        <v>950</v>
      </c>
      <c r="AM205" s="469">
        <f t="shared" si="312"/>
        <v>276.11769626307222</v>
      </c>
      <c r="AO205" t="str">
        <f t="shared" si="313"/>
        <v/>
      </c>
      <c r="AP205" t="str">
        <f t="shared" si="314"/>
        <v/>
      </c>
      <c r="AR205" s="5">
        <f t="shared" si="333"/>
        <v>3.6216440073701257</v>
      </c>
      <c r="AS205" s="5">
        <f t="shared" si="324"/>
        <v>2.3916666666666666</v>
      </c>
      <c r="AT205" s="5">
        <f t="shared" si="325"/>
        <v>1.2299773407034591</v>
      </c>
      <c r="AU205" s="177">
        <f t="shared" si="326"/>
        <v>0.66038149022918102</v>
      </c>
      <c r="AW205" s="5">
        <f t="shared" si="315"/>
        <v>17.111543209876547</v>
      </c>
      <c r="AX205" s="5">
        <f t="shared" si="316"/>
        <v>55.497162773569038</v>
      </c>
      <c r="AY205" s="5">
        <f t="shared" si="317"/>
        <v>1.2123152482368027</v>
      </c>
      <c r="AZ205" s="5">
        <f t="shared" si="318"/>
        <v>2.4531367228945458</v>
      </c>
      <c r="BA205" s="5">
        <f t="shared" si="319"/>
        <v>2.2891244951981045</v>
      </c>
      <c r="BB205" s="5"/>
      <c r="BC205" s="5"/>
      <c r="BD205" s="177">
        <f t="shared" si="263"/>
        <v>1.9236261635041021</v>
      </c>
      <c r="BE205" s="177">
        <f t="shared" si="264"/>
        <v>1.8530477567056391</v>
      </c>
      <c r="BF205" s="177">
        <f t="shared" si="265"/>
        <v>0.43511437831505839</v>
      </c>
      <c r="BG205" s="177"/>
      <c r="BH205" s="542">
        <f t="shared" si="266"/>
        <v>0.40703713786092616</v>
      </c>
      <c r="BI205" s="542">
        <f t="shared" si="267"/>
        <v>0.20292579792613835</v>
      </c>
      <c r="BJ205" s="542">
        <f t="shared" si="268"/>
        <v>1.380588481315361E-2</v>
      </c>
      <c r="BK205" s="542">
        <f t="shared" si="269"/>
        <v>7.9846352074229937E-2</v>
      </c>
      <c r="BL205">
        <f t="shared" si="270"/>
        <v>3.48E-3</v>
      </c>
      <c r="BM205" s="469">
        <f t="shared" si="271"/>
        <v>707.09517267444812</v>
      </c>
      <c r="BN205" s="177">
        <f t="shared" si="272"/>
        <v>0.85499999999999998</v>
      </c>
      <c r="BO205" s="177">
        <f t="shared" si="273"/>
        <v>0.21375</v>
      </c>
      <c r="BP205" s="542"/>
      <c r="BR205" s="469">
        <f t="shared" si="274"/>
        <v>1068.75</v>
      </c>
      <c r="BS205" s="542">
        <f t="shared" si="275"/>
        <v>0</v>
      </c>
      <c r="BT205" s="542">
        <f t="shared" si="276"/>
        <v>0</v>
      </c>
      <c r="BU205" s="542">
        <f t="shared" si="277"/>
        <v>0</v>
      </c>
      <c r="BV205" s="542">
        <f t="shared" si="278"/>
        <v>0</v>
      </c>
      <c r="BW205" s="647">
        <f t="shared" si="320"/>
        <v>0</v>
      </c>
      <c r="BX205" s="469">
        <f t="shared" si="327"/>
        <v>0</v>
      </c>
      <c r="BY205" s="177">
        <f t="shared" si="328"/>
        <v>1.775845172674448</v>
      </c>
      <c r="BZ205" s="5">
        <f t="shared" si="329"/>
        <v>15.547405857740586</v>
      </c>
      <c r="CA205" s="177">
        <f t="shared" si="330"/>
        <v>0.89748776545715725</v>
      </c>
      <c r="CB205" s="5">
        <f t="shared" si="331"/>
        <v>89.748776545715728</v>
      </c>
      <c r="CC205">
        <f t="shared" si="332"/>
        <v>95</v>
      </c>
      <c r="CE205" s="576">
        <f t="shared" si="321"/>
        <v>-50</v>
      </c>
      <c r="CF205">
        <f t="shared" si="322"/>
        <v>-50</v>
      </c>
    </row>
    <row r="206" spans="5:84" x14ac:dyDescent="0.25">
      <c r="E206" s="174">
        <v>96</v>
      </c>
      <c r="F206" s="221">
        <f t="shared" si="323"/>
        <v>0.96</v>
      </c>
      <c r="G206" s="221">
        <f t="shared" si="285"/>
        <v>0.24</v>
      </c>
      <c r="H206" s="221">
        <f t="shared" si="286"/>
        <v>14.399999999999999</v>
      </c>
      <c r="I206" s="221">
        <f t="shared" si="287"/>
        <v>1.68</v>
      </c>
      <c r="J206" s="555">
        <f t="shared" si="288"/>
        <v>12</v>
      </c>
      <c r="K206" s="451">
        <f t="shared" si="289"/>
        <v>23.104765659151941</v>
      </c>
      <c r="L206" s="451">
        <f t="shared" si="290"/>
        <v>35.85</v>
      </c>
      <c r="M206" s="451"/>
      <c r="N206" s="221">
        <f t="shared" si="291"/>
        <v>0.66527196652719667</v>
      </c>
      <c r="O206" s="176">
        <f t="shared" ref="O206:O210" si="334">N206*J206*Isw_max*0.5*Efficiency*Pout/(Pout+Pout2)</f>
        <v>13.923050021857241</v>
      </c>
      <c r="P206" s="176">
        <f t="shared" si="293"/>
        <v>1.6243558358833448</v>
      </c>
      <c r="Q206" s="221">
        <f t="shared" si="294"/>
        <v>0.92820333479048278</v>
      </c>
      <c r="R206" s="221">
        <f t="shared" si="295"/>
        <v>1.9890071459796059</v>
      </c>
      <c r="S206" s="221">
        <f t="shared" si="296"/>
        <v>14.503177106101294</v>
      </c>
      <c r="T206" s="221">
        <f t="shared" si="297"/>
        <v>4.0999999999999996</v>
      </c>
      <c r="U206" s="221">
        <f t="shared" si="298"/>
        <v>2.3916666666666666</v>
      </c>
      <c r="V206" s="221">
        <f t="shared" si="299"/>
        <v>1.2421679762257942</v>
      </c>
      <c r="W206" s="201">
        <f t="shared" si="300"/>
        <v>350</v>
      </c>
      <c r="X206" s="451">
        <f t="shared" si="301"/>
        <v>275.19138823664792</v>
      </c>
      <c r="Z206" s="221">
        <f t="shared" si="302"/>
        <v>3.2236705479150181</v>
      </c>
      <c r="AA206" s="177">
        <f t="shared" si="303"/>
        <v>0.97666837085909652</v>
      </c>
      <c r="AB206" s="177">
        <f t="shared" ref="AB206:AB210" si="335">0.5*AA206*Z206*Nps*W206/1000*(Pout/(Pout+Pout2))</f>
        <v>0.74012236910362894</v>
      </c>
      <c r="AC206" s="177"/>
      <c r="AD206" s="177">
        <f t="shared" si="305"/>
        <v>0.24843359524515884</v>
      </c>
      <c r="AE206" s="559">
        <f t="shared" ref="AE206:AE210" si="336">MAX(10, F206/(0.5*AD206/1000000*Isw_min*Nps)/1000*Pout_total/Pout)</f>
        <v>7016.3193072748318</v>
      </c>
      <c r="AF206" s="542">
        <f t="shared" si="307"/>
        <v>4.7888356456585464E-2</v>
      </c>
      <c r="AH206" s="177">
        <f t="shared" si="308"/>
        <v>3.6230554249479674</v>
      </c>
      <c r="AI206" s="177">
        <f t="shared" ref="AI206:AI210" si="337">MAX(IF(F206&gt;AB206,T206,AH206),Isw_min)</f>
        <v>4.0999999999999996</v>
      </c>
      <c r="AJ206" s="177">
        <f t="shared" ref="AJ206:AJ210" si="338">IF(F206&gt;AF206, (AI206-Isw_min)/1.08*0.8+1.2, AE206*0.2/350+1)</f>
        <v>3.6296296296296298</v>
      </c>
      <c r="AL206" s="559">
        <f t="shared" si="311"/>
        <v>960</v>
      </c>
      <c r="AM206" s="469">
        <f t="shared" si="312"/>
        <v>275.19138823664792</v>
      </c>
      <c r="AO206" t="str">
        <f t="shared" si="313"/>
        <v/>
      </c>
      <c r="AP206" t="str">
        <f t="shared" si="314"/>
        <v/>
      </c>
      <c r="AR206" s="5">
        <f t="shared" si="333"/>
        <v>3.6338346428924604</v>
      </c>
      <c r="AS206" s="5">
        <f t="shared" si="324"/>
        <v>2.3916666666666666</v>
      </c>
      <c r="AT206" s="5">
        <f t="shared" si="325"/>
        <v>1.2421679762257938</v>
      </c>
      <c r="AU206" s="177">
        <f t="shared" si="326"/>
        <v>0.65816607019931628</v>
      </c>
      <c r="AW206" s="5">
        <f t="shared" si="315"/>
        <v>17.111543209876547</v>
      </c>
      <c r="AX206" s="5">
        <f t="shared" si="316"/>
        <v>56.641357575757588</v>
      </c>
      <c r="AY206" s="5">
        <f t="shared" si="317"/>
        <v>1.2123152482368027</v>
      </c>
      <c r="AZ206" s="5">
        <f t="shared" si="318"/>
        <v>2.4974745748693774</v>
      </c>
      <c r="BA206" s="5">
        <f t="shared" si="319"/>
        <v>2.3361474921299137</v>
      </c>
      <c r="BB206" s="5"/>
      <c r="BC206" s="5"/>
      <c r="BD206" s="177">
        <f t="shared" si="263"/>
        <v>1.9203968027511489</v>
      </c>
      <c r="BE206" s="177">
        <f t="shared" si="264"/>
        <v>1.8590818888201757</v>
      </c>
      <c r="BF206" s="177">
        <f t="shared" si="265"/>
        <v>0.43653125364068684</v>
      </c>
      <c r="BG206" s="177"/>
      <c r="BH206" s="542">
        <f t="shared" si="266"/>
        <v>0.40567162680185187</v>
      </c>
      <c r="BI206" s="542">
        <f t="shared" si="267"/>
        <v>0.20224503099981844</v>
      </c>
      <c r="BJ206" s="542">
        <f t="shared" si="268"/>
        <v>1.3759569411832396E-2</v>
      </c>
      <c r="BK206" s="542">
        <f t="shared" si="269"/>
        <v>7.9578486892794439E-2</v>
      </c>
      <c r="BL206">
        <f t="shared" si="270"/>
        <v>3.48E-3</v>
      </c>
      <c r="BM206" s="469">
        <f t="shared" si="271"/>
        <v>704.73471410629725</v>
      </c>
      <c r="BN206" s="177">
        <f t="shared" si="272"/>
        <v>0.86399999999999999</v>
      </c>
      <c r="BO206" s="177">
        <f t="shared" si="273"/>
        <v>0.216</v>
      </c>
      <c r="BP206" s="542"/>
      <c r="BR206" s="469">
        <f t="shared" si="274"/>
        <v>1080</v>
      </c>
      <c r="BS206" s="542">
        <f t="shared" si="275"/>
        <v>0</v>
      </c>
      <c r="BT206" s="542">
        <f t="shared" si="276"/>
        <v>0</v>
      </c>
      <c r="BU206" s="542">
        <f t="shared" si="277"/>
        <v>0</v>
      </c>
      <c r="BV206" s="542">
        <f t="shared" si="278"/>
        <v>0</v>
      </c>
      <c r="BW206" s="647">
        <f t="shared" si="320"/>
        <v>0</v>
      </c>
      <c r="BX206" s="469">
        <f t="shared" si="327"/>
        <v>0</v>
      </c>
      <c r="BY206" s="177">
        <f t="shared" si="328"/>
        <v>1.7847347141062972</v>
      </c>
      <c r="BZ206" s="5">
        <f t="shared" si="329"/>
        <v>15.547405857740586</v>
      </c>
      <c r="CA206" s="177">
        <f t="shared" si="330"/>
        <v>0.89702744985779226</v>
      </c>
      <c r="CB206" s="5">
        <f t="shared" si="331"/>
        <v>89.702744985779219</v>
      </c>
      <c r="CC206">
        <f t="shared" si="332"/>
        <v>96</v>
      </c>
      <c r="CE206" s="576">
        <f t="shared" si="321"/>
        <v>-50</v>
      </c>
      <c r="CF206">
        <f t="shared" si="322"/>
        <v>-50</v>
      </c>
    </row>
    <row r="207" spans="5:84" x14ac:dyDescent="0.25">
      <c r="E207" s="174">
        <v>97</v>
      </c>
      <c r="F207" s="221">
        <f t="shared" ref="F207:F210" si="339">IF(PLOT_TYPE=1, E207/100*Iout_max, min_I*EXP(O207*rr/100))</f>
        <v>0.97</v>
      </c>
      <c r="G207" s="221">
        <f t="shared" si="285"/>
        <v>0.24249999999999999</v>
      </c>
      <c r="H207" s="221">
        <f t="shared" si="286"/>
        <v>14.549999999999999</v>
      </c>
      <c r="I207" s="221">
        <f t="shared" si="287"/>
        <v>1.6975</v>
      </c>
      <c r="J207" s="555">
        <f t="shared" si="288"/>
        <v>12</v>
      </c>
      <c r="K207" s="451">
        <f t="shared" si="289"/>
        <v>22.88048972452151</v>
      </c>
      <c r="L207" s="451">
        <f t="shared" si="290"/>
        <v>35.85</v>
      </c>
      <c r="M207" s="451"/>
      <c r="N207" s="221">
        <f t="shared" si="291"/>
        <v>0.66527196652719667</v>
      </c>
      <c r="O207" s="176">
        <f t="shared" si="334"/>
        <v>13.923050021857241</v>
      </c>
      <c r="P207" s="176">
        <f t="shared" si="293"/>
        <v>1.6243558358833448</v>
      </c>
      <c r="Q207" s="221">
        <f t="shared" si="294"/>
        <v>0.92820333479048278</v>
      </c>
      <c r="R207" s="221">
        <f t="shared" si="295"/>
        <v>1.9890071459796059</v>
      </c>
      <c r="S207" s="221">
        <f t="shared" si="296"/>
        <v>14.353659816347673</v>
      </c>
      <c r="T207" s="221">
        <f t="shared" si="297"/>
        <v>4.0999999999999996</v>
      </c>
      <c r="U207" s="221">
        <f t="shared" si="298"/>
        <v>2.3916666666666666</v>
      </c>
      <c r="V207" s="221">
        <f t="shared" si="299"/>
        <v>1.2543437813414278</v>
      </c>
      <c r="W207" s="201">
        <f t="shared" si="300"/>
        <v>350</v>
      </c>
      <c r="X207" s="451">
        <f t="shared" si="301"/>
        <v>274.27239012612398</v>
      </c>
      <c r="Z207" s="221">
        <f t="shared" si="302"/>
        <v>3.2129051414774517</v>
      </c>
      <c r="AA207" s="177">
        <f t="shared" si="303"/>
        <v>0.9829481912810103</v>
      </c>
      <c r="AB207" s="177">
        <f t="shared" si="335"/>
        <v>0.74239371547418409</v>
      </c>
      <c r="AC207" s="177"/>
      <c r="AD207" s="177">
        <f t="shared" si="305"/>
        <v>0.25086875626828559</v>
      </c>
      <c r="AE207" s="559">
        <f t="shared" si="336"/>
        <v>7020.5897245434653</v>
      </c>
      <c r="AF207" s="542">
        <f t="shared" si="307"/>
        <v>4.8357761003058337E-2</v>
      </c>
      <c r="AH207" s="177">
        <f t="shared" si="308"/>
        <v>3.6418766187396363</v>
      </c>
      <c r="AI207" s="177">
        <f t="shared" si="337"/>
        <v>4.0999999999999996</v>
      </c>
      <c r="AJ207" s="177">
        <f t="shared" si="338"/>
        <v>3.6296296296296298</v>
      </c>
      <c r="AL207" s="559">
        <f t="shared" si="311"/>
        <v>970</v>
      </c>
      <c r="AM207" s="469">
        <f t="shared" si="312"/>
        <v>274.27239012612398</v>
      </c>
      <c r="AO207" t="str">
        <f t="shared" si="313"/>
        <v/>
      </c>
      <c r="AP207" t="str">
        <f t="shared" si="314"/>
        <v/>
      </c>
      <c r="AR207" s="5">
        <f t="shared" si="333"/>
        <v>3.6460104480080942</v>
      </c>
      <c r="AS207" s="5">
        <f t="shared" si="324"/>
        <v>2.3916666666666666</v>
      </c>
      <c r="AT207" s="5">
        <f t="shared" si="325"/>
        <v>1.2543437813414275</v>
      </c>
      <c r="AU207" s="177">
        <f t="shared" si="326"/>
        <v>0.65596813305164647</v>
      </c>
      <c r="AW207" s="5">
        <f t="shared" si="315"/>
        <v>17.111543209876547</v>
      </c>
      <c r="AX207" s="5">
        <f t="shared" si="316"/>
        <v>57.797219339225606</v>
      </c>
      <c r="AY207" s="5">
        <f t="shared" si="317"/>
        <v>1.2123152482368027</v>
      </c>
      <c r="AZ207" s="5">
        <f t="shared" si="318"/>
        <v>2.5421981635141035</v>
      </c>
      <c r="BA207" s="5">
        <f t="shared" si="319"/>
        <v>2.3836199517362391</v>
      </c>
      <c r="BB207" s="5"/>
      <c r="BC207" s="5"/>
      <c r="BD207" s="177">
        <f t="shared" si="263"/>
        <v>1.9171875509539293</v>
      </c>
      <c r="BE207" s="177">
        <f t="shared" si="264"/>
        <v>1.865049110775882</v>
      </c>
      <c r="BF207" s="177">
        <f t="shared" si="265"/>
        <v>0.43793241778345071</v>
      </c>
      <c r="BG207" s="177"/>
      <c r="BH207" s="542">
        <f t="shared" si="266"/>
        <v>0.40431689160859979</v>
      </c>
      <c r="BI207" s="542">
        <f t="shared" si="267"/>
        <v>0.20156963631344166</v>
      </c>
      <c r="BJ207" s="542">
        <f t="shared" si="268"/>
        <v>1.3713619506306198E-2</v>
      </c>
      <c r="BK207" s="542">
        <f t="shared" si="269"/>
        <v>7.9312735556746297E-2</v>
      </c>
      <c r="BL207">
        <f t="shared" si="270"/>
        <v>3.48E-3</v>
      </c>
      <c r="BM207" s="469">
        <f t="shared" si="271"/>
        <v>702.39288298509405</v>
      </c>
      <c r="BN207" s="177">
        <f t="shared" si="272"/>
        <v>0.873</v>
      </c>
      <c r="BO207" s="177">
        <f t="shared" si="273"/>
        <v>0.21825</v>
      </c>
      <c r="BP207" s="542"/>
      <c r="BR207" s="469">
        <f t="shared" si="274"/>
        <v>1091.25</v>
      </c>
      <c r="BS207" s="542">
        <f t="shared" si="275"/>
        <v>0</v>
      </c>
      <c r="BT207" s="542">
        <f t="shared" si="276"/>
        <v>0</v>
      </c>
      <c r="BU207" s="542">
        <f t="shared" si="277"/>
        <v>0</v>
      </c>
      <c r="BV207" s="542">
        <f t="shared" si="278"/>
        <v>0</v>
      </c>
      <c r="BW207" s="647">
        <f t="shared" si="320"/>
        <v>0</v>
      </c>
      <c r="BX207" s="469">
        <f t="shared" si="327"/>
        <v>0</v>
      </c>
      <c r="BY207" s="177">
        <f t="shared" si="328"/>
        <v>1.7936428829850941</v>
      </c>
      <c r="BZ207" s="5">
        <f t="shared" si="329"/>
        <v>15.547405857740586</v>
      </c>
      <c r="CA207" s="177">
        <f t="shared" si="330"/>
        <v>0.89656664312506662</v>
      </c>
      <c r="CB207" s="5">
        <f t="shared" si="331"/>
        <v>89.656664312506663</v>
      </c>
      <c r="CC207">
        <f t="shared" si="332"/>
        <v>97</v>
      </c>
      <c r="CE207" s="576">
        <f t="shared" si="321"/>
        <v>-50</v>
      </c>
      <c r="CF207">
        <f t="shared" si="322"/>
        <v>-50</v>
      </c>
    </row>
    <row r="208" spans="5:84" x14ac:dyDescent="0.25">
      <c r="E208" s="174">
        <v>98</v>
      </c>
      <c r="F208" s="221">
        <f t="shared" si="339"/>
        <v>0.98</v>
      </c>
      <c r="G208" s="221">
        <f t="shared" si="285"/>
        <v>0.245</v>
      </c>
      <c r="H208" s="221">
        <f t="shared" si="286"/>
        <v>14.7</v>
      </c>
      <c r="I208" s="221">
        <f t="shared" si="287"/>
        <v>1.7149999999999999</v>
      </c>
      <c r="J208" s="555">
        <f t="shared" si="288"/>
        <v>12</v>
      </c>
      <c r="K208" s="451">
        <f t="shared" si="289"/>
        <v>22.660790849781492</v>
      </c>
      <c r="L208" s="451">
        <f t="shared" si="290"/>
        <v>35.85</v>
      </c>
      <c r="M208" s="451"/>
      <c r="N208" s="221">
        <f t="shared" si="291"/>
        <v>0.66527196652719667</v>
      </c>
      <c r="O208" s="176">
        <f t="shared" si="334"/>
        <v>13.923050021857241</v>
      </c>
      <c r="P208" s="176">
        <f t="shared" si="293"/>
        <v>1.6243558358833448</v>
      </c>
      <c r="Q208" s="221">
        <f t="shared" si="294"/>
        <v>0.92820333479048278</v>
      </c>
      <c r="R208" s="221">
        <f t="shared" si="295"/>
        <v>1.9890071459796059</v>
      </c>
      <c r="S208" s="221">
        <f t="shared" si="296"/>
        <v>14.207193899854328</v>
      </c>
      <c r="T208" s="221">
        <f t="shared" si="297"/>
        <v>4.0999999999999996</v>
      </c>
      <c r="U208" s="221">
        <f t="shared" si="298"/>
        <v>2.3916666666666666</v>
      </c>
      <c r="V208" s="221">
        <f t="shared" si="299"/>
        <v>1.266504783096603</v>
      </c>
      <c r="W208" s="201">
        <f t="shared" si="300"/>
        <v>350</v>
      </c>
      <c r="X208" s="451">
        <f t="shared" si="301"/>
        <v>273.36061574279483</v>
      </c>
      <c r="Z208" s="221">
        <f t="shared" si="302"/>
        <v>3.2022243558441681</v>
      </c>
      <c r="AA208" s="177">
        <f t="shared" si="303"/>
        <v>0.98917864956709234</v>
      </c>
      <c r="AB208" s="177">
        <f t="shared" si="335"/>
        <v>0.74461579748978191</v>
      </c>
      <c r="AC208" s="177"/>
      <c r="AD208" s="177">
        <f t="shared" si="305"/>
        <v>0.25330095661932062</v>
      </c>
      <c r="AE208" s="559">
        <f t="shared" si="336"/>
        <v>7024.8601418120961</v>
      </c>
      <c r="AF208" s="542">
        <f t="shared" si="307"/>
        <v>4.8826594846843673E-2</v>
      </c>
      <c r="AH208" s="177">
        <f t="shared" si="308"/>
        <v>3.660601043544625</v>
      </c>
      <c r="AI208" s="177">
        <f t="shared" si="337"/>
        <v>4.0999999999999996</v>
      </c>
      <c r="AJ208" s="177">
        <f t="shared" si="338"/>
        <v>3.6296296296296298</v>
      </c>
      <c r="AL208" s="559">
        <f t="shared" si="311"/>
        <v>980</v>
      </c>
      <c r="AM208" s="469">
        <f t="shared" si="312"/>
        <v>273.36061574279483</v>
      </c>
      <c r="AO208" t="str">
        <f t="shared" si="313"/>
        <v/>
      </c>
      <c r="AP208" t="str">
        <f t="shared" si="314"/>
        <v/>
      </c>
      <c r="AR208" s="5">
        <f t="shared" si="333"/>
        <v>3.65817144976327</v>
      </c>
      <c r="AS208" s="5">
        <f t="shared" si="324"/>
        <v>2.3916666666666666</v>
      </c>
      <c r="AT208" s="5">
        <f t="shared" si="325"/>
        <v>1.2665047830966034</v>
      </c>
      <c r="AU208" s="177">
        <f t="shared" si="326"/>
        <v>0.65378747265151771</v>
      </c>
      <c r="AW208" s="5">
        <f t="shared" si="315"/>
        <v>17.111543209876547</v>
      </c>
      <c r="AX208" s="5">
        <f t="shared" si="316"/>
        <v>58.964748063973076</v>
      </c>
      <c r="AY208" s="5">
        <f t="shared" si="317"/>
        <v>1.2123152482368027</v>
      </c>
      <c r="AZ208" s="5">
        <f t="shared" si="318"/>
        <v>2.587307488828722</v>
      </c>
      <c r="BA208" s="5">
        <f t="shared" si="319"/>
        <v>2.4315410543310816</v>
      </c>
      <c r="BB208" s="5"/>
      <c r="BC208" s="5"/>
      <c r="BD208" s="177">
        <f t="shared" si="263"/>
        <v>1.9139982075289421</v>
      </c>
      <c r="BE208" s="177">
        <f t="shared" si="264"/>
        <v>1.8709506197654455</v>
      </c>
      <c r="BF208" s="177">
        <f t="shared" si="265"/>
        <v>0.43931815185631662</v>
      </c>
      <c r="BG208" s="177"/>
      <c r="BH208" s="542">
        <f t="shared" si="266"/>
        <v>0.40297280522664036</v>
      </c>
      <c r="BI208" s="542">
        <f t="shared" si="267"/>
        <v>0.20089955052477348</v>
      </c>
      <c r="BJ208" s="542">
        <f t="shared" si="268"/>
        <v>1.3668030787139742E-2</v>
      </c>
      <c r="BK208" s="542">
        <f t="shared" si="269"/>
        <v>7.9049073142461179E-2</v>
      </c>
      <c r="BL208">
        <f t="shared" si="270"/>
        <v>3.48E-3</v>
      </c>
      <c r="BM208" s="469">
        <f t="shared" si="271"/>
        <v>700.06945968101479</v>
      </c>
      <c r="BN208" s="177">
        <f t="shared" si="272"/>
        <v>0.88200000000000001</v>
      </c>
      <c r="BO208" s="177">
        <f t="shared" si="273"/>
        <v>0.2205</v>
      </c>
      <c r="BP208" s="542"/>
      <c r="BR208" s="469">
        <f t="shared" si="274"/>
        <v>1102.5</v>
      </c>
      <c r="BS208" s="542">
        <f t="shared" si="275"/>
        <v>0</v>
      </c>
      <c r="BT208" s="542">
        <f t="shared" si="276"/>
        <v>0</v>
      </c>
      <c r="BU208" s="542">
        <f t="shared" si="277"/>
        <v>0</v>
      </c>
      <c r="BV208" s="542">
        <f t="shared" si="278"/>
        <v>0</v>
      </c>
      <c r="BW208" s="647">
        <f t="shared" si="320"/>
        <v>0</v>
      </c>
      <c r="BX208" s="469">
        <f t="shared" si="327"/>
        <v>0</v>
      </c>
      <c r="BY208" s="177">
        <f t="shared" si="328"/>
        <v>1.8025694596810147</v>
      </c>
      <c r="BZ208" s="5">
        <f t="shared" si="329"/>
        <v>15.547405857740586</v>
      </c>
      <c r="CA208" s="177">
        <f t="shared" si="330"/>
        <v>0.89610535884330611</v>
      </c>
      <c r="CB208" s="5">
        <f t="shared" si="331"/>
        <v>89.610535884330616</v>
      </c>
      <c r="CC208">
        <f t="shared" si="332"/>
        <v>98</v>
      </c>
      <c r="CE208" s="576">
        <f t="shared" si="321"/>
        <v>-50</v>
      </c>
      <c r="CF208">
        <f t="shared" si="322"/>
        <v>-50</v>
      </c>
    </row>
    <row r="209" spans="5:84" x14ac:dyDescent="0.25">
      <c r="E209" s="174">
        <v>99</v>
      </c>
      <c r="F209" s="221">
        <f t="shared" si="339"/>
        <v>0.99</v>
      </c>
      <c r="G209" s="221">
        <f t="shared" si="285"/>
        <v>0.2475</v>
      </c>
      <c r="H209" s="221">
        <f t="shared" si="286"/>
        <v>14.85</v>
      </c>
      <c r="I209" s="221">
        <f t="shared" si="287"/>
        <v>1.7324999999999999</v>
      </c>
      <c r="J209" s="555">
        <f t="shared" si="288"/>
        <v>12</v>
      </c>
      <c r="K209" s="451">
        <f t="shared" si="289"/>
        <v>22.445530336147336</v>
      </c>
      <c r="L209" s="451">
        <f t="shared" si="290"/>
        <v>35.85</v>
      </c>
      <c r="M209" s="451"/>
      <c r="N209" s="221">
        <f t="shared" si="291"/>
        <v>0.66527196652719667</v>
      </c>
      <c r="O209" s="176">
        <f t="shared" si="334"/>
        <v>13.923050021857241</v>
      </c>
      <c r="P209" s="176">
        <f t="shared" si="293"/>
        <v>1.6243558358833448</v>
      </c>
      <c r="Q209" s="221">
        <f t="shared" si="294"/>
        <v>0.92820333479048278</v>
      </c>
      <c r="R209" s="221">
        <f t="shared" si="295"/>
        <v>1.9890071459796059</v>
      </c>
      <c r="S209" s="221">
        <f t="shared" si="296"/>
        <v>14.06368689076489</v>
      </c>
      <c r="T209" s="221">
        <f t="shared" si="297"/>
        <v>4.0999999999999996</v>
      </c>
      <c r="U209" s="221">
        <f t="shared" si="298"/>
        <v>2.3916666666666666</v>
      </c>
      <c r="V209" s="221">
        <f t="shared" si="299"/>
        <v>1.2786510084718368</v>
      </c>
      <c r="W209" s="201">
        <f t="shared" si="300"/>
        <v>350</v>
      </c>
      <c r="X209" s="451">
        <f t="shared" si="301"/>
        <v>272.45598024761273</v>
      </c>
      <c r="Z209" s="221">
        <f t="shared" si="302"/>
        <v>3.1916271971863202</v>
      </c>
      <c r="AA209" s="177">
        <f t="shared" si="303"/>
        <v>0.99536032545083664</v>
      </c>
      <c r="AB209" s="177">
        <f t="shared" si="335"/>
        <v>0.74678956119281492</v>
      </c>
      <c r="AC209" s="177"/>
      <c r="AD209" s="177">
        <f t="shared" si="305"/>
        <v>0.25573020169436733</v>
      </c>
      <c r="AE209" s="559">
        <f t="shared" si="336"/>
        <v>7029.1305590807306</v>
      </c>
      <c r="AF209" s="542">
        <f t="shared" si="307"/>
        <v>4.929485902810081E-2</v>
      </c>
      <c r="AH209" s="177">
        <f t="shared" si="308"/>
        <v>3.6792301768002433</v>
      </c>
      <c r="AI209" s="177">
        <f t="shared" si="337"/>
        <v>4.0999999999999996</v>
      </c>
      <c r="AJ209" s="177">
        <f t="shared" si="338"/>
        <v>3.6296296296296298</v>
      </c>
      <c r="AL209" s="559">
        <f t="shared" si="311"/>
        <v>990</v>
      </c>
      <c r="AM209" s="469">
        <f t="shared" si="312"/>
        <v>272.45598024761273</v>
      </c>
      <c r="AO209" t="str">
        <f t="shared" si="313"/>
        <v/>
      </c>
      <c r="AP209" t="str">
        <f t="shared" si="314"/>
        <v/>
      </c>
      <c r="AR209" s="5">
        <f t="shared" si="333"/>
        <v>3.6703176751385036</v>
      </c>
      <c r="AS209" s="5">
        <f t="shared" si="324"/>
        <v>2.3916666666666666</v>
      </c>
      <c r="AT209" s="5">
        <f t="shared" si="325"/>
        <v>1.278651008471837</v>
      </c>
      <c r="AU209" s="177">
        <f t="shared" si="326"/>
        <v>0.65162388609220712</v>
      </c>
      <c r="AW209" s="5">
        <f t="shared" si="315"/>
        <v>17.111543209876547</v>
      </c>
      <c r="AX209" s="5">
        <f t="shared" si="316"/>
        <v>60.143943750000005</v>
      </c>
      <c r="AY209" s="5">
        <f t="shared" si="317"/>
        <v>1.2123152482368027</v>
      </c>
      <c r="AZ209" s="5">
        <f t="shared" si="318"/>
        <v>2.6328025508132344</v>
      </c>
      <c r="BA209" s="5">
        <f t="shared" si="319"/>
        <v>2.4799099822203785</v>
      </c>
      <c r="BB209" s="5"/>
      <c r="BC209" s="5"/>
      <c r="BD209" s="177">
        <f t="shared" si="263"/>
        <v>1.910828574659869</v>
      </c>
      <c r="BE209" s="177">
        <f t="shared" si="264"/>
        <v>1.8767875822414337</v>
      </c>
      <c r="BF209" s="177">
        <f t="shared" si="265"/>
        <v>0.44068872975415935</v>
      </c>
      <c r="BG209" s="177"/>
      <c r="BH209" s="542">
        <f t="shared" si="266"/>
        <v>0.40163924259103334</v>
      </c>
      <c r="BI209" s="542">
        <f t="shared" si="267"/>
        <v>0.20023471128347678</v>
      </c>
      <c r="BJ209" s="542">
        <f t="shared" si="268"/>
        <v>1.3622799012380634E-2</v>
      </c>
      <c r="BK209" s="542">
        <f t="shared" si="269"/>
        <v>7.8787475116602196E-2</v>
      </c>
      <c r="BL209">
        <f t="shared" si="270"/>
        <v>3.48E-3</v>
      </c>
      <c r="BM209" s="469">
        <f t="shared" si="271"/>
        <v>697.76422800349303</v>
      </c>
      <c r="BN209" s="177">
        <f t="shared" si="272"/>
        <v>0.89100000000000001</v>
      </c>
      <c r="BO209" s="177">
        <f t="shared" si="273"/>
        <v>0.22275</v>
      </c>
      <c r="BP209" s="542"/>
      <c r="BR209" s="469">
        <f t="shared" si="274"/>
        <v>1113.75</v>
      </c>
      <c r="BS209" s="542">
        <f t="shared" si="275"/>
        <v>0</v>
      </c>
      <c r="BT209" s="542">
        <f t="shared" si="276"/>
        <v>0</v>
      </c>
      <c r="BU209" s="542">
        <f t="shared" si="277"/>
        <v>0</v>
      </c>
      <c r="BV209" s="542">
        <f t="shared" si="278"/>
        <v>0</v>
      </c>
      <c r="BW209" s="647">
        <f t="shared" si="320"/>
        <v>0</v>
      </c>
      <c r="BX209" s="469">
        <f t="shared" si="327"/>
        <v>0</v>
      </c>
      <c r="BY209" s="177">
        <f t="shared" si="328"/>
        <v>1.811514228003493</v>
      </c>
      <c r="BZ209" s="5">
        <f t="shared" si="329"/>
        <v>15.547405857740586</v>
      </c>
      <c r="CA209" s="177">
        <f t="shared" si="330"/>
        <v>0.89564361037117801</v>
      </c>
      <c r="CB209" s="5">
        <f t="shared" si="331"/>
        <v>89.564361037117806</v>
      </c>
      <c r="CC209">
        <f t="shared" si="332"/>
        <v>99</v>
      </c>
      <c r="CE209" s="576">
        <f t="shared" si="321"/>
        <v>-50</v>
      </c>
      <c r="CF209">
        <f t="shared" si="322"/>
        <v>-50</v>
      </c>
    </row>
    <row r="210" spans="5:84" x14ac:dyDescent="0.25">
      <c r="E210" s="174">
        <v>100</v>
      </c>
      <c r="F210" s="221">
        <f t="shared" si="339"/>
        <v>1</v>
      </c>
      <c r="G210" s="221">
        <f t="shared" si="285"/>
        <v>0.25</v>
      </c>
      <c r="H210" s="221">
        <f t="shared" si="286"/>
        <v>15</v>
      </c>
      <c r="I210" s="221">
        <f t="shared" si="287"/>
        <v>1.75</v>
      </c>
      <c r="J210" s="555">
        <f t="shared" si="288"/>
        <v>12</v>
      </c>
      <c r="K210" s="451">
        <f t="shared" si="289"/>
        <v>22.234575032785862</v>
      </c>
      <c r="L210" s="451">
        <f t="shared" si="290"/>
        <v>35.85</v>
      </c>
      <c r="M210" s="451"/>
      <c r="N210" s="221">
        <f t="shared" si="291"/>
        <v>0.66527196652719667</v>
      </c>
      <c r="O210" s="176">
        <f t="shared" si="334"/>
        <v>13.923050021857241</v>
      </c>
      <c r="P210" s="176">
        <f t="shared" si="293"/>
        <v>1.6243558358833448</v>
      </c>
      <c r="Q210" s="221">
        <f t="shared" si="294"/>
        <v>0.92820333479048278</v>
      </c>
      <c r="R210" s="221">
        <f t="shared" si="295"/>
        <v>1.9890071459796059</v>
      </c>
      <c r="S210" s="221">
        <f t="shared" si="296"/>
        <v>13.923050021857241</v>
      </c>
      <c r="T210" s="221">
        <f t="shared" si="297"/>
        <v>4.0999999999999996</v>
      </c>
      <c r="U210" s="221">
        <f t="shared" si="298"/>
        <v>2.3916666666666666</v>
      </c>
      <c r="V210" s="221">
        <f t="shared" si="299"/>
        <v>1.2907824843821203</v>
      </c>
      <c r="W210" s="201">
        <f t="shared" si="300"/>
        <v>350</v>
      </c>
      <c r="X210" s="451">
        <f t="shared" si="301"/>
        <v>271.55840012487153</v>
      </c>
      <c r="Z210" s="221">
        <f t="shared" si="302"/>
        <v>3.1811126871770665</v>
      </c>
      <c r="AA210" s="177">
        <f t="shared" si="303"/>
        <v>1.0014937896229017</v>
      </c>
      <c r="AB210" s="177">
        <f t="shared" si="335"/>
        <v>0.74891593215971097</v>
      </c>
      <c r="AC210" s="177"/>
      <c r="AD210" s="177">
        <f t="shared" si="305"/>
        <v>0.258156496876424</v>
      </c>
      <c r="AE210" s="559">
        <f t="shared" si="336"/>
        <v>7033.4009763493632</v>
      </c>
      <c r="AF210" s="542">
        <f t="shared" si="307"/>
        <v>4.9762554584462923E-2</v>
      </c>
      <c r="AH210" s="177">
        <f t="shared" si="308"/>
        <v>3.6977654587270812</v>
      </c>
      <c r="AI210" s="177">
        <f t="shared" si="337"/>
        <v>4.0999999999999996</v>
      </c>
      <c r="AJ210" s="177">
        <f t="shared" si="338"/>
        <v>3.6296296296296298</v>
      </c>
      <c r="AL210" s="559">
        <f t="shared" si="311"/>
        <v>1000</v>
      </c>
      <c r="AM210" s="469">
        <f t="shared" si="312"/>
        <v>271.55840012487153</v>
      </c>
      <c r="AO210" t="str">
        <f t="shared" si="313"/>
        <v/>
      </c>
      <c r="AP210" t="str">
        <f t="shared" si="314"/>
        <v/>
      </c>
      <c r="AR210" s="5">
        <f t="shared" si="333"/>
        <v>3.6824491510487873</v>
      </c>
      <c r="AS210" s="5">
        <f t="shared" si="324"/>
        <v>2.3916666666666666</v>
      </c>
      <c r="AT210" s="5">
        <f t="shared" si="325"/>
        <v>1.2907824843821207</v>
      </c>
      <c r="AU210" s="177">
        <f t="shared" si="326"/>
        <v>0.64947717363198432</v>
      </c>
      <c r="AW210" s="5">
        <f t="shared" si="315"/>
        <v>17.111543209876547</v>
      </c>
      <c r="AX210" s="5">
        <f t="shared" si="316"/>
        <v>61.334806397306409</v>
      </c>
      <c r="AY210" s="5">
        <f t="shared" si="317"/>
        <v>1.2123152482368027</v>
      </c>
      <c r="AZ210" s="5">
        <f t="shared" si="318"/>
        <v>2.678683349467641</v>
      </c>
      <c r="BA210" s="5">
        <f t="shared" si="319"/>
        <v>2.5287259196959675</v>
      </c>
      <c r="BB210" s="5"/>
      <c r="BC210" s="5"/>
      <c r="BD210" s="177">
        <f t="shared" si="263"/>
        <v>1.9076784572488148</v>
      </c>
      <c r="BE210" s="177">
        <f t="shared" si="264"/>
        <v>1.8825611349707758</v>
      </c>
      <c r="BF210" s="177">
        <f t="shared" si="265"/>
        <v>0.44204441840136571</v>
      </c>
      <c r="BG210" s="177"/>
      <c r="BH210" s="542">
        <f t="shared" si="266"/>
        <v>0.40031608058763402</v>
      </c>
      <c r="BI210" s="542">
        <f t="shared" si="267"/>
        <v>0.19957505721177121</v>
      </c>
      <c r="BJ210" s="542">
        <f t="shared" si="268"/>
        <v>1.3577920006243575E-2</v>
      </c>
      <c r="BK210" s="542">
        <f t="shared" si="269"/>
        <v>7.852791732850975E-2</v>
      </c>
      <c r="BL210">
        <f t="shared" si="270"/>
        <v>3.48E-3</v>
      </c>
      <c r="BM210" s="469">
        <f t="shared" si="271"/>
        <v>695.47697513415847</v>
      </c>
      <c r="BN210" s="177">
        <f t="shared" si="272"/>
        <v>0.9</v>
      </c>
      <c r="BO210" s="177">
        <f t="shared" si="273"/>
        <v>0.22500000000000001</v>
      </c>
      <c r="BP210" s="542"/>
      <c r="BR210" s="469">
        <f t="shared" si="274"/>
        <v>1125</v>
      </c>
      <c r="BS210" s="542">
        <f t="shared" si="275"/>
        <v>0</v>
      </c>
      <c r="BT210" s="542">
        <f t="shared" si="276"/>
        <v>0</v>
      </c>
      <c r="BU210" s="542">
        <f t="shared" si="277"/>
        <v>0</v>
      </c>
      <c r="BV210" s="542">
        <f t="shared" si="278"/>
        <v>0</v>
      </c>
      <c r="BW210" s="647">
        <f t="shared" si="320"/>
        <v>0</v>
      </c>
      <c r="BX210" s="469">
        <f t="shared" si="327"/>
        <v>0</v>
      </c>
      <c r="BY210" s="177">
        <f t="shared" si="328"/>
        <v>1.8204769751341585</v>
      </c>
      <c r="BZ210" s="5">
        <f t="shared" si="329"/>
        <v>15.547405857740586</v>
      </c>
      <c r="CA210" s="177">
        <f t="shared" si="330"/>
        <v>0.89518141084598546</v>
      </c>
      <c r="CB210" s="5">
        <f t="shared" si="331"/>
        <v>89.51814108459854</v>
      </c>
      <c r="CC210">
        <f t="shared" si="332"/>
        <v>100</v>
      </c>
      <c r="CE210" s="576">
        <f t="shared" si="321"/>
        <v>-50</v>
      </c>
      <c r="CF210">
        <f t="shared" si="322"/>
        <v>-50</v>
      </c>
    </row>
    <row r="211" spans="5:84" x14ac:dyDescent="0.25">
      <c r="E211" s="174"/>
      <c r="F211" s="221"/>
      <c r="G211" s="221"/>
      <c r="H211" s="221"/>
      <c r="I211" s="221"/>
      <c r="J211" s="555"/>
      <c r="K211" s="451"/>
      <c r="L211" s="451"/>
      <c r="M211" s="451"/>
      <c r="N211" s="221"/>
      <c r="O211" s="176"/>
      <c r="P211" s="176"/>
      <c r="Q211" s="221"/>
      <c r="R211" s="221"/>
      <c r="S211" s="221"/>
      <c r="T211" s="221"/>
      <c r="U211" s="221"/>
      <c r="V211" s="221"/>
      <c r="W211" s="201"/>
      <c r="X211" s="451"/>
      <c r="Z211" s="221"/>
      <c r="AA211" s="177"/>
      <c r="AB211" s="177"/>
      <c r="AC211" s="177"/>
      <c r="AD211" s="177"/>
      <c r="AE211" s="559"/>
      <c r="AF211" s="542"/>
      <c r="AH211" s="177"/>
      <c r="AI211" s="177"/>
      <c r="AJ211" s="177"/>
      <c r="AL211" s="559"/>
      <c r="AM211" s="469"/>
      <c r="AR211" s="5"/>
      <c r="AS211" s="5"/>
      <c r="AT211" s="5"/>
      <c r="AU211" s="177"/>
      <c r="AW211" s="5"/>
      <c r="AX211" s="5"/>
      <c r="AY211" s="5"/>
      <c r="AZ211" s="5"/>
      <c r="BA211" s="5"/>
      <c r="BB211" s="5"/>
      <c r="CE211" s="576"/>
      <c r="CF211" s="553">
        <f>MAX(CF110:CF210)</f>
        <v>13.967896198504597</v>
      </c>
    </row>
    <row r="212" spans="5:84" x14ac:dyDescent="0.25">
      <c r="E212" s="174"/>
      <c r="F212" s="221"/>
      <c r="G212" s="221"/>
      <c r="H212" s="221"/>
      <c r="I212" s="221"/>
      <c r="J212" s="555"/>
      <c r="K212" s="451"/>
      <c r="L212" s="451"/>
      <c r="M212" s="451"/>
      <c r="N212" s="221"/>
      <c r="O212" s="176"/>
      <c r="P212" s="176"/>
      <c r="Q212" s="221"/>
      <c r="R212" s="221"/>
      <c r="S212" s="221"/>
      <c r="T212" s="221"/>
      <c r="U212" s="221"/>
      <c r="V212" s="221"/>
      <c r="W212" s="201"/>
      <c r="X212" s="451"/>
      <c r="Z212" s="221"/>
      <c r="AA212" s="177"/>
      <c r="AB212" s="177"/>
      <c r="AC212" s="177"/>
      <c r="AD212" s="177"/>
      <c r="AE212" s="559"/>
      <c r="AF212" s="542"/>
      <c r="AH212" s="177"/>
      <c r="AI212" s="177"/>
      <c r="AJ212" s="177"/>
      <c r="AL212" s="559"/>
      <c r="AM212" s="469"/>
      <c r="AR212" s="5"/>
      <c r="AS212" s="5"/>
      <c r="AT212" s="5"/>
      <c r="AU212" s="177"/>
      <c r="AW212" s="5"/>
      <c r="AX212" s="5"/>
      <c r="AY212" s="5"/>
      <c r="AZ212" s="5"/>
      <c r="BA212" s="5"/>
      <c r="BB212" s="5"/>
      <c r="CE212" s="576"/>
      <c r="CF212" s="553"/>
    </row>
    <row r="213" spans="5:84" x14ac:dyDescent="0.25">
      <c r="E213" s="174"/>
      <c r="F213" s="221"/>
      <c r="G213" s="221"/>
      <c r="H213" s="221"/>
      <c r="I213" s="221"/>
      <c r="J213" s="555"/>
      <c r="K213" s="451"/>
      <c r="L213" s="451"/>
      <c r="M213" s="451"/>
      <c r="N213" s="221"/>
      <c r="O213" s="176"/>
      <c r="P213" s="176"/>
      <c r="Q213" s="221"/>
      <c r="R213" s="221"/>
      <c r="S213" s="221"/>
      <c r="T213" s="221"/>
      <c r="U213" s="221"/>
      <c r="V213" s="221"/>
      <c r="W213" s="201"/>
      <c r="X213" s="451"/>
      <c r="Z213" s="221"/>
      <c r="AA213" s="177"/>
      <c r="AB213" s="177"/>
      <c r="AC213" s="177"/>
      <c r="AD213" s="177"/>
      <c r="AE213" s="559"/>
      <c r="AF213" s="542"/>
      <c r="AH213" s="177"/>
      <c r="AI213" s="177"/>
      <c r="AJ213" s="177"/>
      <c r="AL213" s="559"/>
      <c r="AM213" s="469"/>
      <c r="AR213" s="5"/>
      <c r="AS213" s="5"/>
      <c r="AT213" s="5"/>
      <c r="AU213" s="177"/>
      <c r="AW213" s="5"/>
      <c r="AX213" s="5"/>
      <c r="AY213" s="5"/>
      <c r="AZ213" s="5"/>
      <c r="BA213" s="5"/>
      <c r="BB213" s="5"/>
      <c r="CE213" s="576"/>
      <c r="CF213" s="553"/>
    </row>
    <row r="214" spans="5:84" x14ac:dyDescent="0.25">
      <c r="G214" s="221"/>
      <c r="H214" s="221"/>
      <c r="I214" s="221"/>
      <c r="J214" s="555"/>
      <c r="K214" s="451"/>
      <c r="L214" s="451"/>
      <c r="M214" s="451"/>
      <c r="N214" s="221"/>
      <c r="O214" s="176"/>
      <c r="P214" s="176"/>
      <c r="Q214" s="221"/>
      <c r="R214" s="221"/>
      <c r="S214" s="221"/>
      <c r="T214" s="221"/>
      <c r="U214" s="221"/>
      <c r="V214" s="221"/>
      <c r="W214" s="201"/>
      <c r="X214" s="451"/>
      <c r="Z214" s="221"/>
      <c r="AA214" s="177"/>
      <c r="AB214" s="177"/>
      <c r="AC214" s="177"/>
      <c r="AD214" s="177"/>
      <c r="AE214" s="559"/>
      <c r="AF214" s="542"/>
      <c r="AH214" s="177"/>
      <c r="AI214" s="177"/>
      <c r="AJ214" s="177"/>
      <c r="AL214" s="559"/>
      <c r="AM214" s="469"/>
      <c r="AR214" s="5"/>
      <c r="AS214" s="5"/>
      <c r="AT214" s="5"/>
      <c r="AU214" s="177"/>
      <c r="AW214" s="5"/>
      <c r="AX214" s="5"/>
      <c r="AY214" s="5"/>
      <c r="AZ214" s="5"/>
      <c r="BA214" s="5"/>
      <c r="BB214" s="5"/>
      <c r="CE214" s="576"/>
    </row>
    <row r="215" spans="5:84" x14ac:dyDescent="0.25">
      <c r="G215" s="221"/>
      <c r="H215" s="221"/>
      <c r="I215" s="221"/>
      <c r="J215" s="555"/>
      <c r="K215" s="451"/>
      <c r="L215" s="451"/>
      <c r="M215" s="451"/>
      <c r="N215" s="221"/>
      <c r="O215" s="176"/>
      <c r="P215" s="176"/>
      <c r="Q215" s="221"/>
      <c r="R215" s="221"/>
      <c r="S215" s="221"/>
      <c r="T215" s="221"/>
      <c r="U215" s="221"/>
      <c r="V215" s="221"/>
      <c r="W215" s="201"/>
      <c r="X215" s="451"/>
      <c r="Z215" s="221"/>
      <c r="AA215" s="177"/>
      <c r="AB215" s="177"/>
      <c r="AC215" s="177"/>
      <c r="AD215" s="177"/>
      <c r="AE215" s="559"/>
      <c r="AF215" s="542"/>
      <c r="AH215" s="177"/>
      <c r="AI215" s="177"/>
      <c r="AJ215" s="177"/>
      <c r="AL215" s="559"/>
      <c r="AM215" s="469"/>
      <c r="AR215" s="5"/>
      <c r="AS215" s="5"/>
      <c r="AT215" s="5"/>
      <c r="AU215" s="177"/>
      <c r="AW215" s="5"/>
      <c r="AX215" s="5"/>
      <c r="AY215" s="5"/>
      <c r="AZ215" s="5"/>
      <c r="BA215" s="5"/>
      <c r="BB215" s="5"/>
      <c r="CE215" s="576"/>
    </row>
    <row r="216" spans="5:84" x14ac:dyDescent="0.25">
      <c r="E216" s="453" t="s">
        <v>446</v>
      </c>
      <c r="G216" s="221"/>
      <c r="H216" s="221"/>
      <c r="I216" s="221"/>
      <c r="J216" s="555"/>
      <c r="K216" s="451"/>
      <c r="L216" s="451"/>
      <c r="M216" s="451"/>
      <c r="N216" s="221"/>
      <c r="O216" s="176"/>
      <c r="P216" s="176"/>
      <c r="Q216" s="221"/>
      <c r="R216" s="221"/>
      <c r="S216" s="221"/>
      <c r="T216" s="221"/>
      <c r="U216" s="221"/>
      <c r="V216" s="221"/>
      <c r="W216" s="201"/>
      <c r="X216" s="451"/>
      <c r="Z216" s="221"/>
      <c r="AA216" s="177"/>
      <c r="AB216" s="177"/>
      <c r="AC216" s="177"/>
      <c r="AD216" s="177"/>
      <c r="AE216" s="559"/>
      <c r="AF216" s="542"/>
      <c r="AH216" s="177"/>
      <c r="AI216" s="177"/>
      <c r="AJ216" s="177"/>
      <c r="AL216" s="559"/>
      <c r="AM216" s="469"/>
      <c r="AR216" s="5"/>
      <c r="AS216" s="5"/>
      <c r="AT216" s="5"/>
      <c r="AU216" s="177"/>
      <c r="AW216" s="5"/>
      <c r="AX216" s="5"/>
      <c r="AY216" s="5"/>
      <c r="AZ216" s="5"/>
      <c r="BA216" s="5"/>
      <c r="BB216" s="5"/>
      <c r="CE216" s="576"/>
    </row>
    <row r="217" spans="5:84" ht="45" customHeight="1" thickBot="1" x14ac:dyDescent="0.3">
      <c r="E217" s="245" t="s">
        <v>25</v>
      </c>
      <c r="F217" s="619" t="s">
        <v>597</v>
      </c>
      <c r="G217" s="452" t="s">
        <v>596</v>
      </c>
      <c r="H217" s="620" t="s">
        <v>598</v>
      </c>
      <c r="I217" s="621" t="s">
        <v>599</v>
      </c>
      <c r="J217" s="246" t="s">
        <v>423</v>
      </c>
      <c r="K217" s="247" t="s">
        <v>429</v>
      </c>
      <c r="L217" s="541" t="s">
        <v>424</v>
      </c>
      <c r="M217" s="541"/>
      <c r="N217" s="248" t="s">
        <v>48</v>
      </c>
      <c r="O217" s="623" t="s">
        <v>607</v>
      </c>
      <c r="P217" s="176"/>
      <c r="Q217" s="541" t="s">
        <v>414</v>
      </c>
      <c r="R217" s="623" t="s">
        <v>601</v>
      </c>
      <c r="S217" s="541" t="s">
        <v>444</v>
      </c>
      <c r="T217" s="623" t="s">
        <v>425</v>
      </c>
      <c r="U217" s="541" t="s">
        <v>477</v>
      </c>
      <c r="V217" s="541" t="s">
        <v>476</v>
      </c>
      <c r="W217" s="560" t="s">
        <v>431</v>
      </c>
      <c r="X217" s="556" t="s">
        <v>436</v>
      </c>
      <c r="Z217" s="249" t="s">
        <v>428</v>
      </c>
      <c r="AA217" s="249" t="s">
        <v>475</v>
      </c>
      <c r="AB217" s="177"/>
      <c r="AC217" s="558"/>
      <c r="AD217" s="249" t="s">
        <v>474</v>
      </c>
      <c r="AE217" s="559"/>
      <c r="AF217" s="542"/>
      <c r="AG217" s="558"/>
      <c r="AH217" s="177"/>
      <c r="AI217" s="561" t="s">
        <v>441</v>
      </c>
      <c r="AJ217" s="561" t="s">
        <v>442</v>
      </c>
      <c r="AL217" s="557" t="s">
        <v>276</v>
      </c>
      <c r="AM217" s="557" t="s">
        <v>443</v>
      </c>
      <c r="AO217" s="249" t="s">
        <v>276</v>
      </c>
      <c r="AP217" s="249" t="s">
        <v>443</v>
      </c>
      <c r="AQ217" s="562"/>
      <c r="AR217" s="249" t="s">
        <v>478</v>
      </c>
      <c r="AS217" s="249" t="s">
        <v>472</v>
      </c>
      <c r="AT217" s="249" t="s">
        <v>473</v>
      </c>
      <c r="AU217" s="249" t="s">
        <v>48</v>
      </c>
      <c r="AV217" s="558"/>
      <c r="AW217" s="249" t="s">
        <v>608</v>
      </c>
      <c r="AX217" s="249" t="s">
        <v>721</v>
      </c>
      <c r="AY217" s="249" t="s">
        <v>609</v>
      </c>
      <c r="AZ217" s="249" t="s">
        <v>722</v>
      </c>
      <c r="BA217" s="249" t="s">
        <v>527</v>
      </c>
      <c r="BB217" s="249"/>
      <c r="BC217" s="558"/>
      <c r="BD217" s="571" t="s">
        <v>467</v>
      </c>
      <c r="BE217" s="249" t="s">
        <v>468</v>
      </c>
      <c r="BF217" s="249"/>
      <c r="BG217" s="558"/>
      <c r="BH217" s="571" t="s">
        <v>485</v>
      </c>
      <c r="BI217" s="249" t="s">
        <v>486</v>
      </c>
      <c r="BJ217" s="249" t="s">
        <v>484</v>
      </c>
      <c r="BK217" s="249" t="s">
        <v>480</v>
      </c>
      <c r="BL217" s="249" t="s">
        <v>489</v>
      </c>
      <c r="BM217" s="249" t="s">
        <v>503</v>
      </c>
      <c r="BN217" s="571" t="s">
        <v>487</v>
      </c>
      <c r="BO217" s="249"/>
      <c r="BP217" s="249" t="s">
        <v>488</v>
      </c>
      <c r="BQ217" s="249" t="s">
        <v>495</v>
      </c>
      <c r="BR217" s="249" t="s">
        <v>499</v>
      </c>
      <c r="BS217" s="571" t="s">
        <v>469</v>
      </c>
      <c r="BT217" s="249" t="s">
        <v>470</v>
      </c>
      <c r="BU217" s="249"/>
      <c r="BV217" s="249" t="s">
        <v>479</v>
      </c>
      <c r="BW217" s="249" t="s">
        <v>496</v>
      </c>
      <c r="BX217" s="249" t="s">
        <v>498</v>
      </c>
      <c r="BY217" s="571" t="s">
        <v>494</v>
      </c>
      <c r="BZ217" s="249" t="s">
        <v>224</v>
      </c>
      <c r="CA217" s="249" t="s">
        <v>47</v>
      </c>
      <c r="CB217" s="249" t="s">
        <v>497</v>
      </c>
      <c r="CC217" s="249"/>
      <c r="CE217" s="576"/>
    </row>
    <row r="218" spans="5:84" x14ac:dyDescent="0.25">
      <c r="E218" s="174">
        <v>0.1</v>
      </c>
      <c r="F218" s="221">
        <v>1.0000000000000001E-9</v>
      </c>
      <c r="G218" s="221">
        <f t="shared" ref="G218:G249" si="340">IF(PLOT_TYPE=1, E218/100*Iout2, min_I*EXP(Q218*rr/100))</f>
        <v>2.5000000000000001E-4</v>
      </c>
      <c r="H218" s="221">
        <f t="shared" ref="H218:H249" si="341">F218*Vout</f>
        <v>1.5000000000000002E-8</v>
      </c>
      <c r="I218" s="221">
        <f t="shared" ref="I218:I249" si="342">Vout2*G218</f>
        <v>1.75E-3</v>
      </c>
      <c r="J218" s="555">
        <f t="shared" ref="J218:J281" si="343">VIN_max</f>
        <v>17</v>
      </c>
      <c r="K218" s="451">
        <f t="shared" ref="K218:K281" si="344">(S218+Vfwd1)*Nps</f>
        <v>23.85</v>
      </c>
      <c r="L218" s="451">
        <f t="shared" ref="L218:L281" si="345">(Vout+Vfwd1)*Nps+J218</f>
        <v>40.85</v>
      </c>
      <c r="M218" s="451"/>
      <c r="N218" s="221">
        <f t="shared" ref="N218:N281" si="346">(Vout+Vfwd1)*Nps/((Vout+Vfwd1)*Nps+J218)</f>
        <v>0.58384332925336602</v>
      </c>
      <c r="O218" s="176">
        <f t="shared" ref="O218:O249" si="347">N218*J218*Isw_max*0.5*Efficiency*Pout/(Pout+Pout2)</f>
        <v>17.310083304408188</v>
      </c>
      <c r="P218" s="176">
        <f t="shared" ref="P218:P249" si="348">N218*J218*Isw_max*0.5*Efficiency*(Pout2/Pout_total)</f>
        <v>2.0195097188476221</v>
      </c>
      <c r="Q218" s="221">
        <f t="shared" ref="Q218:Q281" si="349">O218/Vout</f>
        <v>1.1540055536272125</v>
      </c>
      <c r="R218" s="221">
        <f t="shared" ref="R218:R249" si="350">O218/Vout2</f>
        <v>2.4728690434868841</v>
      </c>
      <c r="S218" s="221">
        <f t="shared" ref="S218:S249" si="351">MIN(Vout,O218/F218)</f>
        <v>15</v>
      </c>
      <c r="T218" s="221">
        <f t="shared" ref="T218:T249" si="352">MIN(2*(Vout*F218+Vout2*G218)/(Efficiency*J218*N218), Isw_max)</f>
        <v>3.7119568380811446E-4</v>
      </c>
      <c r="U218" s="221">
        <f t="shared" ref="U218:U281" si="353">L*T218/J218*1000000</f>
        <v>1.5284528156804715E-4</v>
      </c>
      <c r="V218" s="221">
        <f t="shared" ref="V218:V281" si="354">L*T218/K218*1000000</f>
        <v>1.0894632229168977E-4</v>
      </c>
      <c r="W218" s="201">
        <f t="shared" ref="W218:W281" si="355">IF(1/((350000*L)*(1/J218+1/K218))&gt;Isw_min, 350, 0.001/((Isw_min*L)*(1/J218+1/K218)))</f>
        <v>350</v>
      </c>
      <c r="X218" s="451">
        <f t="shared" ref="X218:X281" si="356">MIN(1/(U218+V218)*1000, 350)</f>
        <v>350</v>
      </c>
      <c r="Z218" s="221">
        <f t="shared" ref="Z218:Z281" si="357">1/((W218*1000*L)*(1/J218+1/K218))</f>
        <v>4.0511577948192743</v>
      </c>
      <c r="AA218" s="177">
        <f t="shared" ref="AA218:AA281" si="358">L*Z218/K218*1000000</f>
        <v>1.1890190592760972</v>
      </c>
      <c r="AB218" s="177">
        <f t="shared" ref="AB218:AB249" si="359">0.5*AA218*Z218*Nps*W218/1000*(Pout/(Pout+Pout2))</f>
        <v>1.1323318705262224</v>
      </c>
      <c r="AC218" s="177"/>
      <c r="AD218" s="177">
        <f t="shared" ref="AD218:AD281" si="360">L*Isw_min/K218*1000000</f>
        <v>0.24067085953878403</v>
      </c>
      <c r="AE218" s="559">
        <f t="shared" ref="AE218:AE249" si="361">MAX(10, F218/(0.5*AD218/1000000*Isw_min*Nps)/1000*Pout_total/Pout)</f>
        <v>10</v>
      </c>
      <c r="AF218" s="542">
        <f t="shared" ref="AF218:AF249" si="362">0.5*AD218/1000000*Isw_min*Nps*W218*1000*(Pout/Pout_total)</f>
        <v>4.6392002252886505E-2</v>
      </c>
      <c r="AH218" s="177">
        <f t="shared" ref="AH218:AH249" si="363">SQRT((H218+I218)/(0.5*L*Fsw_DCM))</f>
        <v>3.779660928534976E-2</v>
      </c>
      <c r="AI218" s="177">
        <f t="shared" ref="AI218:AI249" si="364">MAX(IF(F218&gt;AB218,T218,AH218),Isw_min)</f>
        <v>0.82</v>
      </c>
      <c r="AJ218" s="177">
        <f t="shared" ref="AJ218:AJ249" si="365">IF(F218&gt;AF218, (AI218-Isw_min)/1.08*0.8+1.2, AE218*0.2/350+1)</f>
        <v>1.0057142857142858</v>
      </c>
      <c r="AL218" s="559">
        <f t="shared" ref="AL218:AL249" si="366">F218*1000</f>
        <v>1.0000000000000002E-6</v>
      </c>
      <c r="AM218" s="469">
        <f t="shared" ref="AM218:AM249" si="367">IF(F218&gt;AF218, X218, AE218)</f>
        <v>10</v>
      </c>
      <c r="AO218">
        <f t="shared" ref="AO218:AO281" si="368">IF(H218&gt;O218, "",AL218)</f>
        <v>1.0000000000000002E-6</v>
      </c>
      <c r="AP218">
        <f t="shared" ref="AP218:AP281" si="369">IF(H218&gt;O218, "",AM218)</f>
        <v>10</v>
      </c>
      <c r="AR218" s="5">
        <f t="shared" si="333"/>
        <v>100</v>
      </c>
      <c r="AS218" s="5">
        <f t="shared" si="324"/>
        <v>0.33764705882352936</v>
      </c>
      <c r="AT218" s="5">
        <f t="shared" si="325"/>
        <v>99.662352941176465</v>
      </c>
      <c r="AU218" s="177">
        <f t="shared" si="326"/>
        <v>3.3764705882352937E-3</v>
      </c>
      <c r="AW218" s="5">
        <f t="shared" ref="AW218:AW249" si="370">L*Iout^2/(2*Vripple1_spec*Vout*Npri_sec1^2)*1000000000*((1+N218)/(1-N218))^2</f>
        <v>10.014141569481827</v>
      </c>
      <c r="AX218" s="5">
        <f t="shared" ref="AX218:AX249" si="371">L*F218^2/(2*Cout*Vout*Nps^2)*1000000000*((1+N218)/(1-N218))^2+F218*RCoutEsr</f>
        <v>3.0000000341391195E-9</v>
      </c>
      <c r="AY218" s="5">
        <f t="shared" ref="AY218:AY249" si="372">L*Iout2^2/(2*Vout_ripple2*Vout2*Npri_sec2^2)*1000000000*((1+N218)/(1-N218))^2</f>
        <v>0.70947993256842168</v>
      </c>
      <c r="AZ218" s="5">
        <f t="shared" ref="AZ218:AZ249" si="373">L*G218^2/(2*Cout2*Vout2*Npri_sec2^2)*1000000000*((1+N218)/(1-N218))^2+G218*CoutEsr2</f>
        <v>7.5112871807454069E-4</v>
      </c>
      <c r="BA218" s="5">
        <f t="shared" ref="BA218:BA249" si="374">(H218+I218)/Efficiency/J218*AT218/Vinripple1</f>
        <v>1.4399224980999209E-2</v>
      </c>
      <c r="BB218" s="5"/>
      <c r="CE218" s="576">
        <f t="shared" ref="CE218:CE249" si="375">IF(ABS(F218-Ioutmax_Vinmax)&lt;Iout/200, AM218, -50)</f>
        <v>-50</v>
      </c>
    </row>
    <row r="219" spans="5:84" x14ac:dyDescent="0.25">
      <c r="E219" s="174">
        <v>1</v>
      </c>
      <c r="F219" s="221">
        <f t="shared" ref="F219:F250" si="376">IF(PLOT_TYPE=1, E219/100*Iout_max, min_I*EXP(O219*rr/100))</f>
        <v>0.01</v>
      </c>
      <c r="G219" s="221">
        <f t="shared" si="340"/>
        <v>2.5000000000000001E-3</v>
      </c>
      <c r="H219" s="221">
        <f t="shared" si="341"/>
        <v>0.15</v>
      </c>
      <c r="I219" s="221">
        <f t="shared" si="342"/>
        <v>1.7500000000000002E-2</v>
      </c>
      <c r="J219" s="555">
        <f t="shared" si="343"/>
        <v>17</v>
      </c>
      <c r="K219" s="451">
        <f t="shared" si="344"/>
        <v>23.85</v>
      </c>
      <c r="L219" s="451">
        <f t="shared" si="345"/>
        <v>40.85</v>
      </c>
      <c r="M219" s="451"/>
      <c r="N219" s="221">
        <f t="shared" si="346"/>
        <v>0.58384332925336602</v>
      </c>
      <c r="O219" s="176">
        <f t="shared" si="347"/>
        <v>17.310083304408188</v>
      </c>
      <c r="P219" s="176">
        <f t="shared" si="348"/>
        <v>2.0195097188476221</v>
      </c>
      <c r="Q219" s="221">
        <f t="shared" si="349"/>
        <v>1.1540055536272125</v>
      </c>
      <c r="R219" s="221">
        <f t="shared" si="350"/>
        <v>2.4728690434868841</v>
      </c>
      <c r="S219" s="221">
        <f t="shared" si="351"/>
        <v>15</v>
      </c>
      <c r="T219" s="221">
        <f t="shared" si="352"/>
        <v>3.5528425206560611E-2</v>
      </c>
      <c r="U219" s="221">
        <f t="shared" si="353"/>
        <v>1.4629351555642605E-2</v>
      </c>
      <c r="V219" s="221">
        <f t="shared" si="354"/>
        <v>1.0427630039661394E-2</v>
      </c>
      <c r="W219" s="201">
        <f t="shared" si="355"/>
        <v>350</v>
      </c>
      <c r="X219" s="451">
        <f t="shared" si="356"/>
        <v>350</v>
      </c>
      <c r="Z219" s="221">
        <f t="shared" si="357"/>
        <v>4.0511577948192743</v>
      </c>
      <c r="AA219" s="177">
        <f t="shared" si="358"/>
        <v>1.1890190592760972</v>
      </c>
      <c r="AB219" s="177">
        <f t="shared" si="359"/>
        <v>1.1323318705262224</v>
      </c>
      <c r="AC219" s="177"/>
      <c r="AD219" s="177">
        <f t="shared" si="360"/>
        <v>0.24067085953878403</v>
      </c>
      <c r="AE219" s="559">
        <f t="shared" si="361"/>
        <v>75.444038412509585</v>
      </c>
      <c r="AF219" s="542">
        <f t="shared" si="362"/>
        <v>4.6392002252886505E-2</v>
      </c>
      <c r="AH219" s="177">
        <f t="shared" si="363"/>
        <v>0.36977654587270808</v>
      </c>
      <c r="AI219" s="177">
        <f t="shared" si="364"/>
        <v>0.82</v>
      </c>
      <c r="AJ219" s="177">
        <f t="shared" si="365"/>
        <v>1.0431108790928627</v>
      </c>
      <c r="AL219" s="559">
        <f t="shared" si="366"/>
        <v>10</v>
      </c>
      <c r="AM219" s="469">
        <f t="shared" si="367"/>
        <v>75.444038412509585</v>
      </c>
      <c r="AO219">
        <f t="shared" si="368"/>
        <v>10</v>
      </c>
      <c r="AP219">
        <f t="shared" si="369"/>
        <v>75.444038412509585</v>
      </c>
      <c r="AR219" s="5">
        <f t="shared" si="333"/>
        <v>13.254857786538999</v>
      </c>
      <c r="AS219" s="5">
        <f t="shared" si="324"/>
        <v>0.33764705882352936</v>
      </c>
      <c r="AT219" s="5">
        <f t="shared" si="325"/>
        <v>12.917210727715469</v>
      </c>
      <c r="AU219" s="177">
        <f t="shared" si="326"/>
        <v>2.5473457675753233E-2</v>
      </c>
      <c r="AW219" s="5">
        <f t="shared" si="370"/>
        <v>10.014141569481827</v>
      </c>
      <c r="AX219" s="5">
        <f t="shared" si="371"/>
        <v>3.3413911898686983E-2</v>
      </c>
      <c r="AY219" s="5">
        <f t="shared" si="372"/>
        <v>0.70947993256842168</v>
      </c>
      <c r="AZ219" s="5">
        <f t="shared" si="373"/>
        <v>7.6128718074540665E-3</v>
      </c>
      <c r="BA219" s="5">
        <f t="shared" si="374"/>
        <v>0.17862809468667418</v>
      </c>
      <c r="BB219" s="5"/>
      <c r="CE219" s="576">
        <f t="shared" si="375"/>
        <v>-50</v>
      </c>
    </row>
    <row r="220" spans="5:84" x14ac:dyDescent="0.25">
      <c r="E220" s="174">
        <v>2</v>
      </c>
      <c r="F220" s="221">
        <f t="shared" si="376"/>
        <v>0.02</v>
      </c>
      <c r="G220" s="221">
        <f t="shared" si="340"/>
        <v>5.0000000000000001E-3</v>
      </c>
      <c r="H220" s="221">
        <f t="shared" si="341"/>
        <v>0.3</v>
      </c>
      <c r="I220" s="221">
        <f t="shared" si="342"/>
        <v>3.5000000000000003E-2</v>
      </c>
      <c r="J220" s="555">
        <f t="shared" si="343"/>
        <v>17</v>
      </c>
      <c r="K220" s="451">
        <f t="shared" si="344"/>
        <v>23.85</v>
      </c>
      <c r="L220" s="451">
        <f t="shared" si="345"/>
        <v>40.85</v>
      </c>
      <c r="M220" s="451"/>
      <c r="N220" s="221">
        <f t="shared" si="346"/>
        <v>0.58384332925336602</v>
      </c>
      <c r="O220" s="176">
        <f t="shared" si="347"/>
        <v>17.310083304408188</v>
      </c>
      <c r="P220" s="176">
        <f t="shared" si="348"/>
        <v>2.0195097188476221</v>
      </c>
      <c r="Q220" s="221">
        <f t="shared" si="349"/>
        <v>1.1540055536272125</v>
      </c>
      <c r="R220" s="221">
        <f t="shared" si="350"/>
        <v>2.4728690434868841</v>
      </c>
      <c r="S220" s="221">
        <f t="shared" si="351"/>
        <v>15</v>
      </c>
      <c r="T220" s="221">
        <f t="shared" si="352"/>
        <v>7.1056850413121223E-2</v>
      </c>
      <c r="U220" s="221">
        <f t="shared" si="353"/>
        <v>2.9258703111285211E-2</v>
      </c>
      <c r="V220" s="221">
        <f t="shared" si="354"/>
        <v>2.0855260079322788E-2</v>
      </c>
      <c r="W220" s="201">
        <f t="shared" si="355"/>
        <v>350</v>
      </c>
      <c r="X220" s="451">
        <f t="shared" si="356"/>
        <v>350</v>
      </c>
      <c r="Z220" s="221">
        <f t="shared" si="357"/>
        <v>4.0511577948192743</v>
      </c>
      <c r="AA220" s="177">
        <f t="shared" si="358"/>
        <v>1.1890190592760972</v>
      </c>
      <c r="AB220" s="177">
        <f t="shared" si="359"/>
        <v>1.1323318705262224</v>
      </c>
      <c r="AC220" s="177"/>
      <c r="AD220" s="177">
        <f t="shared" si="360"/>
        <v>0.24067085953878403</v>
      </c>
      <c r="AE220" s="559">
        <f t="shared" si="361"/>
        <v>150.88807682501917</v>
      </c>
      <c r="AF220" s="542">
        <f t="shared" si="362"/>
        <v>4.6392002252886505E-2</v>
      </c>
      <c r="AH220" s="177">
        <f t="shared" si="363"/>
        <v>0.5229430062206607</v>
      </c>
      <c r="AI220" s="177">
        <f t="shared" si="364"/>
        <v>0.82</v>
      </c>
      <c r="AJ220" s="177">
        <f t="shared" si="365"/>
        <v>1.0862217581857252</v>
      </c>
      <c r="AL220" s="559">
        <f t="shared" si="366"/>
        <v>20</v>
      </c>
      <c r="AM220" s="469">
        <f t="shared" si="367"/>
        <v>150.88807682501917</v>
      </c>
      <c r="AO220">
        <f t="shared" si="368"/>
        <v>20</v>
      </c>
      <c r="AP220">
        <f t="shared" si="369"/>
        <v>150.88807682501917</v>
      </c>
      <c r="AR220" s="5">
        <f t="shared" si="333"/>
        <v>6.6274288932694994</v>
      </c>
      <c r="AS220" s="5">
        <f t="shared" si="324"/>
        <v>0.33764705882352936</v>
      </c>
      <c r="AT220" s="5">
        <f t="shared" si="325"/>
        <v>6.2897818344459697</v>
      </c>
      <c r="AU220" s="177">
        <f t="shared" si="326"/>
        <v>5.0946915351506465E-2</v>
      </c>
      <c r="AW220" s="5">
        <f t="shared" si="370"/>
        <v>10.014141569481827</v>
      </c>
      <c r="AX220" s="5">
        <f t="shared" si="371"/>
        <v>7.365564759474795E-2</v>
      </c>
      <c r="AY220" s="5">
        <f t="shared" si="372"/>
        <v>0.70947993256842168</v>
      </c>
      <c r="AZ220" s="5">
        <f t="shared" si="373"/>
        <v>1.5451487229816268E-2</v>
      </c>
      <c r="BA220" s="5">
        <f t="shared" si="374"/>
        <v>0.1739588783933457</v>
      </c>
      <c r="BB220" s="5"/>
      <c r="CE220" s="576">
        <f t="shared" si="375"/>
        <v>-50</v>
      </c>
    </row>
    <row r="221" spans="5:84" x14ac:dyDescent="0.25">
      <c r="E221" s="174">
        <v>3</v>
      </c>
      <c r="F221" s="221">
        <f t="shared" si="376"/>
        <v>0.03</v>
      </c>
      <c r="G221" s="221">
        <f t="shared" si="340"/>
        <v>7.4999999999999997E-3</v>
      </c>
      <c r="H221" s="221">
        <f t="shared" si="341"/>
        <v>0.44999999999999996</v>
      </c>
      <c r="I221" s="221">
        <f t="shared" si="342"/>
        <v>5.2499999999999998E-2</v>
      </c>
      <c r="J221" s="555">
        <f t="shared" si="343"/>
        <v>17</v>
      </c>
      <c r="K221" s="451">
        <f t="shared" si="344"/>
        <v>23.85</v>
      </c>
      <c r="L221" s="451">
        <f t="shared" si="345"/>
        <v>40.85</v>
      </c>
      <c r="M221" s="451"/>
      <c r="N221" s="221">
        <f t="shared" si="346"/>
        <v>0.58384332925336602</v>
      </c>
      <c r="O221" s="176">
        <f t="shared" si="347"/>
        <v>17.310083304408188</v>
      </c>
      <c r="P221" s="176">
        <f t="shared" si="348"/>
        <v>2.0195097188476221</v>
      </c>
      <c r="Q221" s="221">
        <f t="shared" si="349"/>
        <v>1.1540055536272125</v>
      </c>
      <c r="R221" s="221">
        <f t="shared" si="350"/>
        <v>2.4728690434868841</v>
      </c>
      <c r="S221" s="221">
        <f t="shared" si="351"/>
        <v>15</v>
      </c>
      <c r="T221" s="221">
        <f t="shared" si="352"/>
        <v>0.10658527561968184</v>
      </c>
      <c r="U221" s="221">
        <f t="shared" si="353"/>
        <v>4.3888054666927814E-2</v>
      </c>
      <c r="V221" s="221">
        <f t="shared" si="354"/>
        <v>3.1282890118984184E-2</v>
      </c>
      <c r="W221" s="201">
        <f t="shared" si="355"/>
        <v>350</v>
      </c>
      <c r="X221" s="451">
        <f t="shared" si="356"/>
        <v>350</v>
      </c>
      <c r="Z221" s="221">
        <f t="shared" si="357"/>
        <v>4.0511577948192743</v>
      </c>
      <c r="AA221" s="177">
        <f t="shared" si="358"/>
        <v>1.1890190592760972</v>
      </c>
      <c r="AB221" s="177">
        <f t="shared" si="359"/>
        <v>1.1323318705262224</v>
      </c>
      <c r="AC221" s="177"/>
      <c r="AD221" s="177">
        <f t="shared" si="360"/>
        <v>0.24067085953878403</v>
      </c>
      <c r="AE221" s="559">
        <f t="shared" si="361"/>
        <v>226.33211523752871</v>
      </c>
      <c r="AF221" s="542">
        <f t="shared" si="362"/>
        <v>4.6392002252886505E-2</v>
      </c>
      <c r="AH221" s="177">
        <f t="shared" si="363"/>
        <v>0.64047176489885405</v>
      </c>
      <c r="AI221" s="177">
        <f t="shared" si="364"/>
        <v>0.82</v>
      </c>
      <c r="AJ221" s="177">
        <f t="shared" si="365"/>
        <v>1.1293326372785879</v>
      </c>
      <c r="AL221" s="559">
        <f t="shared" si="366"/>
        <v>30</v>
      </c>
      <c r="AM221" s="469">
        <f t="shared" si="367"/>
        <v>226.33211523752871</v>
      </c>
      <c r="AO221">
        <f t="shared" si="368"/>
        <v>30</v>
      </c>
      <c r="AP221">
        <f t="shared" si="369"/>
        <v>226.33211523752871</v>
      </c>
      <c r="AR221" s="5">
        <f t="shared" si="333"/>
        <v>4.4182859288463341</v>
      </c>
      <c r="AS221" s="5">
        <f t="shared" si="324"/>
        <v>0.33764705882352936</v>
      </c>
      <c r="AT221" s="5">
        <f t="shared" si="325"/>
        <v>4.0806388700228045</v>
      </c>
      <c r="AU221" s="177">
        <f t="shared" si="326"/>
        <v>7.642037302725968E-2</v>
      </c>
      <c r="AW221" s="5">
        <f t="shared" si="370"/>
        <v>10.014141569481827</v>
      </c>
      <c r="AX221" s="5">
        <f t="shared" si="371"/>
        <v>0.12072520708818288</v>
      </c>
      <c r="AY221" s="5">
        <f t="shared" si="372"/>
        <v>0.70947993256842168</v>
      </c>
      <c r="AZ221" s="5">
        <f t="shared" si="373"/>
        <v>2.3515846267086603E-2</v>
      </c>
      <c r="BA221" s="5">
        <f t="shared" si="374"/>
        <v>0.16928966210001728</v>
      </c>
      <c r="BB221" s="5"/>
      <c r="CE221" s="576">
        <f t="shared" si="375"/>
        <v>-50</v>
      </c>
    </row>
    <row r="222" spans="5:84" x14ac:dyDescent="0.25">
      <c r="E222" s="174">
        <v>4</v>
      </c>
      <c r="F222" s="221">
        <f t="shared" si="376"/>
        <v>0.04</v>
      </c>
      <c r="G222" s="221">
        <f t="shared" si="340"/>
        <v>0.01</v>
      </c>
      <c r="H222" s="221">
        <f t="shared" si="341"/>
        <v>0.6</v>
      </c>
      <c r="I222" s="221">
        <f t="shared" si="342"/>
        <v>7.0000000000000007E-2</v>
      </c>
      <c r="J222" s="555">
        <f t="shared" si="343"/>
        <v>17</v>
      </c>
      <c r="K222" s="451">
        <f t="shared" si="344"/>
        <v>23.85</v>
      </c>
      <c r="L222" s="451">
        <f t="shared" si="345"/>
        <v>40.85</v>
      </c>
      <c r="M222" s="451"/>
      <c r="N222" s="221">
        <f t="shared" si="346"/>
        <v>0.58384332925336602</v>
      </c>
      <c r="O222" s="176">
        <f t="shared" si="347"/>
        <v>17.310083304408188</v>
      </c>
      <c r="P222" s="176">
        <f t="shared" si="348"/>
        <v>2.0195097188476221</v>
      </c>
      <c r="Q222" s="221">
        <f t="shared" si="349"/>
        <v>1.1540055536272125</v>
      </c>
      <c r="R222" s="221">
        <f t="shared" si="350"/>
        <v>2.4728690434868841</v>
      </c>
      <c r="S222" s="221">
        <f t="shared" si="351"/>
        <v>15</v>
      </c>
      <c r="T222" s="221">
        <f t="shared" si="352"/>
        <v>0.14211370082624245</v>
      </c>
      <c r="U222" s="221">
        <f t="shared" si="353"/>
        <v>5.8517406222570421E-2</v>
      </c>
      <c r="V222" s="221">
        <f t="shared" si="354"/>
        <v>4.1710520158645577E-2</v>
      </c>
      <c r="W222" s="201">
        <f t="shared" si="355"/>
        <v>350</v>
      </c>
      <c r="X222" s="451">
        <f t="shared" si="356"/>
        <v>350</v>
      </c>
      <c r="Z222" s="221">
        <f t="shared" si="357"/>
        <v>4.0511577948192743</v>
      </c>
      <c r="AA222" s="177">
        <f t="shared" si="358"/>
        <v>1.1890190592760972</v>
      </c>
      <c r="AB222" s="177">
        <f t="shared" si="359"/>
        <v>1.1323318705262224</v>
      </c>
      <c r="AC222" s="177"/>
      <c r="AD222" s="177">
        <f t="shared" si="360"/>
        <v>0.24067085953878403</v>
      </c>
      <c r="AE222" s="559">
        <f t="shared" si="361"/>
        <v>301.77615365003834</v>
      </c>
      <c r="AF222" s="542">
        <f t="shared" si="362"/>
        <v>4.6392002252886505E-2</v>
      </c>
      <c r="AH222" s="177">
        <f t="shared" si="363"/>
        <v>0.73955309174541617</v>
      </c>
      <c r="AI222" s="177">
        <f t="shared" si="364"/>
        <v>0.82</v>
      </c>
      <c r="AJ222" s="177">
        <f t="shared" si="365"/>
        <v>1.1724435163714504</v>
      </c>
      <c r="AL222" s="559">
        <f t="shared" si="366"/>
        <v>40</v>
      </c>
      <c r="AM222" s="469">
        <f t="shared" si="367"/>
        <v>301.77615365003834</v>
      </c>
      <c r="AO222">
        <f t="shared" si="368"/>
        <v>40</v>
      </c>
      <c r="AP222">
        <f t="shared" si="369"/>
        <v>301.77615365003834</v>
      </c>
      <c r="AR222" s="5">
        <f t="shared" si="333"/>
        <v>3.3137144466347497</v>
      </c>
      <c r="AS222" s="5">
        <f t="shared" si="324"/>
        <v>0.33764705882352936</v>
      </c>
      <c r="AT222" s="5">
        <f t="shared" si="325"/>
        <v>2.9760673878112205</v>
      </c>
      <c r="AU222" s="177">
        <f t="shared" si="326"/>
        <v>0.10189383070301293</v>
      </c>
      <c r="AW222" s="5">
        <f t="shared" si="370"/>
        <v>10.014141569481827</v>
      </c>
      <c r="AX222" s="5">
        <f t="shared" si="371"/>
        <v>0.17462259037899178</v>
      </c>
      <c r="AY222" s="5">
        <f t="shared" si="372"/>
        <v>0.70947993256842168</v>
      </c>
      <c r="AZ222" s="5">
        <f t="shared" si="373"/>
        <v>3.1805948919265074E-2</v>
      </c>
      <c r="BA222" s="5">
        <f t="shared" si="374"/>
        <v>0.16462044580668878</v>
      </c>
      <c r="BB222" s="5"/>
      <c r="CE222" s="576">
        <f t="shared" si="375"/>
        <v>-50</v>
      </c>
    </row>
    <row r="223" spans="5:84" x14ac:dyDescent="0.25">
      <c r="E223" s="174">
        <v>5</v>
      </c>
      <c r="F223" s="221">
        <f t="shared" si="376"/>
        <v>0.05</v>
      </c>
      <c r="G223" s="221">
        <f t="shared" si="340"/>
        <v>1.2500000000000001E-2</v>
      </c>
      <c r="H223" s="221">
        <f t="shared" si="341"/>
        <v>0.75</v>
      </c>
      <c r="I223" s="221">
        <f t="shared" si="342"/>
        <v>8.7500000000000008E-2</v>
      </c>
      <c r="J223" s="555">
        <f t="shared" si="343"/>
        <v>17</v>
      </c>
      <c r="K223" s="451">
        <f t="shared" si="344"/>
        <v>23.85</v>
      </c>
      <c r="L223" s="451">
        <f t="shared" si="345"/>
        <v>40.85</v>
      </c>
      <c r="M223" s="451"/>
      <c r="N223" s="221">
        <f t="shared" si="346"/>
        <v>0.58384332925336602</v>
      </c>
      <c r="O223" s="176">
        <f t="shared" si="347"/>
        <v>17.310083304408188</v>
      </c>
      <c r="P223" s="176">
        <f t="shared" si="348"/>
        <v>2.0195097188476221</v>
      </c>
      <c r="Q223" s="221">
        <f t="shared" si="349"/>
        <v>1.1540055536272125</v>
      </c>
      <c r="R223" s="221">
        <f t="shared" si="350"/>
        <v>2.4728690434868841</v>
      </c>
      <c r="S223" s="221">
        <f t="shared" si="351"/>
        <v>15</v>
      </c>
      <c r="T223" s="221">
        <f t="shared" si="352"/>
        <v>0.17764212603280308</v>
      </c>
      <c r="U223" s="221">
        <f t="shared" si="353"/>
        <v>7.3146757778213015E-2</v>
      </c>
      <c r="V223" s="221">
        <f t="shared" si="354"/>
        <v>5.2138150198306976E-2</v>
      </c>
      <c r="W223" s="201">
        <f t="shared" si="355"/>
        <v>350</v>
      </c>
      <c r="X223" s="451">
        <f t="shared" si="356"/>
        <v>350</v>
      </c>
      <c r="Z223" s="221">
        <f t="shared" si="357"/>
        <v>4.0511577948192743</v>
      </c>
      <c r="AA223" s="177">
        <f t="shared" si="358"/>
        <v>1.1890190592760972</v>
      </c>
      <c r="AB223" s="177">
        <f t="shared" si="359"/>
        <v>1.1323318705262224</v>
      </c>
      <c r="AC223" s="177"/>
      <c r="AD223" s="177">
        <f t="shared" si="360"/>
        <v>0.24067085953878403</v>
      </c>
      <c r="AE223" s="559">
        <f t="shared" si="361"/>
        <v>377.22019206254794</v>
      </c>
      <c r="AF223" s="542">
        <f t="shared" si="362"/>
        <v>4.6392002252886505E-2</v>
      </c>
      <c r="AH223" s="177">
        <f t="shared" si="363"/>
        <v>0.82684549305644461</v>
      </c>
      <c r="AI223" s="177">
        <f t="shared" si="364"/>
        <v>0.82684549305644461</v>
      </c>
      <c r="AJ223" s="177">
        <f t="shared" si="365"/>
        <v>1.2050707355973664</v>
      </c>
      <c r="AL223" s="559">
        <f t="shared" si="366"/>
        <v>50</v>
      </c>
      <c r="AM223" s="469">
        <f t="shared" si="367"/>
        <v>350</v>
      </c>
      <c r="AO223">
        <f t="shared" si="368"/>
        <v>50</v>
      </c>
      <c r="AP223">
        <f t="shared" si="369"/>
        <v>350</v>
      </c>
      <c r="AR223" s="5">
        <f t="shared" si="333"/>
        <v>2.8571428571428572</v>
      </c>
      <c r="AS223" s="5">
        <f t="shared" si="324"/>
        <v>0.34046579125853599</v>
      </c>
      <c r="AT223" s="5">
        <f t="shared" si="325"/>
        <v>2.5166770658843212</v>
      </c>
      <c r="AU223" s="177">
        <f t="shared" si="326"/>
        <v>0.1191630269404876</v>
      </c>
      <c r="AW223" s="5">
        <f t="shared" si="370"/>
        <v>10.014141569481827</v>
      </c>
      <c r="AX223" s="5">
        <f t="shared" si="371"/>
        <v>0.23534779746717471</v>
      </c>
      <c r="AY223" s="5">
        <f t="shared" si="372"/>
        <v>0.70947993256842168</v>
      </c>
      <c r="AZ223" s="5">
        <f t="shared" si="373"/>
        <v>4.0321795186351685E-2</v>
      </c>
      <c r="BA223" s="5">
        <f t="shared" si="374"/>
        <v>0.17401172694968992</v>
      </c>
      <c r="BB223" s="5"/>
      <c r="CE223" s="576">
        <f t="shared" si="375"/>
        <v>-50</v>
      </c>
    </row>
    <row r="224" spans="5:84" x14ac:dyDescent="0.25">
      <c r="E224" s="174">
        <v>6</v>
      </c>
      <c r="F224" s="221">
        <f t="shared" si="376"/>
        <v>0.06</v>
      </c>
      <c r="G224" s="221">
        <f t="shared" si="340"/>
        <v>1.4999999999999999E-2</v>
      </c>
      <c r="H224" s="221">
        <f t="shared" si="341"/>
        <v>0.89999999999999991</v>
      </c>
      <c r="I224" s="221">
        <f t="shared" si="342"/>
        <v>0.105</v>
      </c>
      <c r="J224" s="555">
        <f t="shared" si="343"/>
        <v>17</v>
      </c>
      <c r="K224" s="451">
        <f t="shared" si="344"/>
        <v>23.85</v>
      </c>
      <c r="L224" s="451">
        <f t="shared" si="345"/>
        <v>40.85</v>
      </c>
      <c r="M224" s="451"/>
      <c r="N224" s="221">
        <f t="shared" si="346"/>
        <v>0.58384332925336602</v>
      </c>
      <c r="O224" s="176">
        <f t="shared" si="347"/>
        <v>17.310083304408188</v>
      </c>
      <c r="P224" s="176">
        <f t="shared" si="348"/>
        <v>2.0195097188476221</v>
      </c>
      <c r="Q224" s="221">
        <f t="shared" si="349"/>
        <v>1.1540055536272125</v>
      </c>
      <c r="R224" s="221">
        <f t="shared" si="350"/>
        <v>2.4728690434868841</v>
      </c>
      <c r="S224" s="221">
        <f t="shared" si="351"/>
        <v>15</v>
      </c>
      <c r="T224" s="221">
        <f t="shared" si="352"/>
        <v>0.21317055123936368</v>
      </c>
      <c r="U224" s="221">
        <f t="shared" si="353"/>
        <v>8.7776109333855629E-2</v>
      </c>
      <c r="V224" s="221">
        <f t="shared" si="354"/>
        <v>6.2565780237968369E-2</v>
      </c>
      <c r="W224" s="201">
        <f t="shared" si="355"/>
        <v>350</v>
      </c>
      <c r="X224" s="451">
        <f t="shared" si="356"/>
        <v>350</v>
      </c>
      <c r="Z224" s="221">
        <f t="shared" si="357"/>
        <v>4.0511577948192743</v>
      </c>
      <c r="AA224" s="177">
        <f t="shared" si="358"/>
        <v>1.1890190592760972</v>
      </c>
      <c r="AB224" s="177">
        <f t="shared" si="359"/>
        <v>1.1323318705262224</v>
      </c>
      <c r="AC224" s="177"/>
      <c r="AD224" s="177">
        <f t="shared" si="360"/>
        <v>0.24067085953878403</v>
      </c>
      <c r="AE224" s="559">
        <f t="shared" si="361"/>
        <v>452.66423047505742</v>
      </c>
      <c r="AF224" s="542">
        <f t="shared" si="362"/>
        <v>4.6392002252886505E-2</v>
      </c>
      <c r="AH224" s="177">
        <f t="shared" si="363"/>
        <v>0.90576385623699185</v>
      </c>
      <c r="AI224" s="177">
        <f t="shared" si="364"/>
        <v>0.90576385623699185</v>
      </c>
      <c r="AJ224" s="177">
        <f t="shared" si="365"/>
        <v>1.2635287823977717</v>
      </c>
      <c r="AL224" s="559">
        <f t="shared" si="366"/>
        <v>60</v>
      </c>
      <c r="AM224" s="469">
        <f t="shared" si="367"/>
        <v>350</v>
      </c>
      <c r="AO224">
        <f t="shared" si="368"/>
        <v>60</v>
      </c>
      <c r="AP224">
        <f t="shared" si="369"/>
        <v>350</v>
      </c>
      <c r="AR224" s="5">
        <f t="shared" si="333"/>
        <v>2.8571428571428572</v>
      </c>
      <c r="AS224" s="5">
        <f t="shared" si="324"/>
        <v>0.37296158786229078</v>
      </c>
      <c r="AT224" s="5">
        <f t="shared" si="325"/>
        <v>2.4841812692805663</v>
      </c>
      <c r="AU224" s="177">
        <f t="shared" si="326"/>
        <v>0.13053655575180176</v>
      </c>
      <c r="AW224" s="5">
        <f t="shared" si="370"/>
        <v>10.014141569481827</v>
      </c>
      <c r="AX224" s="5">
        <f t="shared" si="371"/>
        <v>0.30290082835273147</v>
      </c>
      <c r="AY224" s="5">
        <f t="shared" si="372"/>
        <v>0.70947993256842168</v>
      </c>
      <c r="AZ224" s="5">
        <f t="shared" si="373"/>
        <v>4.9063385068346413E-2</v>
      </c>
      <c r="BA224" s="5">
        <f t="shared" si="374"/>
        <v>0.20611782667714915</v>
      </c>
      <c r="BB224" s="5"/>
      <c r="CE224" s="576">
        <f t="shared" si="375"/>
        <v>-50</v>
      </c>
    </row>
    <row r="225" spans="5:83" x14ac:dyDescent="0.25">
      <c r="E225" s="174">
        <v>7</v>
      </c>
      <c r="F225" s="221">
        <f t="shared" si="376"/>
        <v>7.0000000000000007E-2</v>
      </c>
      <c r="G225" s="221">
        <f t="shared" si="340"/>
        <v>1.7500000000000002E-2</v>
      </c>
      <c r="H225" s="221">
        <f t="shared" si="341"/>
        <v>1.05</v>
      </c>
      <c r="I225" s="221">
        <f t="shared" si="342"/>
        <v>0.12250000000000001</v>
      </c>
      <c r="J225" s="555">
        <f t="shared" si="343"/>
        <v>17</v>
      </c>
      <c r="K225" s="451">
        <f t="shared" si="344"/>
        <v>23.85</v>
      </c>
      <c r="L225" s="451">
        <f t="shared" si="345"/>
        <v>40.85</v>
      </c>
      <c r="M225" s="451"/>
      <c r="N225" s="221">
        <f t="shared" si="346"/>
        <v>0.58384332925336602</v>
      </c>
      <c r="O225" s="176">
        <f t="shared" si="347"/>
        <v>17.310083304408188</v>
      </c>
      <c r="P225" s="176">
        <f t="shared" si="348"/>
        <v>2.0195097188476221</v>
      </c>
      <c r="Q225" s="221">
        <f t="shared" si="349"/>
        <v>1.1540055536272125</v>
      </c>
      <c r="R225" s="221">
        <f t="shared" si="350"/>
        <v>2.4728690434868841</v>
      </c>
      <c r="S225" s="221">
        <f t="shared" si="351"/>
        <v>15</v>
      </c>
      <c r="T225" s="221">
        <f t="shared" si="352"/>
        <v>0.24869897644592431</v>
      </c>
      <c r="U225" s="221">
        <f t="shared" si="353"/>
        <v>0.10240546088949824</v>
      </c>
      <c r="V225" s="221">
        <f t="shared" si="354"/>
        <v>7.2993410277629761E-2</v>
      </c>
      <c r="W225" s="201">
        <f t="shared" si="355"/>
        <v>350</v>
      </c>
      <c r="X225" s="451">
        <f t="shared" si="356"/>
        <v>350</v>
      </c>
      <c r="Z225" s="221">
        <f t="shared" si="357"/>
        <v>4.0511577948192743</v>
      </c>
      <c r="AA225" s="177">
        <f t="shared" si="358"/>
        <v>1.1890190592760972</v>
      </c>
      <c r="AB225" s="177">
        <f t="shared" si="359"/>
        <v>1.1323318705262224</v>
      </c>
      <c r="AC225" s="177"/>
      <c r="AD225" s="177">
        <f t="shared" si="360"/>
        <v>0.24067085953878403</v>
      </c>
      <c r="AE225" s="559">
        <f t="shared" si="361"/>
        <v>528.10826888756708</v>
      </c>
      <c r="AF225" s="542">
        <f t="shared" si="362"/>
        <v>4.6392002252886505E-2</v>
      </c>
      <c r="AH225" s="177">
        <f t="shared" si="363"/>
        <v>0.97833678104365329</v>
      </c>
      <c r="AI225" s="177">
        <f t="shared" si="364"/>
        <v>0.97833678104365329</v>
      </c>
      <c r="AJ225" s="177">
        <f t="shared" si="365"/>
        <v>1.3172865044767801</v>
      </c>
      <c r="AL225" s="559">
        <f t="shared" si="366"/>
        <v>70</v>
      </c>
      <c r="AM225" s="469">
        <f t="shared" si="367"/>
        <v>350</v>
      </c>
      <c r="AO225">
        <f t="shared" si="368"/>
        <v>70</v>
      </c>
      <c r="AP225">
        <f t="shared" si="369"/>
        <v>350</v>
      </c>
      <c r="AR225" s="5">
        <f t="shared" si="333"/>
        <v>2.8571428571428572</v>
      </c>
      <c r="AS225" s="5">
        <f t="shared" si="324"/>
        <v>0.40284455690032783</v>
      </c>
      <c r="AT225" s="5">
        <f t="shared" si="325"/>
        <v>2.4542983002425292</v>
      </c>
      <c r="AU225" s="177">
        <f t="shared" si="326"/>
        <v>0.14099559491511474</v>
      </c>
      <c r="AW225" s="5">
        <f t="shared" si="370"/>
        <v>10.014141569481827</v>
      </c>
      <c r="AX225" s="5">
        <f t="shared" si="371"/>
        <v>0.37728168303566234</v>
      </c>
      <c r="AY225" s="5">
        <f t="shared" si="372"/>
        <v>0.70947993256842168</v>
      </c>
      <c r="AZ225" s="5">
        <f t="shared" si="373"/>
        <v>5.8030718565249294E-2</v>
      </c>
      <c r="BA225" s="5">
        <f t="shared" si="374"/>
        <v>0.23757810171594354</v>
      </c>
      <c r="BB225" s="5"/>
      <c r="CE225" s="576">
        <f t="shared" si="375"/>
        <v>-50</v>
      </c>
    </row>
    <row r="226" spans="5:83" x14ac:dyDescent="0.25">
      <c r="E226" s="174">
        <v>8</v>
      </c>
      <c r="F226" s="221">
        <f t="shared" si="376"/>
        <v>0.08</v>
      </c>
      <c r="G226" s="221">
        <f t="shared" si="340"/>
        <v>0.02</v>
      </c>
      <c r="H226" s="221">
        <f t="shared" si="341"/>
        <v>1.2</v>
      </c>
      <c r="I226" s="221">
        <f t="shared" si="342"/>
        <v>0.14000000000000001</v>
      </c>
      <c r="J226" s="555">
        <f t="shared" si="343"/>
        <v>17</v>
      </c>
      <c r="K226" s="451">
        <f t="shared" si="344"/>
        <v>23.85</v>
      </c>
      <c r="L226" s="451">
        <f t="shared" si="345"/>
        <v>40.85</v>
      </c>
      <c r="M226" s="451"/>
      <c r="N226" s="221">
        <f t="shared" si="346"/>
        <v>0.58384332925336602</v>
      </c>
      <c r="O226" s="176">
        <f t="shared" si="347"/>
        <v>17.310083304408188</v>
      </c>
      <c r="P226" s="176">
        <f t="shared" si="348"/>
        <v>2.0195097188476221</v>
      </c>
      <c r="Q226" s="221">
        <f t="shared" si="349"/>
        <v>1.1540055536272125</v>
      </c>
      <c r="R226" s="221">
        <f t="shared" si="350"/>
        <v>2.4728690434868841</v>
      </c>
      <c r="S226" s="221">
        <f t="shared" si="351"/>
        <v>15</v>
      </c>
      <c r="T226" s="221">
        <f t="shared" si="352"/>
        <v>0.28422740165248489</v>
      </c>
      <c r="U226" s="221">
        <f t="shared" si="353"/>
        <v>0.11703481244514084</v>
      </c>
      <c r="V226" s="221">
        <f t="shared" si="354"/>
        <v>8.3421040317291154E-2</v>
      </c>
      <c r="W226" s="201">
        <f t="shared" si="355"/>
        <v>350</v>
      </c>
      <c r="X226" s="451">
        <f t="shared" si="356"/>
        <v>350</v>
      </c>
      <c r="Z226" s="221">
        <f t="shared" si="357"/>
        <v>4.0511577948192743</v>
      </c>
      <c r="AA226" s="177">
        <f t="shared" si="358"/>
        <v>1.1890190592760972</v>
      </c>
      <c r="AB226" s="177">
        <f t="shared" si="359"/>
        <v>1.1323318705262224</v>
      </c>
      <c r="AC226" s="177"/>
      <c r="AD226" s="177">
        <f t="shared" si="360"/>
        <v>0.24067085953878403</v>
      </c>
      <c r="AE226" s="559">
        <f t="shared" si="361"/>
        <v>603.55230730007668</v>
      </c>
      <c r="AF226" s="542">
        <f t="shared" si="362"/>
        <v>4.6392002252886505E-2</v>
      </c>
      <c r="AH226" s="177">
        <f t="shared" si="363"/>
        <v>1.0458860124413214</v>
      </c>
      <c r="AI226" s="177">
        <f t="shared" si="364"/>
        <v>1.0458860124413214</v>
      </c>
      <c r="AJ226" s="177">
        <f t="shared" si="365"/>
        <v>1.3673229721787565</v>
      </c>
      <c r="AL226" s="559">
        <f t="shared" si="366"/>
        <v>80</v>
      </c>
      <c r="AM226" s="469">
        <f t="shared" si="367"/>
        <v>350</v>
      </c>
      <c r="AO226">
        <f t="shared" si="368"/>
        <v>80</v>
      </c>
      <c r="AP226">
        <f t="shared" si="369"/>
        <v>350</v>
      </c>
      <c r="AR226" s="5">
        <f t="shared" si="333"/>
        <v>2.8571428571428572</v>
      </c>
      <c r="AS226" s="5">
        <f t="shared" si="324"/>
        <v>0.43065894629936763</v>
      </c>
      <c r="AT226" s="5">
        <f t="shared" si="325"/>
        <v>2.4264839108434897</v>
      </c>
      <c r="AU226" s="177">
        <f t="shared" si="326"/>
        <v>0.15073063120477867</v>
      </c>
      <c r="AW226" s="5">
        <f t="shared" si="370"/>
        <v>10.014141569481827</v>
      </c>
      <c r="AX226" s="5">
        <f t="shared" si="371"/>
        <v>0.45849036151596712</v>
      </c>
      <c r="AY226" s="5">
        <f t="shared" si="372"/>
        <v>0.70947993256842168</v>
      </c>
      <c r="AZ226" s="5">
        <f t="shared" si="373"/>
        <v>6.7223795677060286E-2</v>
      </c>
      <c r="BA226" s="5">
        <f t="shared" si="374"/>
        <v>0.2684407381242746</v>
      </c>
      <c r="BB226" s="5"/>
      <c r="CE226" s="576">
        <f t="shared" si="375"/>
        <v>-50</v>
      </c>
    </row>
    <row r="227" spans="5:83" x14ac:dyDescent="0.25">
      <c r="E227" s="174">
        <v>9</v>
      </c>
      <c r="F227" s="221">
        <f t="shared" si="376"/>
        <v>0.09</v>
      </c>
      <c r="G227" s="221">
        <f t="shared" si="340"/>
        <v>2.2499999999999999E-2</v>
      </c>
      <c r="H227" s="221">
        <f t="shared" si="341"/>
        <v>1.3499999999999999</v>
      </c>
      <c r="I227" s="221">
        <f t="shared" si="342"/>
        <v>0.1575</v>
      </c>
      <c r="J227" s="555">
        <f t="shared" si="343"/>
        <v>17</v>
      </c>
      <c r="K227" s="451">
        <f t="shared" si="344"/>
        <v>23.85</v>
      </c>
      <c r="L227" s="451">
        <f t="shared" si="345"/>
        <v>40.85</v>
      </c>
      <c r="M227" s="451"/>
      <c r="N227" s="221">
        <f t="shared" si="346"/>
        <v>0.58384332925336602</v>
      </c>
      <c r="O227" s="176">
        <f t="shared" si="347"/>
        <v>17.310083304408188</v>
      </c>
      <c r="P227" s="176">
        <f t="shared" si="348"/>
        <v>2.0195097188476221</v>
      </c>
      <c r="Q227" s="221">
        <f t="shared" si="349"/>
        <v>1.1540055536272125</v>
      </c>
      <c r="R227" s="221">
        <f t="shared" si="350"/>
        <v>2.4728690434868841</v>
      </c>
      <c r="S227" s="221">
        <f t="shared" si="351"/>
        <v>15</v>
      </c>
      <c r="T227" s="221">
        <f t="shared" si="352"/>
        <v>0.31975582685904552</v>
      </c>
      <c r="U227" s="221">
        <f t="shared" si="353"/>
        <v>0.13166416400078346</v>
      </c>
      <c r="V227" s="221">
        <f t="shared" si="354"/>
        <v>9.3848670356952546E-2</v>
      </c>
      <c r="W227" s="201">
        <f t="shared" si="355"/>
        <v>350</v>
      </c>
      <c r="X227" s="451">
        <f t="shared" si="356"/>
        <v>350</v>
      </c>
      <c r="Z227" s="221">
        <f t="shared" si="357"/>
        <v>4.0511577948192743</v>
      </c>
      <c r="AA227" s="177">
        <f t="shared" si="358"/>
        <v>1.1890190592760972</v>
      </c>
      <c r="AB227" s="177">
        <f t="shared" si="359"/>
        <v>1.1323318705262224</v>
      </c>
      <c r="AC227" s="177"/>
      <c r="AD227" s="177">
        <f t="shared" si="360"/>
        <v>0.24067085953878403</v>
      </c>
      <c r="AE227" s="559">
        <f t="shared" si="361"/>
        <v>678.99634571258628</v>
      </c>
      <c r="AF227" s="542">
        <f t="shared" si="362"/>
        <v>4.6392002252886505E-2</v>
      </c>
      <c r="AH227" s="177">
        <f t="shared" si="363"/>
        <v>1.1093296376181243</v>
      </c>
      <c r="AI227" s="177">
        <f t="shared" si="364"/>
        <v>1.1093296376181243</v>
      </c>
      <c r="AJ227" s="177">
        <f t="shared" si="365"/>
        <v>1.4143182500874996</v>
      </c>
      <c r="AL227" s="559">
        <f t="shared" si="366"/>
        <v>90</v>
      </c>
      <c r="AM227" s="469">
        <f t="shared" si="367"/>
        <v>350</v>
      </c>
      <c r="AO227">
        <f t="shared" si="368"/>
        <v>90</v>
      </c>
      <c r="AP227">
        <f t="shared" si="369"/>
        <v>350</v>
      </c>
      <c r="AR227" s="5">
        <f t="shared" si="333"/>
        <v>2.8571428571428572</v>
      </c>
      <c r="AS227" s="5">
        <f t="shared" si="324"/>
        <v>0.45678279196040411</v>
      </c>
      <c r="AT227" s="5">
        <f t="shared" si="325"/>
        <v>2.4003600651824533</v>
      </c>
      <c r="AU227" s="177">
        <f t="shared" si="326"/>
        <v>0.15987397718614144</v>
      </c>
      <c r="AW227" s="5">
        <f t="shared" si="370"/>
        <v>10.014141569481827</v>
      </c>
      <c r="AX227" s="5">
        <f t="shared" si="371"/>
        <v>0.54652686379364601</v>
      </c>
      <c r="AY227" s="5">
        <f t="shared" si="372"/>
        <v>0.70947993256842168</v>
      </c>
      <c r="AZ227" s="5">
        <f t="shared" si="373"/>
        <v>7.6642616403779437E-2</v>
      </c>
      <c r="BA227" s="5">
        <f t="shared" si="374"/>
        <v>0.29874450346852821</v>
      </c>
      <c r="BB227" s="5"/>
      <c r="CE227" s="576">
        <f t="shared" si="375"/>
        <v>-50</v>
      </c>
    </row>
    <row r="228" spans="5:83" x14ac:dyDescent="0.25">
      <c r="E228" s="174">
        <v>10</v>
      </c>
      <c r="F228" s="221">
        <f t="shared" si="376"/>
        <v>0.1</v>
      </c>
      <c r="G228" s="221">
        <f t="shared" si="340"/>
        <v>2.5000000000000001E-2</v>
      </c>
      <c r="H228" s="221">
        <f t="shared" si="341"/>
        <v>1.5</v>
      </c>
      <c r="I228" s="221">
        <f t="shared" si="342"/>
        <v>0.17500000000000002</v>
      </c>
      <c r="J228" s="555">
        <f t="shared" si="343"/>
        <v>17</v>
      </c>
      <c r="K228" s="451">
        <f t="shared" si="344"/>
        <v>23.85</v>
      </c>
      <c r="L228" s="451">
        <f t="shared" si="345"/>
        <v>40.85</v>
      </c>
      <c r="M228" s="451"/>
      <c r="N228" s="221">
        <f t="shared" si="346"/>
        <v>0.58384332925336602</v>
      </c>
      <c r="O228" s="176">
        <f t="shared" si="347"/>
        <v>17.310083304408188</v>
      </c>
      <c r="P228" s="176">
        <f t="shared" si="348"/>
        <v>2.0195097188476221</v>
      </c>
      <c r="Q228" s="221">
        <f t="shared" si="349"/>
        <v>1.1540055536272125</v>
      </c>
      <c r="R228" s="221">
        <f t="shared" si="350"/>
        <v>2.4728690434868841</v>
      </c>
      <c r="S228" s="221">
        <f t="shared" si="351"/>
        <v>15</v>
      </c>
      <c r="T228" s="221">
        <f t="shared" si="352"/>
        <v>0.35528425206560615</v>
      </c>
      <c r="U228" s="221">
        <f t="shared" si="353"/>
        <v>0.14629351555642603</v>
      </c>
      <c r="V228" s="221">
        <f t="shared" si="354"/>
        <v>0.10427630039661395</v>
      </c>
      <c r="W228" s="201">
        <f t="shared" si="355"/>
        <v>350</v>
      </c>
      <c r="X228" s="451">
        <f t="shared" si="356"/>
        <v>350</v>
      </c>
      <c r="Z228" s="221">
        <f t="shared" si="357"/>
        <v>4.0511577948192743</v>
      </c>
      <c r="AA228" s="177">
        <f t="shared" si="358"/>
        <v>1.1890190592760972</v>
      </c>
      <c r="AB228" s="177">
        <f t="shared" si="359"/>
        <v>1.1323318705262224</v>
      </c>
      <c r="AC228" s="177"/>
      <c r="AD228" s="177">
        <f t="shared" si="360"/>
        <v>0.24067085953878403</v>
      </c>
      <c r="AE228" s="559">
        <f t="shared" si="361"/>
        <v>754.44038412509587</v>
      </c>
      <c r="AF228" s="542">
        <f t="shared" si="362"/>
        <v>4.6392002252886505E-2</v>
      </c>
      <c r="AH228" s="177">
        <f t="shared" si="363"/>
        <v>1.1693361102674928</v>
      </c>
      <c r="AI228" s="177">
        <f t="shared" si="364"/>
        <v>1.1693361102674928</v>
      </c>
      <c r="AJ228" s="177">
        <f t="shared" si="365"/>
        <v>1.4587674890870317</v>
      </c>
      <c r="AL228" s="559">
        <f t="shared" si="366"/>
        <v>100</v>
      </c>
      <c r="AM228" s="469">
        <f t="shared" si="367"/>
        <v>350</v>
      </c>
      <c r="AO228">
        <f t="shared" si="368"/>
        <v>100</v>
      </c>
      <c r="AP228">
        <f t="shared" si="369"/>
        <v>350</v>
      </c>
      <c r="AR228" s="5">
        <f t="shared" si="333"/>
        <v>2.8571428571428572</v>
      </c>
      <c r="AS228" s="5">
        <f t="shared" si="324"/>
        <v>0.48149133952190876</v>
      </c>
      <c r="AT228" s="5">
        <f t="shared" si="325"/>
        <v>2.3756515176209483</v>
      </c>
      <c r="AU228" s="177">
        <f t="shared" si="326"/>
        <v>0.16852196883266807</v>
      </c>
      <c r="AW228" s="5">
        <f t="shared" si="370"/>
        <v>10.014141569481827</v>
      </c>
      <c r="AX228" s="5">
        <f t="shared" si="371"/>
        <v>0.64139118986869881</v>
      </c>
      <c r="AY228" s="5">
        <f t="shared" si="372"/>
        <v>0.70947993256842168</v>
      </c>
      <c r="AZ228" s="5">
        <f t="shared" si="373"/>
        <v>8.6287180745406727E-2</v>
      </c>
      <c r="BA228" s="5">
        <f t="shared" si="374"/>
        <v>0.32852146889701456</v>
      </c>
      <c r="BB228" s="5"/>
      <c r="CE228" s="576">
        <f t="shared" si="375"/>
        <v>-50</v>
      </c>
    </row>
    <row r="229" spans="5:83" x14ac:dyDescent="0.25">
      <c r="E229" s="174">
        <v>11</v>
      </c>
      <c r="F229" s="221">
        <f t="shared" si="376"/>
        <v>0.11</v>
      </c>
      <c r="G229" s="221">
        <f t="shared" si="340"/>
        <v>2.75E-2</v>
      </c>
      <c r="H229" s="221">
        <f t="shared" si="341"/>
        <v>1.65</v>
      </c>
      <c r="I229" s="221">
        <f t="shared" si="342"/>
        <v>0.1925</v>
      </c>
      <c r="J229" s="555">
        <f t="shared" si="343"/>
        <v>17</v>
      </c>
      <c r="K229" s="451">
        <f t="shared" si="344"/>
        <v>23.85</v>
      </c>
      <c r="L229" s="451">
        <f t="shared" si="345"/>
        <v>40.85</v>
      </c>
      <c r="M229" s="451"/>
      <c r="N229" s="221">
        <f t="shared" si="346"/>
        <v>0.58384332925336602</v>
      </c>
      <c r="O229" s="176">
        <f t="shared" si="347"/>
        <v>17.310083304408188</v>
      </c>
      <c r="P229" s="176">
        <f t="shared" si="348"/>
        <v>2.0195097188476221</v>
      </c>
      <c r="Q229" s="221">
        <f t="shared" si="349"/>
        <v>1.1540055536272125</v>
      </c>
      <c r="R229" s="221">
        <f t="shared" si="350"/>
        <v>2.4728690434868841</v>
      </c>
      <c r="S229" s="221">
        <f t="shared" si="351"/>
        <v>15</v>
      </c>
      <c r="T229" s="221">
        <f t="shared" si="352"/>
        <v>0.39081267727216673</v>
      </c>
      <c r="U229" s="221">
        <f t="shared" si="353"/>
        <v>0.16092286711206866</v>
      </c>
      <c r="V229" s="221">
        <f t="shared" si="354"/>
        <v>0.11470393043627534</v>
      </c>
      <c r="W229" s="201">
        <f t="shared" si="355"/>
        <v>350</v>
      </c>
      <c r="X229" s="451">
        <f t="shared" si="356"/>
        <v>350</v>
      </c>
      <c r="Z229" s="221">
        <f t="shared" si="357"/>
        <v>4.0511577948192743</v>
      </c>
      <c r="AA229" s="177">
        <f t="shared" si="358"/>
        <v>1.1890190592760972</v>
      </c>
      <c r="AB229" s="177">
        <f t="shared" si="359"/>
        <v>1.1323318705262224</v>
      </c>
      <c r="AC229" s="177"/>
      <c r="AD229" s="177">
        <f t="shared" si="360"/>
        <v>0.24067085953878403</v>
      </c>
      <c r="AE229" s="559">
        <f t="shared" si="361"/>
        <v>829.88442253760536</v>
      </c>
      <c r="AF229" s="542">
        <f t="shared" si="362"/>
        <v>4.6392002252886505E-2</v>
      </c>
      <c r="AH229" s="177">
        <f t="shared" si="363"/>
        <v>1.2264100589334144</v>
      </c>
      <c r="AI229" s="177">
        <f t="shared" si="364"/>
        <v>1.2264100589334144</v>
      </c>
      <c r="AJ229" s="177">
        <f t="shared" si="365"/>
        <v>1.5010444880988254</v>
      </c>
      <c r="AL229" s="559">
        <f t="shared" si="366"/>
        <v>110</v>
      </c>
      <c r="AM229" s="469">
        <f t="shared" si="367"/>
        <v>350</v>
      </c>
      <c r="AO229">
        <f t="shared" si="368"/>
        <v>110</v>
      </c>
      <c r="AP229">
        <f t="shared" si="369"/>
        <v>350</v>
      </c>
      <c r="AR229" s="5">
        <f t="shared" si="333"/>
        <v>2.8571428571428572</v>
      </c>
      <c r="AS229" s="5">
        <f t="shared" si="324"/>
        <v>0.50499237720787638</v>
      </c>
      <c r="AT229" s="5">
        <f t="shared" si="325"/>
        <v>2.3521504799349806</v>
      </c>
      <c r="AU229" s="177">
        <f t="shared" si="326"/>
        <v>0.17674733202275672</v>
      </c>
      <c r="AW229" s="5">
        <f t="shared" si="370"/>
        <v>10.014141569481827</v>
      </c>
      <c r="AX229" s="5">
        <f t="shared" si="371"/>
        <v>0.74308333974112539</v>
      </c>
      <c r="AY229" s="5">
        <f t="shared" si="372"/>
        <v>0.70947993256842168</v>
      </c>
      <c r="AZ229" s="5">
        <f t="shared" si="373"/>
        <v>9.6157488701942129E-2</v>
      </c>
      <c r="BA229" s="5">
        <f t="shared" si="374"/>
        <v>0.35779874173623955</v>
      </c>
      <c r="BB229" s="5"/>
      <c r="CE229" s="576">
        <f t="shared" si="375"/>
        <v>-50</v>
      </c>
    </row>
    <row r="230" spans="5:83" x14ac:dyDescent="0.25">
      <c r="E230" s="174">
        <v>12</v>
      </c>
      <c r="F230" s="221">
        <f t="shared" si="376"/>
        <v>0.12</v>
      </c>
      <c r="G230" s="221">
        <f t="shared" si="340"/>
        <v>0.03</v>
      </c>
      <c r="H230" s="221">
        <f t="shared" si="341"/>
        <v>1.7999999999999998</v>
      </c>
      <c r="I230" s="221">
        <f t="shared" si="342"/>
        <v>0.21</v>
      </c>
      <c r="J230" s="555">
        <f t="shared" si="343"/>
        <v>17</v>
      </c>
      <c r="K230" s="451">
        <f t="shared" si="344"/>
        <v>23.85</v>
      </c>
      <c r="L230" s="451">
        <f t="shared" si="345"/>
        <v>40.85</v>
      </c>
      <c r="M230" s="451"/>
      <c r="N230" s="221">
        <f t="shared" si="346"/>
        <v>0.58384332925336602</v>
      </c>
      <c r="O230" s="176">
        <f t="shared" si="347"/>
        <v>17.310083304408188</v>
      </c>
      <c r="P230" s="176">
        <f t="shared" si="348"/>
        <v>2.0195097188476221</v>
      </c>
      <c r="Q230" s="221">
        <f t="shared" si="349"/>
        <v>1.1540055536272125</v>
      </c>
      <c r="R230" s="221">
        <f t="shared" si="350"/>
        <v>2.4728690434868841</v>
      </c>
      <c r="S230" s="221">
        <f t="shared" si="351"/>
        <v>15</v>
      </c>
      <c r="T230" s="221">
        <f t="shared" si="352"/>
        <v>0.42634110247872736</v>
      </c>
      <c r="U230" s="221">
        <f t="shared" si="353"/>
        <v>0.17555221866771126</v>
      </c>
      <c r="V230" s="221">
        <f t="shared" si="354"/>
        <v>0.12513156047593674</v>
      </c>
      <c r="W230" s="201">
        <f t="shared" si="355"/>
        <v>350</v>
      </c>
      <c r="X230" s="451">
        <f t="shared" si="356"/>
        <v>350</v>
      </c>
      <c r="Z230" s="221">
        <f t="shared" si="357"/>
        <v>4.0511577948192743</v>
      </c>
      <c r="AA230" s="177">
        <f t="shared" si="358"/>
        <v>1.1890190592760972</v>
      </c>
      <c r="AB230" s="177">
        <f t="shared" si="359"/>
        <v>1.1323318705262224</v>
      </c>
      <c r="AC230" s="177"/>
      <c r="AD230" s="177">
        <f t="shared" si="360"/>
        <v>0.24067085953878403</v>
      </c>
      <c r="AE230" s="559">
        <f t="shared" si="361"/>
        <v>905.32846095011485</v>
      </c>
      <c r="AF230" s="542">
        <f t="shared" si="362"/>
        <v>4.6392002252886505E-2</v>
      </c>
      <c r="AH230" s="177">
        <f t="shared" si="363"/>
        <v>1.2809435297977081</v>
      </c>
      <c r="AI230" s="177">
        <f t="shared" si="364"/>
        <v>1.2809435297977081</v>
      </c>
      <c r="AJ230" s="177">
        <f t="shared" si="365"/>
        <v>1.5414396517020059</v>
      </c>
      <c r="AL230" s="559">
        <f t="shared" si="366"/>
        <v>120</v>
      </c>
      <c r="AM230" s="469">
        <f t="shared" si="367"/>
        <v>350</v>
      </c>
      <c r="AO230">
        <f t="shared" si="368"/>
        <v>120</v>
      </c>
      <c r="AP230">
        <f t="shared" si="369"/>
        <v>350</v>
      </c>
      <c r="AR230" s="5">
        <f t="shared" si="333"/>
        <v>2.8571428571428572</v>
      </c>
      <c r="AS230" s="5">
        <f t="shared" si="324"/>
        <v>0.52744733579905623</v>
      </c>
      <c r="AT230" s="5">
        <f t="shared" si="325"/>
        <v>2.3296955213438011</v>
      </c>
      <c r="AU230" s="177">
        <f t="shared" si="326"/>
        <v>0.18460656752966967</v>
      </c>
      <c r="AW230" s="5">
        <f t="shared" si="370"/>
        <v>10.014141569481827</v>
      </c>
      <c r="AX230" s="5">
        <f t="shared" si="371"/>
        <v>0.85160331341092599</v>
      </c>
      <c r="AY230" s="5">
        <f t="shared" si="372"/>
        <v>0.70947993256842168</v>
      </c>
      <c r="AZ230" s="5">
        <f t="shared" si="373"/>
        <v>0.10625354027338565</v>
      </c>
      <c r="BA230" s="5">
        <f t="shared" si="374"/>
        <v>0.38659962830968336</v>
      </c>
      <c r="BB230" s="5"/>
      <c r="CE230" s="576">
        <f t="shared" si="375"/>
        <v>-50</v>
      </c>
    </row>
    <row r="231" spans="5:83" x14ac:dyDescent="0.25">
      <c r="E231" s="174">
        <v>13</v>
      </c>
      <c r="F231" s="221">
        <f t="shared" si="376"/>
        <v>0.13</v>
      </c>
      <c r="G231" s="221">
        <f t="shared" si="340"/>
        <v>3.2500000000000001E-2</v>
      </c>
      <c r="H231" s="221">
        <f t="shared" si="341"/>
        <v>1.9500000000000002</v>
      </c>
      <c r="I231" s="221">
        <f t="shared" si="342"/>
        <v>0.22750000000000001</v>
      </c>
      <c r="J231" s="555">
        <f t="shared" si="343"/>
        <v>17</v>
      </c>
      <c r="K231" s="451">
        <f t="shared" si="344"/>
        <v>23.85</v>
      </c>
      <c r="L231" s="451">
        <f t="shared" si="345"/>
        <v>40.85</v>
      </c>
      <c r="M231" s="451"/>
      <c r="N231" s="221">
        <f t="shared" si="346"/>
        <v>0.58384332925336602</v>
      </c>
      <c r="O231" s="176">
        <f t="shared" si="347"/>
        <v>17.310083304408188</v>
      </c>
      <c r="P231" s="176">
        <f t="shared" si="348"/>
        <v>2.0195097188476221</v>
      </c>
      <c r="Q231" s="221">
        <f t="shared" si="349"/>
        <v>1.1540055536272125</v>
      </c>
      <c r="R231" s="221">
        <f t="shared" si="350"/>
        <v>2.4728690434868841</v>
      </c>
      <c r="S231" s="221">
        <f t="shared" si="351"/>
        <v>15</v>
      </c>
      <c r="T231" s="221">
        <f t="shared" si="352"/>
        <v>0.46186952768528805</v>
      </c>
      <c r="U231" s="221">
        <f t="shared" si="353"/>
        <v>0.19018157022335391</v>
      </c>
      <c r="V231" s="221">
        <f t="shared" si="354"/>
        <v>0.13555919051559817</v>
      </c>
      <c r="W231" s="201">
        <f t="shared" si="355"/>
        <v>350</v>
      </c>
      <c r="X231" s="451">
        <f t="shared" si="356"/>
        <v>350</v>
      </c>
      <c r="Z231" s="221">
        <f t="shared" si="357"/>
        <v>4.0511577948192743</v>
      </c>
      <c r="AA231" s="177">
        <f t="shared" si="358"/>
        <v>1.1890190592760972</v>
      </c>
      <c r="AB231" s="177">
        <f t="shared" si="359"/>
        <v>1.1323318705262224</v>
      </c>
      <c r="AC231" s="177"/>
      <c r="AD231" s="177">
        <f t="shared" si="360"/>
        <v>0.24067085953878403</v>
      </c>
      <c r="AE231" s="559">
        <f t="shared" si="361"/>
        <v>980.77249936262456</v>
      </c>
      <c r="AF231" s="542">
        <f t="shared" si="362"/>
        <v>4.6392002252886505E-2</v>
      </c>
      <c r="AH231" s="177">
        <f t="shared" si="363"/>
        <v>1.3332482966080113</v>
      </c>
      <c r="AI231" s="177">
        <f t="shared" si="364"/>
        <v>1.3332482966080113</v>
      </c>
      <c r="AJ231" s="177">
        <f t="shared" si="365"/>
        <v>1.5801839234133417</v>
      </c>
      <c r="AL231" s="559">
        <f t="shared" si="366"/>
        <v>130</v>
      </c>
      <c r="AM231" s="469">
        <f t="shared" si="367"/>
        <v>350</v>
      </c>
      <c r="AO231">
        <f t="shared" si="368"/>
        <v>130</v>
      </c>
      <c r="AP231">
        <f t="shared" si="369"/>
        <v>350</v>
      </c>
      <c r="AR231" s="5">
        <f t="shared" si="333"/>
        <v>2.8571428571428572</v>
      </c>
      <c r="AS231" s="5">
        <f t="shared" si="324"/>
        <v>0.5489845927209458</v>
      </c>
      <c r="AT231" s="5">
        <f t="shared" si="325"/>
        <v>2.3081582644219116</v>
      </c>
      <c r="AU231" s="177">
        <f t="shared" si="326"/>
        <v>0.19214460745233103</v>
      </c>
      <c r="AW231" s="5">
        <f t="shared" si="370"/>
        <v>10.014141569481827</v>
      </c>
      <c r="AX231" s="5">
        <f t="shared" si="371"/>
        <v>0.96695111087810071</v>
      </c>
      <c r="AY231" s="5">
        <f t="shared" si="372"/>
        <v>0.70947993256842168</v>
      </c>
      <c r="AZ231" s="5">
        <f t="shared" si="373"/>
        <v>0.11657533545973735</v>
      </c>
      <c r="BA231" s="5">
        <f t="shared" si="374"/>
        <v>0.41494444753591031</v>
      </c>
      <c r="BB231" s="5"/>
      <c r="CE231" s="576">
        <f t="shared" si="375"/>
        <v>-50</v>
      </c>
    </row>
    <row r="232" spans="5:83" x14ac:dyDescent="0.25">
      <c r="E232" s="174">
        <v>14</v>
      </c>
      <c r="F232" s="221">
        <f t="shared" si="376"/>
        <v>0.14000000000000001</v>
      </c>
      <c r="G232" s="221">
        <f t="shared" si="340"/>
        <v>3.5000000000000003E-2</v>
      </c>
      <c r="H232" s="221">
        <f t="shared" si="341"/>
        <v>2.1</v>
      </c>
      <c r="I232" s="221">
        <f t="shared" si="342"/>
        <v>0.24500000000000002</v>
      </c>
      <c r="J232" s="555">
        <f t="shared" si="343"/>
        <v>17</v>
      </c>
      <c r="K232" s="451">
        <f t="shared" si="344"/>
        <v>23.85</v>
      </c>
      <c r="L232" s="451">
        <f t="shared" si="345"/>
        <v>40.85</v>
      </c>
      <c r="M232" s="451"/>
      <c r="N232" s="221">
        <f t="shared" si="346"/>
        <v>0.58384332925336602</v>
      </c>
      <c r="O232" s="176">
        <f t="shared" si="347"/>
        <v>17.310083304408188</v>
      </c>
      <c r="P232" s="176">
        <f t="shared" si="348"/>
        <v>2.0195097188476221</v>
      </c>
      <c r="Q232" s="221">
        <f t="shared" si="349"/>
        <v>1.1540055536272125</v>
      </c>
      <c r="R232" s="221">
        <f t="shared" si="350"/>
        <v>2.4728690434868841</v>
      </c>
      <c r="S232" s="221">
        <f t="shared" si="351"/>
        <v>15</v>
      </c>
      <c r="T232" s="221">
        <f t="shared" si="352"/>
        <v>0.49739795289184863</v>
      </c>
      <c r="U232" s="221">
        <f t="shared" si="353"/>
        <v>0.20481092177899649</v>
      </c>
      <c r="V232" s="221">
        <f t="shared" si="354"/>
        <v>0.14598682055525952</v>
      </c>
      <c r="W232" s="201">
        <f t="shared" si="355"/>
        <v>350</v>
      </c>
      <c r="X232" s="451">
        <f t="shared" si="356"/>
        <v>350</v>
      </c>
      <c r="Z232" s="221">
        <f t="shared" si="357"/>
        <v>4.0511577948192743</v>
      </c>
      <c r="AA232" s="177">
        <f t="shared" si="358"/>
        <v>1.1890190592760972</v>
      </c>
      <c r="AB232" s="177">
        <f t="shared" si="359"/>
        <v>1.1323318705262224</v>
      </c>
      <c r="AC232" s="177"/>
      <c r="AD232" s="177">
        <f t="shared" si="360"/>
        <v>0.24067085953878403</v>
      </c>
      <c r="AE232" s="559">
        <f t="shared" si="361"/>
        <v>1056.2165377751342</v>
      </c>
      <c r="AF232" s="542">
        <f t="shared" si="362"/>
        <v>4.6392002252886505E-2</v>
      </c>
      <c r="AH232" s="177">
        <f t="shared" si="363"/>
        <v>1.3835771443203715</v>
      </c>
      <c r="AI232" s="177">
        <f t="shared" si="364"/>
        <v>1.3835771443203715</v>
      </c>
      <c r="AJ232" s="177">
        <f t="shared" si="365"/>
        <v>1.6174645513484234</v>
      </c>
      <c r="AL232" s="559">
        <f t="shared" si="366"/>
        <v>140</v>
      </c>
      <c r="AM232" s="469">
        <f t="shared" si="367"/>
        <v>350</v>
      </c>
      <c r="AO232">
        <f t="shared" si="368"/>
        <v>140</v>
      </c>
      <c r="AP232">
        <f t="shared" si="369"/>
        <v>350</v>
      </c>
      <c r="AR232" s="5">
        <f t="shared" si="333"/>
        <v>2.8571428571428572</v>
      </c>
      <c r="AS232" s="5">
        <f t="shared" si="324"/>
        <v>0.56970823589662356</v>
      </c>
      <c r="AT232" s="5">
        <f t="shared" si="325"/>
        <v>2.2874346212462338</v>
      </c>
      <c r="AU232" s="177">
        <f t="shared" si="326"/>
        <v>0.19939788256381824</v>
      </c>
      <c r="AW232" s="5">
        <f t="shared" si="370"/>
        <v>10.014141569481827</v>
      </c>
      <c r="AX232" s="5">
        <f t="shared" si="371"/>
        <v>1.0891267321426494</v>
      </c>
      <c r="AY232" s="5">
        <f t="shared" si="372"/>
        <v>0.70947993256842168</v>
      </c>
      <c r="AZ232" s="5">
        <f t="shared" si="373"/>
        <v>0.12712287426099717</v>
      </c>
      <c r="BA232" s="5">
        <f t="shared" si="374"/>
        <v>0.44285111965510171</v>
      </c>
      <c r="BB232" s="5"/>
      <c r="CE232" s="576">
        <f t="shared" si="375"/>
        <v>-50</v>
      </c>
    </row>
    <row r="233" spans="5:83" x14ac:dyDescent="0.25">
      <c r="E233" s="174">
        <v>15</v>
      </c>
      <c r="F233" s="221">
        <f t="shared" si="376"/>
        <v>0.15</v>
      </c>
      <c r="G233" s="221">
        <f t="shared" si="340"/>
        <v>3.7499999999999999E-2</v>
      </c>
      <c r="H233" s="221">
        <f t="shared" si="341"/>
        <v>2.25</v>
      </c>
      <c r="I233" s="221">
        <f t="shared" si="342"/>
        <v>0.26250000000000001</v>
      </c>
      <c r="J233" s="555">
        <f t="shared" si="343"/>
        <v>17</v>
      </c>
      <c r="K233" s="451">
        <f t="shared" si="344"/>
        <v>23.85</v>
      </c>
      <c r="L233" s="451">
        <f t="shared" si="345"/>
        <v>40.85</v>
      </c>
      <c r="M233" s="451"/>
      <c r="N233" s="221">
        <f t="shared" si="346"/>
        <v>0.58384332925336602</v>
      </c>
      <c r="O233" s="176">
        <f t="shared" si="347"/>
        <v>17.310083304408188</v>
      </c>
      <c r="P233" s="176">
        <f t="shared" si="348"/>
        <v>2.0195097188476221</v>
      </c>
      <c r="Q233" s="221">
        <f t="shared" si="349"/>
        <v>1.1540055536272125</v>
      </c>
      <c r="R233" s="221">
        <f t="shared" si="350"/>
        <v>2.4728690434868841</v>
      </c>
      <c r="S233" s="221">
        <f t="shared" si="351"/>
        <v>15</v>
      </c>
      <c r="T233" s="221">
        <f t="shared" si="352"/>
        <v>0.53292637809840926</v>
      </c>
      <c r="U233" s="221">
        <f t="shared" si="353"/>
        <v>0.21944027333463911</v>
      </c>
      <c r="V233" s="221">
        <f t="shared" si="354"/>
        <v>0.15641445059492096</v>
      </c>
      <c r="W233" s="201">
        <f t="shared" si="355"/>
        <v>350</v>
      </c>
      <c r="X233" s="451">
        <f t="shared" si="356"/>
        <v>350</v>
      </c>
      <c r="Z233" s="221">
        <f t="shared" si="357"/>
        <v>4.0511577948192743</v>
      </c>
      <c r="AA233" s="177">
        <f t="shared" si="358"/>
        <v>1.1890190592760972</v>
      </c>
      <c r="AB233" s="177">
        <f t="shared" si="359"/>
        <v>1.1323318705262224</v>
      </c>
      <c r="AC233" s="177"/>
      <c r="AD233" s="177">
        <f t="shared" si="360"/>
        <v>0.24067085953878403</v>
      </c>
      <c r="AE233" s="559">
        <f t="shared" si="361"/>
        <v>1131.6605761876438</v>
      </c>
      <c r="AF233" s="542">
        <f t="shared" si="362"/>
        <v>4.6392002252886505E-2</v>
      </c>
      <c r="AH233" s="177">
        <f t="shared" si="363"/>
        <v>1.4321384039831015</v>
      </c>
      <c r="AI233" s="177">
        <f t="shared" si="364"/>
        <v>1.4321384039831015</v>
      </c>
      <c r="AJ233" s="177">
        <f t="shared" si="365"/>
        <v>1.6534358548022974</v>
      </c>
      <c r="AL233" s="559">
        <f t="shared" si="366"/>
        <v>150</v>
      </c>
      <c r="AM233" s="469">
        <f t="shared" si="367"/>
        <v>350</v>
      </c>
      <c r="AO233">
        <f t="shared" si="368"/>
        <v>150</v>
      </c>
      <c r="AP233">
        <f t="shared" si="369"/>
        <v>350</v>
      </c>
      <c r="AR233" s="5">
        <f t="shared" si="333"/>
        <v>2.8571428571428572</v>
      </c>
      <c r="AS233" s="5">
        <f t="shared" si="324"/>
        <v>0.58970404869892412</v>
      </c>
      <c r="AT233" s="5">
        <f t="shared" si="325"/>
        <v>2.267438808443933</v>
      </c>
      <c r="AU233" s="177">
        <f t="shared" si="326"/>
        <v>0.20639641704462344</v>
      </c>
      <c r="AW233" s="5">
        <f t="shared" si="370"/>
        <v>10.014141569481827</v>
      </c>
      <c r="AX233" s="5">
        <f t="shared" si="371"/>
        <v>1.2181301772045718</v>
      </c>
      <c r="AY233" s="5">
        <f t="shared" si="372"/>
        <v>0.70947993256842168</v>
      </c>
      <c r="AZ233" s="5">
        <f t="shared" si="373"/>
        <v>0.13789615667716509</v>
      </c>
      <c r="BA233" s="5">
        <f t="shared" si="374"/>
        <v>0.47033560422830817</v>
      </c>
      <c r="BB233" s="5"/>
      <c r="CE233" s="576">
        <f t="shared" si="375"/>
        <v>-50</v>
      </c>
    </row>
    <row r="234" spans="5:83" x14ac:dyDescent="0.25">
      <c r="E234" s="174">
        <v>16</v>
      </c>
      <c r="F234" s="221">
        <f t="shared" si="376"/>
        <v>0.16</v>
      </c>
      <c r="G234" s="221">
        <f t="shared" si="340"/>
        <v>0.04</v>
      </c>
      <c r="H234" s="221">
        <f t="shared" si="341"/>
        <v>2.4</v>
      </c>
      <c r="I234" s="221">
        <f t="shared" si="342"/>
        <v>0.28000000000000003</v>
      </c>
      <c r="J234" s="555">
        <f t="shared" si="343"/>
        <v>17</v>
      </c>
      <c r="K234" s="451">
        <f t="shared" si="344"/>
        <v>23.85</v>
      </c>
      <c r="L234" s="451">
        <f t="shared" si="345"/>
        <v>40.85</v>
      </c>
      <c r="M234" s="451"/>
      <c r="N234" s="221">
        <f t="shared" si="346"/>
        <v>0.58384332925336602</v>
      </c>
      <c r="O234" s="176">
        <f t="shared" si="347"/>
        <v>17.310083304408188</v>
      </c>
      <c r="P234" s="176">
        <f t="shared" si="348"/>
        <v>2.0195097188476221</v>
      </c>
      <c r="Q234" s="221">
        <f t="shared" si="349"/>
        <v>1.1540055536272125</v>
      </c>
      <c r="R234" s="221">
        <f t="shared" si="350"/>
        <v>2.4728690434868841</v>
      </c>
      <c r="S234" s="221">
        <f t="shared" si="351"/>
        <v>15</v>
      </c>
      <c r="T234" s="221">
        <f t="shared" si="352"/>
        <v>0.56845480330496978</v>
      </c>
      <c r="U234" s="221">
        <f t="shared" si="353"/>
        <v>0.23406962489028169</v>
      </c>
      <c r="V234" s="221">
        <f t="shared" si="354"/>
        <v>0.16684208063458231</v>
      </c>
      <c r="W234" s="201">
        <f t="shared" si="355"/>
        <v>350</v>
      </c>
      <c r="X234" s="451">
        <f t="shared" si="356"/>
        <v>350</v>
      </c>
      <c r="Z234" s="221">
        <f t="shared" si="357"/>
        <v>4.0511577948192743</v>
      </c>
      <c r="AA234" s="177">
        <f t="shared" si="358"/>
        <v>1.1890190592760972</v>
      </c>
      <c r="AB234" s="177">
        <f t="shared" si="359"/>
        <v>1.1323318705262224</v>
      </c>
      <c r="AC234" s="177"/>
      <c r="AD234" s="177">
        <f t="shared" si="360"/>
        <v>0.24067085953878403</v>
      </c>
      <c r="AE234" s="559">
        <f t="shared" si="361"/>
        <v>1207.1046146001534</v>
      </c>
      <c r="AF234" s="542">
        <f t="shared" si="362"/>
        <v>4.6392002252886505E-2</v>
      </c>
      <c r="AH234" s="177">
        <f t="shared" si="363"/>
        <v>1.4791061834908323</v>
      </c>
      <c r="AI234" s="177">
        <f t="shared" si="364"/>
        <v>1.4791061834908323</v>
      </c>
      <c r="AJ234" s="177">
        <f t="shared" si="365"/>
        <v>1.6882268025858018</v>
      </c>
      <c r="AL234" s="559">
        <f t="shared" si="366"/>
        <v>160</v>
      </c>
      <c r="AM234" s="469">
        <f t="shared" si="367"/>
        <v>350</v>
      </c>
      <c r="AO234">
        <f t="shared" si="368"/>
        <v>160</v>
      </c>
      <c r="AP234">
        <f t="shared" si="369"/>
        <v>350</v>
      </c>
      <c r="AR234" s="5">
        <f t="shared" si="333"/>
        <v>2.8571428571428572</v>
      </c>
      <c r="AS234" s="5">
        <f t="shared" si="324"/>
        <v>0.60904372261387218</v>
      </c>
      <c r="AT234" s="5">
        <f t="shared" si="325"/>
        <v>2.2480991345289851</v>
      </c>
      <c r="AU234" s="177">
        <f t="shared" si="326"/>
        <v>0.21316530291485525</v>
      </c>
      <c r="AW234" s="5">
        <f t="shared" si="370"/>
        <v>10.014141569481827</v>
      </c>
      <c r="AX234" s="5">
        <f t="shared" si="371"/>
        <v>1.3539614460638685</v>
      </c>
      <c r="AY234" s="5">
        <f t="shared" si="372"/>
        <v>0.70947993256842168</v>
      </c>
      <c r="AZ234" s="5">
        <f t="shared" si="373"/>
        <v>0.14889518270824117</v>
      </c>
      <c r="BA234" s="5">
        <f t="shared" si="374"/>
        <v>0.4974122336873214</v>
      </c>
      <c r="BB234" s="5"/>
      <c r="CE234" s="576">
        <f t="shared" si="375"/>
        <v>-50</v>
      </c>
    </row>
    <row r="235" spans="5:83" x14ac:dyDescent="0.25">
      <c r="E235" s="174">
        <v>17</v>
      </c>
      <c r="F235" s="221">
        <f t="shared" si="376"/>
        <v>0.17</v>
      </c>
      <c r="G235" s="221">
        <f t="shared" si="340"/>
        <v>4.2500000000000003E-2</v>
      </c>
      <c r="H235" s="221">
        <f t="shared" si="341"/>
        <v>2.5500000000000003</v>
      </c>
      <c r="I235" s="221">
        <f t="shared" si="342"/>
        <v>0.29750000000000004</v>
      </c>
      <c r="J235" s="555">
        <f t="shared" si="343"/>
        <v>17</v>
      </c>
      <c r="K235" s="451">
        <f t="shared" si="344"/>
        <v>23.85</v>
      </c>
      <c r="L235" s="451">
        <f t="shared" si="345"/>
        <v>40.85</v>
      </c>
      <c r="M235" s="451"/>
      <c r="N235" s="221">
        <f t="shared" si="346"/>
        <v>0.58384332925336602</v>
      </c>
      <c r="O235" s="176">
        <f t="shared" si="347"/>
        <v>17.310083304408188</v>
      </c>
      <c r="P235" s="176">
        <f t="shared" si="348"/>
        <v>2.0195097188476221</v>
      </c>
      <c r="Q235" s="221">
        <f t="shared" si="349"/>
        <v>1.1540055536272125</v>
      </c>
      <c r="R235" s="221">
        <f t="shared" si="350"/>
        <v>2.4728690434868841</v>
      </c>
      <c r="S235" s="221">
        <f t="shared" si="351"/>
        <v>15</v>
      </c>
      <c r="T235" s="221">
        <f t="shared" si="352"/>
        <v>0.60398322851153052</v>
      </c>
      <c r="U235" s="221">
        <f t="shared" si="353"/>
        <v>0.24869897644592434</v>
      </c>
      <c r="V235" s="221">
        <f t="shared" si="354"/>
        <v>0.17726971067424377</v>
      </c>
      <c r="W235" s="201">
        <f t="shared" si="355"/>
        <v>350</v>
      </c>
      <c r="X235" s="451">
        <f t="shared" si="356"/>
        <v>350</v>
      </c>
      <c r="Z235" s="221">
        <f t="shared" si="357"/>
        <v>4.0511577948192743</v>
      </c>
      <c r="AA235" s="177">
        <f t="shared" si="358"/>
        <v>1.1890190592760972</v>
      </c>
      <c r="AB235" s="177">
        <f t="shared" si="359"/>
        <v>1.1323318705262224</v>
      </c>
      <c r="AC235" s="177"/>
      <c r="AD235" s="177">
        <f t="shared" si="360"/>
        <v>0.24067085953878403</v>
      </c>
      <c r="AE235" s="559">
        <f t="shared" si="361"/>
        <v>1282.5486530126627</v>
      </c>
      <c r="AF235" s="542">
        <f t="shared" si="362"/>
        <v>4.6392002252886505E-2</v>
      </c>
      <c r="AH235" s="177">
        <f t="shared" si="363"/>
        <v>1.5246277565092299</v>
      </c>
      <c r="AI235" s="177">
        <f t="shared" si="364"/>
        <v>1.5246277565092299</v>
      </c>
      <c r="AJ235" s="177">
        <f t="shared" si="365"/>
        <v>1.7219464863031333</v>
      </c>
      <c r="AL235" s="559">
        <f t="shared" si="366"/>
        <v>170</v>
      </c>
      <c r="AM235" s="469">
        <f t="shared" si="367"/>
        <v>350</v>
      </c>
      <c r="AO235">
        <f t="shared" si="368"/>
        <v>170</v>
      </c>
      <c r="AP235">
        <f t="shared" si="369"/>
        <v>350</v>
      </c>
      <c r="AR235" s="5">
        <f t="shared" si="333"/>
        <v>2.8571428571428572</v>
      </c>
      <c r="AS235" s="5">
        <f t="shared" si="324"/>
        <v>0.62778789973909455</v>
      </c>
      <c r="AT235" s="5">
        <f t="shared" si="325"/>
        <v>2.2293549574037628</v>
      </c>
      <c r="AU235" s="177">
        <f t="shared" si="326"/>
        <v>0.21972576490868309</v>
      </c>
      <c r="AW235" s="5">
        <f t="shared" si="370"/>
        <v>10.014141569481827</v>
      </c>
      <c r="AX235" s="5">
        <f t="shared" si="371"/>
        <v>1.4966205387205394</v>
      </c>
      <c r="AY235" s="5">
        <f t="shared" si="372"/>
        <v>0.70947993256842168</v>
      </c>
      <c r="AZ235" s="5">
        <f t="shared" si="373"/>
        <v>0.16011995235422538</v>
      </c>
      <c r="BA235" s="5">
        <f t="shared" si="374"/>
        <v>0.52409397244228806</v>
      </c>
      <c r="BB235" s="5"/>
      <c r="CE235" s="576">
        <f t="shared" si="375"/>
        <v>-50</v>
      </c>
    </row>
    <row r="236" spans="5:83" x14ac:dyDescent="0.25">
      <c r="E236" s="174">
        <v>18</v>
      </c>
      <c r="F236" s="221">
        <f t="shared" si="376"/>
        <v>0.18</v>
      </c>
      <c r="G236" s="221">
        <f t="shared" si="340"/>
        <v>4.4999999999999998E-2</v>
      </c>
      <c r="H236" s="221">
        <f t="shared" si="341"/>
        <v>2.6999999999999997</v>
      </c>
      <c r="I236" s="221">
        <f t="shared" si="342"/>
        <v>0.315</v>
      </c>
      <c r="J236" s="555">
        <f t="shared" si="343"/>
        <v>17</v>
      </c>
      <c r="K236" s="451">
        <f t="shared" si="344"/>
        <v>23.85</v>
      </c>
      <c r="L236" s="451">
        <f t="shared" si="345"/>
        <v>40.85</v>
      </c>
      <c r="M236" s="451"/>
      <c r="N236" s="221">
        <f t="shared" si="346"/>
        <v>0.58384332925336602</v>
      </c>
      <c r="O236" s="176">
        <f t="shared" si="347"/>
        <v>17.310083304408188</v>
      </c>
      <c r="P236" s="176">
        <f t="shared" si="348"/>
        <v>2.0195097188476221</v>
      </c>
      <c r="Q236" s="221">
        <f t="shared" si="349"/>
        <v>1.1540055536272125</v>
      </c>
      <c r="R236" s="221">
        <f t="shared" si="350"/>
        <v>2.4728690434868841</v>
      </c>
      <c r="S236" s="221">
        <f t="shared" si="351"/>
        <v>15</v>
      </c>
      <c r="T236" s="221">
        <f t="shared" si="352"/>
        <v>0.63951165371809104</v>
      </c>
      <c r="U236" s="221">
        <f t="shared" si="353"/>
        <v>0.26332832800156691</v>
      </c>
      <c r="V236" s="221">
        <f t="shared" si="354"/>
        <v>0.18769734071390509</v>
      </c>
      <c r="W236" s="201">
        <f t="shared" si="355"/>
        <v>350</v>
      </c>
      <c r="X236" s="451">
        <f t="shared" si="356"/>
        <v>350</v>
      </c>
      <c r="Z236" s="221">
        <f t="shared" si="357"/>
        <v>4.0511577948192743</v>
      </c>
      <c r="AA236" s="177">
        <f t="shared" si="358"/>
        <v>1.1890190592760972</v>
      </c>
      <c r="AB236" s="177">
        <f t="shared" si="359"/>
        <v>1.1323318705262224</v>
      </c>
      <c r="AC236" s="177"/>
      <c r="AD236" s="177">
        <f t="shared" si="360"/>
        <v>0.24067085953878403</v>
      </c>
      <c r="AE236" s="559">
        <f t="shared" si="361"/>
        <v>1357.9926914251726</v>
      </c>
      <c r="AF236" s="542">
        <f t="shared" si="362"/>
        <v>4.6392002252886505E-2</v>
      </c>
      <c r="AH236" s="177">
        <f t="shared" si="363"/>
        <v>1.5688290186619822</v>
      </c>
      <c r="AI236" s="177">
        <f t="shared" si="364"/>
        <v>1.5688290186619822</v>
      </c>
      <c r="AJ236" s="177">
        <f t="shared" si="365"/>
        <v>1.7546881619718386</v>
      </c>
      <c r="AL236" s="559">
        <f t="shared" si="366"/>
        <v>180</v>
      </c>
      <c r="AM236" s="469">
        <f t="shared" si="367"/>
        <v>350</v>
      </c>
      <c r="AO236">
        <f t="shared" si="368"/>
        <v>180</v>
      </c>
      <c r="AP236">
        <f t="shared" si="369"/>
        <v>350</v>
      </c>
      <c r="AR236" s="5">
        <f t="shared" si="333"/>
        <v>2.8571428571428572</v>
      </c>
      <c r="AS236" s="5">
        <f t="shared" si="324"/>
        <v>0.6459884194490515</v>
      </c>
      <c r="AT236" s="5">
        <f t="shared" si="325"/>
        <v>2.2111544376938057</v>
      </c>
      <c r="AU236" s="177">
        <f t="shared" si="326"/>
        <v>0.22609594680716802</v>
      </c>
      <c r="AW236" s="5">
        <f t="shared" si="370"/>
        <v>10.014141569481827</v>
      </c>
      <c r="AX236" s="5">
        <f t="shared" si="371"/>
        <v>1.6461074551745838</v>
      </c>
      <c r="AY236" s="5">
        <f t="shared" si="372"/>
        <v>0.70947993256842168</v>
      </c>
      <c r="AZ236" s="5">
        <f t="shared" si="373"/>
        <v>0.17157046561511774</v>
      </c>
      <c r="BA236" s="5">
        <f t="shared" si="374"/>
        <v>0.55039262164266856</v>
      </c>
      <c r="BB236" s="5"/>
      <c r="CE236" s="576">
        <f t="shared" si="375"/>
        <v>-50</v>
      </c>
    </row>
    <row r="237" spans="5:83" x14ac:dyDescent="0.25">
      <c r="E237" s="174">
        <v>19</v>
      </c>
      <c r="F237" s="221">
        <f t="shared" si="376"/>
        <v>0.19</v>
      </c>
      <c r="G237" s="221">
        <f t="shared" si="340"/>
        <v>4.7500000000000001E-2</v>
      </c>
      <c r="H237" s="221">
        <f t="shared" si="341"/>
        <v>2.85</v>
      </c>
      <c r="I237" s="221">
        <f t="shared" si="342"/>
        <v>0.33250000000000002</v>
      </c>
      <c r="J237" s="555">
        <f t="shared" si="343"/>
        <v>17</v>
      </c>
      <c r="K237" s="451">
        <f t="shared" si="344"/>
        <v>23.85</v>
      </c>
      <c r="L237" s="451">
        <f t="shared" si="345"/>
        <v>40.85</v>
      </c>
      <c r="M237" s="451"/>
      <c r="N237" s="221">
        <f t="shared" si="346"/>
        <v>0.58384332925336602</v>
      </c>
      <c r="O237" s="176">
        <f t="shared" si="347"/>
        <v>17.310083304408188</v>
      </c>
      <c r="P237" s="176">
        <f t="shared" si="348"/>
        <v>2.0195097188476221</v>
      </c>
      <c r="Q237" s="221">
        <f t="shared" si="349"/>
        <v>1.1540055536272125</v>
      </c>
      <c r="R237" s="221">
        <f t="shared" si="350"/>
        <v>2.4728690434868841</v>
      </c>
      <c r="S237" s="221">
        <f t="shared" si="351"/>
        <v>15</v>
      </c>
      <c r="T237" s="221">
        <f t="shared" si="352"/>
        <v>0.67504007892465168</v>
      </c>
      <c r="U237" s="221">
        <f t="shared" si="353"/>
        <v>0.27795767955720951</v>
      </c>
      <c r="V237" s="221">
        <f t="shared" si="354"/>
        <v>0.1981249707535665</v>
      </c>
      <c r="W237" s="201">
        <f t="shared" si="355"/>
        <v>350</v>
      </c>
      <c r="X237" s="451">
        <f t="shared" si="356"/>
        <v>350</v>
      </c>
      <c r="Z237" s="221">
        <f t="shared" si="357"/>
        <v>4.0511577948192743</v>
      </c>
      <c r="AA237" s="177">
        <f t="shared" si="358"/>
        <v>1.1890190592760972</v>
      </c>
      <c r="AB237" s="177">
        <f t="shared" si="359"/>
        <v>1.1323318705262224</v>
      </c>
      <c r="AC237" s="177"/>
      <c r="AD237" s="177">
        <f t="shared" si="360"/>
        <v>0.24067085953878403</v>
      </c>
      <c r="AE237" s="559">
        <f t="shared" si="361"/>
        <v>1433.4367298376822</v>
      </c>
      <c r="AF237" s="542">
        <f t="shared" si="362"/>
        <v>4.6392002252886505E-2</v>
      </c>
      <c r="AH237" s="177">
        <f t="shared" si="363"/>
        <v>1.6118185951506667</v>
      </c>
      <c r="AI237" s="177">
        <f t="shared" si="364"/>
        <v>1.6118185951506667</v>
      </c>
      <c r="AJ237" s="177">
        <f t="shared" si="365"/>
        <v>1.7865322927041976</v>
      </c>
      <c r="AL237" s="559">
        <f t="shared" si="366"/>
        <v>190</v>
      </c>
      <c r="AM237" s="469">
        <f t="shared" si="367"/>
        <v>350</v>
      </c>
      <c r="AO237">
        <f t="shared" si="368"/>
        <v>190</v>
      </c>
      <c r="AP237">
        <f t="shared" si="369"/>
        <v>350</v>
      </c>
      <c r="AR237" s="5">
        <f t="shared" si="333"/>
        <v>2.8571428571428572</v>
      </c>
      <c r="AS237" s="5">
        <f t="shared" si="324"/>
        <v>0.66369000976792147</v>
      </c>
      <c r="AT237" s="5">
        <f t="shared" si="325"/>
        <v>2.1934528473749357</v>
      </c>
      <c r="AU237" s="177">
        <f t="shared" si="326"/>
        <v>0.2322915034187725</v>
      </c>
      <c r="AW237" s="5">
        <f t="shared" si="370"/>
        <v>10.014141569481827</v>
      </c>
      <c r="AX237" s="5">
        <f t="shared" si="371"/>
        <v>1.8024221954260022</v>
      </c>
      <c r="AY237" s="5">
        <f t="shared" si="372"/>
        <v>0.70947993256842168</v>
      </c>
      <c r="AZ237" s="5">
        <f t="shared" si="373"/>
        <v>0.18324672249091822</v>
      </c>
      <c r="BA237" s="5">
        <f t="shared" si="374"/>
        <v>0.5763189834279242</v>
      </c>
      <c r="BB237" s="5"/>
      <c r="CE237" s="576">
        <f t="shared" si="375"/>
        <v>-50</v>
      </c>
    </row>
    <row r="238" spans="5:83" x14ac:dyDescent="0.25">
      <c r="E238" s="174">
        <v>20</v>
      </c>
      <c r="F238" s="221">
        <f t="shared" si="376"/>
        <v>0.2</v>
      </c>
      <c r="G238" s="221">
        <f t="shared" si="340"/>
        <v>0.05</v>
      </c>
      <c r="H238" s="221">
        <f t="shared" si="341"/>
        <v>3</v>
      </c>
      <c r="I238" s="221">
        <f t="shared" si="342"/>
        <v>0.35000000000000003</v>
      </c>
      <c r="J238" s="555">
        <f t="shared" si="343"/>
        <v>17</v>
      </c>
      <c r="K238" s="451">
        <f t="shared" si="344"/>
        <v>23.85</v>
      </c>
      <c r="L238" s="451">
        <f t="shared" si="345"/>
        <v>40.85</v>
      </c>
      <c r="M238" s="451"/>
      <c r="N238" s="221">
        <f t="shared" si="346"/>
        <v>0.58384332925336602</v>
      </c>
      <c r="O238" s="176">
        <f t="shared" si="347"/>
        <v>17.310083304408188</v>
      </c>
      <c r="P238" s="176">
        <f t="shared" si="348"/>
        <v>2.0195097188476221</v>
      </c>
      <c r="Q238" s="221">
        <f t="shared" si="349"/>
        <v>1.1540055536272125</v>
      </c>
      <c r="R238" s="221">
        <f t="shared" si="350"/>
        <v>2.4728690434868841</v>
      </c>
      <c r="S238" s="221">
        <f t="shared" si="351"/>
        <v>15</v>
      </c>
      <c r="T238" s="221">
        <f t="shared" si="352"/>
        <v>0.71056850413121231</v>
      </c>
      <c r="U238" s="221">
        <f t="shared" si="353"/>
        <v>0.29258703111285206</v>
      </c>
      <c r="V238" s="221">
        <f t="shared" si="354"/>
        <v>0.2085526007932279</v>
      </c>
      <c r="W238" s="201">
        <f t="shared" si="355"/>
        <v>350</v>
      </c>
      <c r="X238" s="451">
        <f t="shared" si="356"/>
        <v>350</v>
      </c>
      <c r="Z238" s="221">
        <f t="shared" si="357"/>
        <v>4.0511577948192743</v>
      </c>
      <c r="AA238" s="177">
        <f t="shared" si="358"/>
        <v>1.1890190592760972</v>
      </c>
      <c r="AB238" s="177">
        <f t="shared" si="359"/>
        <v>1.1323318705262224</v>
      </c>
      <c r="AC238" s="177"/>
      <c r="AD238" s="177">
        <f t="shared" si="360"/>
        <v>0.24067085953878403</v>
      </c>
      <c r="AE238" s="559">
        <f t="shared" si="361"/>
        <v>1508.8807682501917</v>
      </c>
      <c r="AF238" s="542">
        <f t="shared" si="362"/>
        <v>4.6392002252886505E-2</v>
      </c>
      <c r="AH238" s="177">
        <f t="shared" si="363"/>
        <v>1.6536909861128892</v>
      </c>
      <c r="AI238" s="177">
        <f t="shared" si="364"/>
        <v>1.6536909861128892</v>
      </c>
      <c r="AJ238" s="177">
        <f t="shared" si="365"/>
        <v>1.8175488786021401</v>
      </c>
      <c r="AL238" s="559">
        <f t="shared" si="366"/>
        <v>200</v>
      </c>
      <c r="AM238" s="469">
        <f t="shared" si="367"/>
        <v>350</v>
      </c>
      <c r="AO238">
        <f t="shared" si="368"/>
        <v>200</v>
      </c>
      <c r="AP238">
        <f t="shared" si="369"/>
        <v>350</v>
      </c>
      <c r="AR238" s="5">
        <f t="shared" si="333"/>
        <v>2.8571428571428572</v>
      </c>
      <c r="AS238" s="5">
        <f t="shared" si="324"/>
        <v>0.68093158251707198</v>
      </c>
      <c r="AT238" s="5">
        <f t="shared" si="325"/>
        <v>2.1762112746257851</v>
      </c>
      <c r="AU238" s="177">
        <f t="shared" si="326"/>
        <v>0.23832605388097519</v>
      </c>
      <c r="AW238" s="5">
        <f t="shared" si="370"/>
        <v>10.014141569481827</v>
      </c>
      <c r="AX238" s="5">
        <f t="shared" si="371"/>
        <v>1.9655647594747951</v>
      </c>
      <c r="AY238" s="5">
        <f t="shared" si="372"/>
        <v>0.70947993256842168</v>
      </c>
      <c r="AZ238" s="5">
        <f t="shared" si="373"/>
        <v>0.19514872298162689</v>
      </c>
      <c r="BA238" s="5">
        <f t="shared" si="374"/>
        <v>0.60188299442694582</v>
      </c>
      <c r="BB238" s="5"/>
      <c r="CE238" s="576">
        <f t="shared" si="375"/>
        <v>-50</v>
      </c>
    </row>
    <row r="239" spans="5:83" x14ac:dyDescent="0.25">
      <c r="E239" s="174">
        <v>21</v>
      </c>
      <c r="F239" s="221">
        <f t="shared" si="376"/>
        <v>0.21</v>
      </c>
      <c r="G239" s="221">
        <f t="shared" si="340"/>
        <v>5.2499999999999998E-2</v>
      </c>
      <c r="H239" s="221">
        <f t="shared" si="341"/>
        <v>3.15</v>
      </c>
      <c r="I239" s="221">
        <f t="shared" si="342"/>
        <v>0.36749999999999999</v>
      </c>
      <c r="J239" s="555">
        <f t="shared" si="343"/>
        <v>17</v>
      </c>
      <c r="K239" s="451">
        <f t="shared" si="344"/>
        <v>23.85</v>
      </c>
      <c r="L239" s="451">
        <f t="shared" si="345"/>
        <v>40.85</v>
      </c>
      <c r="M239" s="451"/>
      <c r="N239" s="221">
        <f t="shared" si="346"/>
        <v>0.58384332925336602</v>
      </c>
      <c r="O239" s="176">
        <f t="shared" si="347"/>
        <v>17.310083304408188</v>
      </c>
      <c r="P239" s="176">
        <f t="shared" si="348"/>
        <v>2.0195097188476221</v>
      </c>
      <c r="Q239" s="221">
        <f t="shared" si="349"/>
        <v>1.1540055536272125</v>
      </c>
      <c r="R239" s="221">
        <f t="shared" si="350"/>
        <v>2.4728690434868841</v>
      </c>
      <c r="S239" s="221">
        <f t="shared" si="351"/>
        <v>15</v>
      </c>
      <c r="T239" s="221">
        <f t="shared" si="352"/>
        <v>0.74609692933777294</v>
      </c>
      <c r="U239" s="221">
        <f t="shared" si="353"/>
        <v>0.30721638266849471</v>
      </c>
      <c r="V239" s="221">
        <f t="shared" si="354"/>
        <v>0.21898023083288934</v>
      </c>
      <c r="W239" s="201">
        <f t="shared" si="355"/>
        <v>350</v>
      </c>
      <c r="X239" s="451">
        <f t="shared" si="356"/>
        <v>350</v>
      </c>
      <c r="Z239" s="221">
        <f t="shared" si="357"/>
        <v>4.0511577948192743</v>
      </c>
      <c r="AA239" s="177">
        <f t="shared" si="358"/>
        <v>1.1890190592760972</v>
      </c>
      <c r="AB239" s="177">
        <f t="shared" si="359"/>
        <v>1.1323318705262224</v>
      </c>
      <c r="AC239" s="177"/>
      <c r="AD239" s="177">
        <f t="shared" si="360"/>
        <v>0.24067085953878403</v>
      </c>
      <c r="AE239" s="559">
        <f t="shared" si="361"/>
        <v>1584.3248066627011</v>
      </c>
      <c r="AF239" s="542">
        <f t="shared" si="362"/>
        <v>4.6392002252886505E-2</v>
      </c>
      <c r="AH239" s="177">
        <f t="shared" si="363"/>
        <v>1.6945290116809955</v>
      </c>
      <c r="AI239" s="177">
        <f t="shared" si="364"/>
        <v>1.6945290116809955</v>
      </c>
      <c r="AJ239" s="177">
        <f t="shared" si="365"/>
        <v>1.8477992679118485</v>
      </c>
      <c r="AL239" s="559">
        <f t="shared" si="366"/>
        <v>210</v>
      </c>
      <c r="AM239" s="469">
        <f t="shared" si="367"/>
        <v>350</v>
      </c>
      <c r="AO239">
        <f t="shared" si="368"/>
        <v>210</v>
      </c>
      <c r="AP239">
        <f t="shared" si="369"/>
        <v>350</v>
      </c>
      <c r="AR239" s="5">
        <f t="shared" si="333"/>
        <v>2.8571428571428572</v>
      </c>
      <c r="AS239" s="5">
        <f t="shared" si="324"/>
        <v>0.6977472401039394</v>
      </c>
      <c r="AT239" s="5">
        <f t="shared" si="325"/>
        <v>2.1593956170389177</v>
      </c>
      <c r="AU239" s="177">
        <f t="shared" si="326"/>
        <v>0.2442115340363788</v>
      </c>
      <c r="AW239" s="5">
        <f t="shared" si="370"/>
        <v>10.014141569481827</v>
      </c>
      <c r="AX239" s="5">
        <f t="shared" si="371"/>
        <v>2.1355351473209607</v>
      </c>
      <c r="AY239" s="5">
        <f t="shared" si="372"/>
        <v>0.70947993256842168</v>
      </c>
      <c r="AZ239" s="5">
        <f t="shared" si="373"/>
        <v>0.20727646708724357</v>
      </c>
      <c r="BA239" s="5">
        <f t="shared" si="374"/>
        <v>0.62709383553637921</v>
      </c>
      <c r="BB239" s="5"/>
      <c r="CE239" s="576">
        <f t="shared" si="375"/>
        <v>-50</v>
      </c>
    </row>
    <row r="240" spans="5:83" x14ac:dyDescent="0.25">
      <c r="E240" s="174">
        <v>22</v>
      </c>
      <c r="F240" s="221">
        <f t="shared" si="376"/>
        <v>0.22</v>
      </c>
      <c r="G240" s="221">
        <f t="shared" si="340"/>
        <v>5.5E-2</v>
      </c>
      <c r="H240" s="221">
        <f t="shared" si="341"/>
        <v>3.3</v>
      </c>
      <c r="I240" s="221">
        <f t="shared" si="342"/>
        <v>0.38500000000000001</v>
      </c>
      <c r="J240" s="555">
        <f t="shared" si="343"/>
        <v>17</v>
      </c>
      <c r="K240" s="451">
        <f t="shared" si="344"/>
        <v>23.85</v>
      </c>
      <c r="L240" s="451">
        <f t="shared" si="345"/>
        <v>40.85</v>
      </c>
      <c r="M240" s="451"/>
      <c r="N240" s="221">
        <f t="shared" si="346"/>
        <v>0.58384332925336602</v>
      </c>
      <c r="O240" s="176">
        <f t="shared" si="347"/>
        <v>17.310083304408188</v>
      </c>
      <c r="P240" s="176">
        <f t="shared" si="348"/>
        <v>2.0195097188476221</v>
      </c>
      <c r="Q240" s="221">
        <f t="shared" si="349"/>
        <v>1.1540055536272125</v>
      </c>
      <c r="R240" s="221">
        <f t="shared" si="350"/>
        <v>2.4728690434868841</v>
      </c>
      <c r="S240" s="221">
        <f t="shared" si="351"/>
        <v>15</v>
      </c>
      <c r="T240" s="221">
        <f t="shared" si="352"/>
        <v>0.78162535454433346</v>
      </c>
      <c r="U240" s="221">
        <f t="shared" si="353"/>
        <v>0.32184573422413731</v>
      </c>
      <c r="V240" s="221">
        <f t="shared" si="354"/>
        <v>0.22940786087255069</v>
      </c>
      <c r="W240" s="201">
        <f t="shared" si="355"/>
        <v>350</v>
      </c>
      <c r="X240" s="451">
        <f t="shared" si="356"/>
        <v>350</v>
      </c>
      <c r="Z240" s="221">
        <f t="shared" si="357"/>
        <v>4.0511577948192743</v>
      </c>
      <c r="AA240" s="177">
        <f t="shared" si="358"/>
        <v>1.1890190592760972</v>
      </c>
      <c r="AB240" s="177">
        <f t="shared" si="359"/>
        <v>1.1323318705262224</v>
      </c>
      <c r="AC240" s="177"/>
      <c r="AD240" s="177">
        <f t="shared" si="360"/>
        <v>0.24067085953878403</v>
      </c>
      <c r="AE240" s="559">
        <f t="shared" si="361"/>
        <v>1659.7688450752107</v>
      </c>
      <c r="AF240" s="542">
        <f t="shared" si="362"/>
        <v>4.6392002252886505E-2</v>
      </c>
      <c r="AH240" s="177">
        <f t="shared" si="363"/>
        <v>1.7344057383744214</v>
      </c>
      <c r="AI240" s="177">
        <f t="shared" si="364"/>
        <v>1.7344057383744214</v>
      </c>
      <c r="AJ240" s="177">
        <f t="shared" si="365"/>
        <v>1.8773375839810529</v>
      </c>
      <c r="AL240" s="559">
        <f t="shared" si="366"/>
        <v>220</v>
      </c>
      <c r="AM240" s="469">
        <f t="shared" si="367"/>
        <v>350</v>
      </c>
      <c r="AO240">
        <f t="shared" si="368"/>
        <v>220</v>
      </c>
      <c r="AP240">
        <f t="shared" si="369"/>
        <v>350</v>
      </c>
      <c r="AR240" s="5">
        <f t="shared" si="333"/>
        <v>2.8571428571428572</v>
      </c>
      <c r="AS240" s="5">
        <f t="shared" si="324"/>
        <v>0.71416706874240876</v>
      </c>
      <c r="AT240" s="5">
        <f t="shared" si="325"/>
        <v>2.1429757884004483</v>
      </c>
      <c r="AU240" s="177">
        <f t="shared" si="326"/>
        <v>0.24995847405984306</v>
      </c>
      <c r="AW240" s="5">
        <f t="shared" si="370"/>
        <v>10.014141569481827</v>
      </c>
      <c r="AX240" s="5">
        <f t="shared" si="371"/>
        <v>2.3123333589645014</v>
      </c>
      <c r="AY240" s="5">
        <f t="shared" si="372"/>
        <v>0.70947993256842168</v>
      </c>
      <c r="AZ240" s="5">
        <f t="shared" si="373"/>
        <v>0.21962995480776848</v>
      </c>
      <c r="BA240" s="5">
        <f t="shared" si="374"/>
        <v>0.6519600231377215</v>
      </c>
      <c r="BB240" s="5"/>
      <c r="CE240" s="576">
        <f t="shared" si="375"/>
        <v>-50</v>
      </c>
    </row>
    <row r="241" spans="5:83" x14ac:dyDescent="0.25">
      <c r="E241" s="174">
        <v>23</v>
      </c>
      <c r="F241" s="221">
        <f t="shared" si="376"/>
        <v>0.23</v>
      </c>
      <c r="G241" s="221">
        <f t="shared" si="340"/>
        <v>5.7500000000000002E-2</v>
      </c>
      <c r="H241" s="221">
        <f t="shared" si="341"/>
        <v>3.45</v>
      </c>
      <c r="I241" s="221">
        <f t="shared" si="342"/>
        <v>0.40250000000000002</v>
      </c>
      <c r="J241" s="555">
        <f t="shared" si="343"/>
        <v>17</v>
      </c>
      <c r="K241" s="451">
        <f t="shared" si="344"/>
        <v>23.85</v>
      </c>
      <c r="L241" s="451">
        <f t="shared" si="345"/>
        <v>40.85</v>
      </c>
      <c r="M241" s="451"/>
      <c r="N241" s="221">
        <f t="shared" si="346"/>
        <v>0.58384332925336602</v>
      </c>
      <c r="O241" s="176">
        <f t="shared" si="347"/>
        <v>17.310083304408188</v>
      </c>
      <c r="P241" s="176">
        <f t="shared" si="348"/>
        <v>2.0195097188476221</v>
      </c>
      <c r="Q241" s="221">
        <f t="shared" si="349"/>
        <v>1.1540055536272125</v>
      </c>
      <c r="R241" s="221">
        <f t="shared" si="350"/>
        <v>2.4728690434868841</v>
      </c>
      <c r="S241" s="221">
        <f t="shared" si="351"/>
        <v>15</v>
      </c>
      <c r="T241" s="221">
        <f t="shared" si="352"/>
        <v>0.8171537797508942</v>
      </c>
      <c r="U241" s="221">
        <f t="shared" si="353"/>
        <v>0.33647508577977997</v>
      </c>
      <c r="V241" s="221">
        <f t="shared" si="354"/>
        <v>0.23983549091221215</v>
      </c>
      <c r="W241" s="201">
        <f t="shared" si="355"/>
        <v>350</v>
      </c>
      <c r="X241" s="451">
        <f t="shared" si="356"/>
        <v>350</v>
      </c>
      <c r="Z241" s="221">
        <f t="shared" si="357"/>
        <v>4.0511577948192743</v>
      </c>
      <c r="AA241" s="177">
        <f t="shared" si="358"/>
        <v>1.1890190592760972</v>
      </c>
      <c r="AB241" s="177">
        <f t="shared" si="359"/>
        <v>1.1323318705262224</v>
      </c>
      <c r="AC241" s="177"/>
      <c r="AD241" s="177">
        <f t="shared" si="360"/>
        <v>0.24067085953878403</v>
      </c>
      <c r="AE241" s="559">
        <f t="shared" si="361"/>
        <v>1735.2128834877205</v>
      </c>
      <c r="AF241" s="542">
        <f t="shared" si="362"/>
        <v>4.6392002252886505E-2</v>
      </c>
      <c r="AH241" s="177">
        <f t="shared" si="363"/>
        <v>1.7733860152780254</v>
      </c>
      <c r="AI241" s="177">
        <f t="shared" si="364"/>
        <v>1.7733860152780254</v>
      </c>
      <c r="AJ241" s="177">
        <f t="shared" si="365"/>
        <v>1.9062118631689078</v>
      </c>
      <c r="AL241" s="559">
        <f t="shared" si="366"/>
        <v>230</v>
      </c>
      <c r="AM241" s="469">
        <f t="shared" si="367"/>
        <v>350</v>
      </c>
      <c r="AO241">
        <f t="shared" si="368"/>
        <v>230</v>
      </c>
      <c r="AP241">
        <f t="shared" si="369"/>
        <v>350</v>
      </c>
      <c r="AR241" s="5">
        <f t="shared" si="333"/>
        <v>2.8571428571428572</v>
      </c>
      <c r="AS241" s="5">
        <f t="shared" si="324"/>
        <v>0.73021777099683405</v>
      </c>
      <c r="AT241" s="5">
        <f t="shared" si="325"/>
        <v>2.1269250861460232</v>
      </c>
      <c r="AU241" s="177">
        <f t="shared" si="326"/>
        <v>0.25557621984889189</v>
      </c>
      <c r="AW241" s="5">
        <f t="shared" si="370"/>
        <v>10.014141569481827</v>
      </c>
      <c r="AX241" s="5">
        <f t="shared" si="371"/>
        <v>2.4959593944054164</v>
      </c>
      <c r="AY241" s="5">
        <f t="shared" si="372"/>
        <v>0.70947993256842168</v>
      </c>
      <c r="AZ241" s="5">
        <f t="shared" si="373"/>
        <v>0.23220918614320152</v>
      </c>
      <c r="BA241" s="5">
        <f t="shared" si="374"/>
        <v>0.67648948560392608</v>
      </c>
      <c r="BB241" s="5"/>
      <c r="CE241" s="576">
        <f t="shared" si="375"/>
        <v>-50</v>
      </c>
    </row>
    <row r="242" spans="5:83" x14ac:dyDescent="0.25">
      <c r="E242" s="174">
        <v>24</v>
      </c>
      <c r="F242" s="221">
        <f t="shared" si="376"/>
        <v>0.24</v>
      </c>
      <c r="G242" s="221">
        <f t="shared" si="340"/>
        <v>0.06</v>
      </c>
      <c r="H242" s="221">
        <f t="shared" si="341"/>
        <v>3.5999999999999996</v>
      </c>
      <c r="I242" s="221">
        <f t="shared" si="342"/>
        <v>0.42</v>
      </c>
      <c r="J242" s="555">
        <f t="shared" si="343"/>
        <v>17</v>
      </c>
      <c r="K242" s="451">
        <f t="shared" si="344"/>
        <v>23.85</v>
      </c>
      <c r="L242" s="451">
        <f t="shared" si="345"/>
        <v>40.85</v>
      </c>
      <c r="M242" s="451"/>
      <c r="N242" s="221">
        <f t="shared" si="346"/>
        <v>0.58384332925336602</v>
      </c>
      <c r="O242" s="176">
        <f t="shared" si="347"/>
        <v>17.310083304408188</v>
      </c>
      <c r="P242" s="176">
        <f t="shared" si="348"/>
        <v>2.0195097188476221</v>
      </c>
      <c r="Q242" s="221">
        <f t="shared" si="349"/>
        <v>1.1540055536272125</v>
      </c>
      <c r="R242" s="221">
        <f t="shared" si="350"/>
        <v>2.4728690434868841</v>
      </c>
      <c r="S242" s="221">
        <f t="shared" si="351"/>
        <v>15</v>
      </c>
      <c r="T242" s="221">
        <f t="shared" si="352"/>
        <v>0.85268220495745473</v>
      </c>
      <c r="U242" s="221">
        <f t="shared" si="353"/>
        <v>0.35110443733542251</v>
      </c>
      <c r="V242" s="221">
        <f t="shared" si="354"/>
        <v>0.25026312095187347</v>
      </c>
      <c r="W242" s="201">
        <f t="shared" si="355"/>
        <v>350</v>
      </c>
      <c r="X242" s="451">
        <f t="shared" si="356"/>
        <v>350</v>
      </c>
      <c r="Z242" s="221">
        <f t="shared" si="357"/>
        <v>4.0511577948192743</v>
      </c>
      <c r="AA242" s="177">
        <f t="shared" si="358"/>
        <v>1.1890190592760972</v>
      </c>
      <c r="AB242" s="177">
        <f t="shared" si="359"/>
        <v>1.1323318705262224</v>
      </c>
      <c r="AC242" s="177"/>
      <c r="AD242" s="177">
        <f t="shared" si="360"/>
        <v>0.24067085953878403</v>
      </c>
      <c r="AE242" s="559">
        <f t="shared" si="361"/>
        <v>1810.6569219002297</v>
      </c>
      <c r="AF242" s="542">
        <f t="shared" si="362"/>
        <v>4.6392002252886505E-2</v>
      </c>
      <c r="AH242" s="177">
        <f t="shared" si="363"/>
        <v>1.8115277124739837</v>
      </c>
      <c r="AI242" s="177">
        <f t="shared" si="364"/>
        <v>1.8115277124739837</v>
      </c>
      <c r="AJ242" s="177">
        <f t="shared" si="365"/>
        <v>1.9344649722029508</v>
      </c>
      <c r="AL242" s="559">
        <f t="shared" si="366"/>
        <v>240</v>
      </c>
      <c r="AM242" s="469">
        <f t="shared" si="367"/>
        <v>350</v>
      </c>
      <c r="AO242">
        <f t="shared" si="368"/>
        <v>240</v>
      </c>
      <c r="AP242">
        <f t="shared" si="369"/>
        <v>350</v>
      </c>
      <c r="AR242" s="5">
        <f t="shared" si="333"/>
        <v>2.8571428571428572</v>
      </c>
      <c r="AS242" s="5">
        <f t="shared" si="324"/>
        <v>0.74592317572458156</v>
      </c>
      <c r="AT242" s="5">
        <f t="shared" si="325"/>
        <v>2.1112196814182758</v>
      </c>
      <c r="AU242" s="177">
        <f t="shared" si="326"/>
        <v>0.26107311150360352</v>
      </c>
      <c r="AW242" s="5">
        <f t="shared" si="370"/>
        <v>10.014141569481827</v>
      </c>
      <c r="AX242" s="5">
        <f t="shared" si="371"/>
        <v>2.6864132536437042</v>
      </c>
      <c r="AY242" s="5">
        <f t="shared" si="372"/>
        <v>0.70947993256842168</v>
      </c>
      <c r="AZ242" s="5">
        <f t="shared" si="373"/>
        <v>0.24501416109354263</v>
      </c>
      <c r="BA242" s="5">
        <f t="shared" si="374"/>
        <v>0.70068962801250512</v>
      </c>
      <c r="BB242" s="5"/>
      <c r="CE242" s="576">
        <f t="shared" si="375"/>
        <v>-50</v>
      </c>
    </row>
    <row r="243" spans="5:83" x14ac:dyDescent="0.25">
      <c r="E243" s="174">
        <v>25</v>
      </c>
      <c r="F243" s="221">
        <f t="shared" si="376"/>
        <v>0.25</v>
      </c>
      <c r="G243" s="221">
        <f t="shared" si="340"/>
        <v>6.25E-2</v>
      </c>
      <c r="H243" s="221">
        <f t="shared" si="341"/>
        <v>3.75</v>
      </c>
      <c r="I243" s="221">
        <f t="shared" si="342"/>
        <v>0.4375</v>
      </c>
      <c r="J243" s="555">
        <f t="shared" si="343"/>
        <v>17</v>
      </c>
      <c r="K243" s="451">
        <f t="shared" si="344"/>
        <v>23.85</v>
      </c>
      <c r="L243" s="451">
        <f t="shared" si="345"/>
        <v>40.85</v>
      </c>
      <c r="M243" s="451"/>
      <c r="N243" s="221">
        <f t="shared" si="346"/>
        <v>0.58384332925336602</v>
      </c>
      <c r="O243" s="176">
        <f t="shared" si="347"/>
        <v>17.310083304408188</v>
      </c>
      <c r="P243" s="176">
        <f t="shared" si="348"/>
        <v>2.0195097188476221</v>
      </c>
      <c r="Q243" s="221">
        <f t="shared" si="349"/>
        <v>1.1540055536272125</v>
      </c>
      <c r="R243" s="221">
        <f t="shared" si="350"/>
        <v>2.4728690434868841</v>
      </c>
      <c r="S243" s="221">
        <f t="shared" si="351"/>
        <v>15</v>
      </c>
      <c r="T243" s="221">
        <f t="shared" si="352"/>
        <v>0.88821063016401536</v>
      </c>
      <c r="U243" s="221">
        <f t="shared" si="353"/>
        <v>0.36573378889106517</v>
      </c>
      <c r="V243" s="221">
        <f t="shared" si="354"/>
        <v>0.26069075099153494</v>
      </c>
      <c r="W243" s="201">
        <f t="shared" si="355"/>
        <v>350</v>
      </c>
      <c r="X243" s="451">
        <f t="shared" si="356"/>
        <v>350</v>
      </c>
      <c r="Z243" s="221">
        <f t="shared" si="357"/>
        <v>4.0511577948192743</v>
      </c>
      <c r="AA243" s="177">
        <f t="shared" si="358"/>
        <v>1.1890190592760972</v>
      </c>
      <c r="AB243" s="177">
        <f t="shared" si="359"/>
        <v>1.1323318705262224</v>
      </c>
      <c r="AC243" s="177"/>
      <c r="AD243" s="177">
        <f t="shared" si="360"/>
        <v>0.24067085953878403</v>
      </c>
      <c r="AE243" s="559">
        <f t="shared" si="361"/>
        <v>1886.1009603127393</v>
      </c>
      <c r="AF243" s="542">
        <f t="shared" si="362"/>
        <v>4.6392002252886505E-2</v>
      </c>
      <c r="AH243" s="177">
        <f t="shared" si="363"/>
        <v>1.8488827293635406</v>
      </c>
      <c r="AI243" s="177">
        <f t="shared" si="364"/>
        <v>1.8488827293635406</v>
      </c>
      <c r="AJ243" s="177">
        <f t="shared" si="365"/>
        <v>1.9621353550841041</v>
      </c>
      <c r="AL243" s="559">
        <f t="shared" si="366"/>
        <v>250</v>
      </c>
      <c r="AM243" s="469">
        <f t="shared" si="367"/>
        <v>350</v>
      </c>
      <c r="AO243">
        <f t="shared" si="368"/>
        <v>250</v>
      </c>
      <c r="AP243">
        <f t="shared" si="369"/>
        <v>350</v>
      </c>
      <c r="AR243" s="5">
        <f t="shared" si="333"/>
        <v>2.8571428571428572</v>
      </c>
      <c r="AS243" s="5">
        <f t="shared" si="324"/>
        <v>0.76130465326734031</v>
      </c>
      <c r="AT243" s="5">
        <f t="shared" si="325"/>
        <v>2.095838203875517</v>
      </c>
      <c r="AU243" s="177">
        <f t="shared" si="326"/>
        <v>0.26645662864356912</v>
      </c>
      <c r="AW243" s="5">
        <f t="shared" si="370"/>
        <v>10.014141569481827</v>
      </c>
      <c r="AX243" s="5">
        <f t="shared" si="371"/>
        <v>2.8836949366793667</v>
      </c>
      <c r="AY243" s="5">
        <f t="shared" si="372"/>
        <v>0.70947993256842168</v>
      </c>
      <c r="AZ243" s="5">
        <f t="shared" si="373"/>
        <v>0.25804487965879191</v>
      </c>
      <c r="BA243" s="5">
        <f t="shared" si="374"/>
        <v>0.72456738730474524</v>
      </c>
      <c r="BB243" s="5"/>
      <c r="CE243" s="576">
        <f t="shared" si="375"/>
        <v>-50</v>
      </c>
    </row>
    <row r="244" spans="5:83" x14ac:dyDescent="0.25">
      <c r="E244" s="174">
        <v>26</v>
      </c>
      <c r="F244" s="221">
        <f t="shared" si="376"/>
        <v>0.26</v>
      </c>
      <c r="G244" s="221">
        <f t="shared" si="340"/>
        <v>6.5000000000000002E-2</v>
      </c>
      <c r="H244" s="221">
        <f t="shared" si="341"/>
        <v>3.9000000000000004</v>
      </c>
      <c r="I244" s="221">
        <f t="shared" si="342"/>
        <v>0.45500000000000002</v>
      </c>
      <c r="J244" s="555">
        <f t="shared" si="343"/>
        <v>17</v>
      </c>
      <c r="K244" s="451">
        <f t="shared" si="344"/>
        <v>23.85</v>
      </c>
      <c r="L244" s="451">
        <f t="shared" si="345"/>
        <v>40.85</v>
      </c>
      <c r="M244" s="451"/>
      <c r="N244" s="221">
        <f t="shared" si="346"/>
        <v>0.58384332925336602</v>
      </c>
      <c r="O244" s="176">
        <f t="shared" si="347"/>
        <v>17.310083304408188</v>
      </c>
      <c r="P244" s="176">
        <f t="shared" si="348"/>
        <v>2.0195097188476221</v>
      </c>
      <c r="Q244" s="221">
        <f t="shared" si="349"/>
        <v>1.1540055536272125</v>
      </c>
      <c r="R244" s="221">
        <f t="shared" si="350"/>
        <v>2.4728690434868841</v>
      </c>
      <c r="S244" s="221">
        <f t="shared" si="351"/>
        <v>15</v>
      </c>
      <c r="T244" s="221">
        <f t="shared" si="352"/>
        <v>0.9237390553705761</v>
      </c>
      <c r="U244" s="221">
        <f t="shared" si="353"/>
        <v>0.38036314044670783</v>
      </c>
      <c r="V244" s="221">
        <f t="shared" si="354"/>
        <v>0.27111838103119634</v>
      </c>
      <c r="W244" s="201">
        <f t="shared" si="355"/>
        <v>350</v>
      </c>
      <c r="X244" s="451">
        <f t="shared" si="356"/>
        <v>350</v>
      </c>
      <c r="Z244" s="221">
        <f t="shared" si="357"/>
        <v>4.0511577948192743</v>
      </c>
      <c r="AA244" s="177">
        <f t="shared" si="358"/>
        <v>1.1890190592760972</v>
      </c>
      <c r="AB244" s="177">
        <f t="shared" si="359"/>
        <v>1.1323318705262224</v>
      </c>
      <c r="AC244" s="177"/>
      <c r="AD244" s="177">
        <f t="shared" si="360"/>
        <v>0.24067085953878403</v>
      </c>
      <c r="AE244" s="559">
        <f t="shared" si="361"/>
        <v>1961.5449987252491</v>
      </c>
      <c r="AF244" s="542">
        <f t="shared" si="362"/>
        <v>4.6392002252886505E-2</v>
      </c>
      <c r="AH244" s="177">
        <f t="shared" si="363"/>
        <v>1.8854978230738764</v>
      </c>
      <c r="AI244" s="177">
        <f t="shared" si="364"/>
        <v>1.8854978230738764</v>
      </c>
      <c r="AJ244" s="177">
        <f t="shared" si="365"/>
        <v>1.9892576467213898</v>
      </c>
      <c r="AL244" s="559">
        <f t="shared" si="366"/>
        <v>260</v>
      </c>
      <c r="AM244" s="469">
        <f t="shared" si="367"/>
        <v>350</v>
      </c>
      <c r="AO244">
        <f t="shared" si="368"/>
        <v>260</v>
      </c>
      <c r="AP244">
        <f t="shared" si="369"/>
        <v>350</v>
      </c>
      <c r="AR244" s="5">
        <f t="shared" si="333"/>
        <v>2.8571428571428572</v>
      </c>
      <c r="AS244" s="5">
        <f t="shared" si="324"/>
        <v>0.77638145655983148</v>
      </c>
      <c r="AT244" s="5">
        <f t="shared" si="325"/>
        <v>2.0807614005830257</v>
      </c>
      <c r="AU244" s="177">
        <f t="shared" si="326"/>
        <v>0.27173350979594102</v>
      </c>
      <c r="AW244" s="5">
        <f t="shared" si="370"/>
        <v>10.014141569481827</v>
      </c>
      <c r="AX244" s="5">
        <f t="shared" si="371"/>
        <v>3.087804443512403</v>
      </c>
      <c r="AY244" s="5">
        <f t="shared" si="372"/>
        <v>0.70947993256842168</v>
      </c>
      <c r="AZ244" s="5">
        <f t="shared" si="373"/>
        <v>0.27130134183894938</v>
      </c>
      <c r="BA244" s="5">
        <f t="shared" si="374"/>
        <v>0.74812927963170928</v>
      </c>
      <c r="BB244" s="5"/>
      <c r="CE244" s="576">
        <f t="shared" si="375"/>
        <v>-50</v>
      </c>
    </row>
    <row r="245" spans="5:83" x14ac:dyDescent="0.25">
      <c r="E245" s="174">
        <v>27</v>
      </c>
      <c r="F245" s="221">
        <f t="shared" si="376"/>
        <v>0.27</v>
      </c>
      <c r="G245" s="221">
        <f t="shared" si="340"/>
        <v>6.7500000000000004E-2</v>
      </c>
      <c r="H245" s="221">
        <f t="shared" si="341"/>
        <v>4.0500000000000007</v>
      </c>
      <c r="I245" s="221">
        <f t="shared" si="342"/>
        <v>0.47250000000000003</v>
      </c>
      <c r="J245" s="555">
        <f t="shared" si="343"/>
        <v>17</v>
      </c>
      <c r="K245" s="451">
        <f t="shared" si="344"/>
        <v>23.85</v>
      </c>
      <c r="L245" s="451">
        <f t="shared" si="345"/>
        <v>40.85</v>
      </c>
      <c r="M245" s="451"/>
      <c r="N245" s="221">
        <f t="shared" si="346"/>
        <v>0.58384332925336602</v>
      </c>
      <c r="O245" s="176">
        <f t="shared" si="347"/>
        <v>17.310083304408188</v>
      </c>
      <c r="P245" s="176">
        <f t="shared" si="348"/>
        <v>2.0195097188476221</v>
      </c>
      <c r="Q245" s="221">
        <f t="shared" si="349"/>
        <v>1.1540055536272125</v>
      </c>
      <c r="R245" s="221">
        <f t="shared" si="350"/>
        <v>2.4728690434868841</v>
      </c>
      <c r="S245" s="221">
        <f t="shared" si="351"/>
        <v>15</v>
      </c>
      <c r="T245" s="221">
        <f t="shared" si="352"/>
        <v>0.95926748057713684</v>
      </c>
      <c r="U245" s="221">
        <f t="shared" si="353"/>
        <v>0.39499249200235048</v>
      </c>
      <c r="V245" s="221">
        <f t="shared" si="354"/>
        <v>0.28154601107085775</v>
      </c>
      <c r="W245" s="201">
        <f t="shared" si="355"/>
        <v>350</v>
      </c>
      <c r="X245" s="451">
        <f t="shared" si="356"/>
        <v>350</v>
      </c>
      <c r="Z245" s="221">
        <f t="shared" si="357"/>
        <v>4.0511577948192743</v>
      </c>
      <c r="AA245" s="177">
        <f t="shared" si="358"/>
        <v>1.1890190592760972</v>
      </c>
      <c r="AB245" s="177">
        <f t="shared" si="359"/>
        <v>1.1323318705262224</v>
      </c>
      <c r="AC245" s="177"/>
      <c r="AD245" s="177">
        <f t="shared" si="360"/>
        <v>0.24067085953878403</v>
      </c>
      <c r="AE245" s="559">
        <f t="shared" si="361"/>
        <v>2036.9890371377587</v>
      </c>
      <c r="AF245" s="542">
        <f t="shared" si="362"/>
        <v>4.6392002252886505E-2</v>
      </c>
      <c r="AH245" s="177">
        <f t="shared" si="363"/>
        <v>1.9214152946965626</v>
      </c>
      <c r="AI245" s="177">
        <f t="shared" si="364"/>
        <v>1.9214152946965626</v>
      </c>
      <c r="AJ245" s="177">
        <f t="shared" si="365"/>
        <v>2.0158631812567132</v>
      </c>
      <c r="AL245" s="559">
        <f t="shared" si="366"/>
        <v>270</v>
      </c>
      <c r="AM245" s="469">
        <f t="shared" si="367"/>
        <v>350</v>
      </c>
      <c r="AO245">
        <f t="shared" si="368"/>
        <v>270</v>
      </c>
      <c r="AP245">
        <f t="shared" si="369"/>
        <v>350</v>
      </c>
      <c r="AR245" s="5">
        <f t="shared" si="333"/>
        <v>2.8571428571428572</v>
      </c>
      <c r="AS245" s="5">
        <f t="shared" ref="AS245:AS308" si="377">L*AI245/J245*1000000</f>
        <v>0.79117100369858462</v>
      </c>
      <c r="AT245" s="5">
        <f t="shared" ref="AT245:AT308" si="378">AR245-AS245</f>
        <v>2.0659718534442728</v>
      </c>
      <c r="AU245" s="177">
        <f t="shared" ref="AU245:AU308" si="379">AS245/AR245</f>
        <v>0.27690985129450463</v>
      </c>
      <c r="AW245" s="5">
        <f t="shared" si="370"/>
        <v>10.014141569481827</v>
      </c>
      <c r="AX245" s="5">
        <f t="shared" si="371"/>
        <v>3.2987417741428136</v>
      </c>
      <c r="AY245" s="5">
        <f t="shared" si="372"/>
        <v>0.70947993256842168</v>
      </c>
      <c r="AZ245" s="5">
        <f t="shared" si="373"/>
        <v>0.28478354763401492</v>
      </c>
      <c r="BA245" s="5">
        <f t="shared" si="374"/>
        <v>0.77138144125504449</v>
      </c>
      <c r="BB245" s="5"/>
      <c r="CE245" s="576">
        <f t="shared" si="375"/>
        <v>-50</v>
      </c>
    </row>
    <row r="246" spans="5:83" x14ac:dyDescent="0.25">
      <c r="E246" s="174">
        <v>28</v>
      </c>
      <c r="F246" s="221">
        <f t="shared" si="376"/>
        <v>0.28000000000000003</v>
      </c>
      <c r="G246" s="221">
        <f t="shared" si="340"/>
        <v>7.0000000000000007E-2</v>
      </c>
      <c r="H246" s="221">
        <f t="shared" si="341"/>
        <v>4.2</v>
      </c>
      <c r="I246" s="221">
        <f t="shared" si="342"/>
        <v>0.49000000000000005</v>
      </c>
      <c r="J246" s="555">
        <f t="shared" si="343"/>
        <v>17</v>
      </c>
      <c r="K246" s="451">
        <f t="shared" si="344"/>
        <v>23.85</v>
      </c>
      <c r="L246" s="451">
        <f t="shared" si="345"/>
        <v>40.85</v>
      </c>
      <c r="M246" s="451"/>
      <c r="N246" s="221">
        <f t="shared" si="346"/>
        <v>0.58384332925336602</v>
      </c>
      <c r="O246" s="176">
        <f t="shared" si="347"/>
        <v>17.310083304408188</v>
      </c>
      <c r="P246" s="176">
        <f t="shared" si="348"/>
        <v>2.0195097188476221</v>
      </c>
      <c r="Q246" s="221">
        <f t="shared" si="349"/>
        <v>1.1540055536272125</v>
      </c>
      <c r="R246" s="221">
        <f t="shared" si="350"/>
        <v>2.4728690434868841</v>
      </c>
      <c r="S246" s="221">
        <f t="shared" si="351"/>
        <v>15</v>
      </c>
      <c r="T246" s="221">
        <f t="shared" si="352"/>
        <v>0.99479590578369725</v>
      </c>
      <c r="U246" s="221">
        <f t="shared" si="353"/>
        <v>0.40962184355799297</v>
      </c>
      <c r="V246" s="221">
        <f t="shared" si="354"/>
        <v>0.29197364111051904</v>
      </c>
      <c r="W246" s="201">
        <f t="shared" si="355"/>
        <v>350</v>
      </c>
      <c r="X246" s="451">
        <f t="shared" si="356"/>
        <v>350</v>
      </c>
      <c r="Z246" s="221">
        <f t="shared" si="357"/>
        <v>4.0511577948192743</v>
      </c>
      <c r="AA246" s="177">
        <f t="shared" si="358"/>
        <v>1.1890190592760972</v>
      </c>
      <c r="AB246" s="177">
        <f t="shared" si="359"/>
        <v>1.1323318705262224</v>
      </c>
      <c r="AC246" s="177"/>
      <c r="AD246" s="177">
        <f t="shared" si="360"/>
        <v>0.24067085953878403</v>
      </c>
      <c r="AE246" s="559">
        <f t="shared" si="361"/>
        <v>2112.4330755502683</v>
      </c>
      <c r="AF246" s="542">
        <f t="shared" si="362"/>
        <v>4.6392002252886505E-2</v>
      </c>
      <c r="AH246" s="177">
        <f t="shared" si="363"/>
        <v>1.9566735620873066</v>
      </c>
      <c r="AI246" s="177">
        <f t="shared" si="364"/>
        <v>1.9566735620873066</v>
      </c>
      <c r="AJ246" s="177">
        <f t="shared" si="365"/>
        <v>2.0419804163609676</v>
      </c>
      <c r="AL246" s="559">
        <f t="shared" si="366"/>
        <v>280</v>
      </c>
      <c r="AM246" s="469">
        <f t="shared" si="367"/>
        <v>350</v>
      </c>
      <c r="AO246">
        <f t="shared" si="368"/>
        <v>280</v>
      </c>
      <c r="AP246">
        <f t="shared" si="369"/>
        <v>350</v>
      </c>
      <c r="AR246" s="5">
        <f t="shared" si="333"/>
        <v>2.8571428571428572</v>
      </c>
      <c r="AS246" s="5">
        <f t="shared" si="377"/>
        <v>0.80568911380065567</v>
      </c>
      <c r="AT246" s="5">
        <f t="shared" si="378"/>
        <v>2.0514537433422015</v>
      </c>
      <c r="AU246" s="177">
        <f t="shared" si="379"/>
        <v>0.28199118983022947</v>
      </c>
      <c r="AW246" s="5">
        <f t="shared" si="370"/>
        <v>10.014141569481827</v>
      </c>
      <c r="AX246" s="5">
        <f t="shared" si="371"/>
        <v>3.5165069285705979</v>
      </c>
      <c r="AY246" s="5">
        <f t="shared" si="372"/>
        <v>0.70947993256842168</v>
      </c>
      <c r="AZ246" s="5">
        <f t="shared" si="373"/>
        <v>0.29849149704398864</v>
      </c>
      <c r="BA246" s="5">
        <f t="shared" si="374"/>
        <v>0.79432966408874528</v>
      </c>
      <c r="BB246" s="5"/>
      <c r="CE246" s="576">
        <f t="shared" si="375"/>
        <v>-50</v>
      </c>
    </row>
    <row r="247" spans="5:83" x14ac:dyDescent="0.25">
      <c r="E247" s="174">
        <v>29</v>
      </c>
      <c r="F247" s="221">
        <f t="shared" si="376"/>
        <v>0.28999999999999998</v>
      </c>
      <c r="G247" s="221">
        <f t="shared" si="340"/>
        <v>7.2499999999999995E-2</v>
      </c>
      <c r="H247" s="221">
        <f t="shared" si="341"/>
        <v>4.3499999999999996</v>
      </c>
      <c r="I247" s="221">
        <f t="shared" si="342"/>
        <v>0.50749999999999995</v>
      </c>
      <c r="J247" s="555">
        <f t="shared" si="343"/>
        <v>17</v>
      </c>
      <c r="K247" s="451">
        <f t="shared" si="344"/>
        <v>23.85</v>
      </c>
      <c r="L247" s="451">
        <f t="shared" si="345"/>
        <v>40.85</v>
      </c>
      <c r="M247" s="451"/>
      <c r="N247" s="221">
        <f t="shared" si="346"/>
        <v>0.58384332925336602</v>
      </c>
      <c r="O247" s="176">
        <f t="shared" si="347"/>
        <v>17.310083304408188</v>
      </c>
      <c r="P247" s="176">
        <f t="shared" si="348"/>
        <v>2.0195097188476221</v>
      </c>
      <c r="Q247" s="221">
        <f t="shared" si="349"/>
        <v>1.1540055536272125</v>
      </c>
      <c r="R247" s="221">
        <f t="shared" si="350"/>
        <v>2.4728690434868841</v>
      </c>
      <c r="S247" s="221">
        <f t="shared" si="351"/>
        <v>15</v>
      </c>
      <c r="T247" s="221">
        <f t="shared" si="352"/>
        <v>1.0303243309902579</v>
      </c>
      <c r="U247" s="221">
        <f t="shared" si="353"/>
        <v>0.42425119511363557</v>
      </c>
      <c r="V247" s="221">
        <f t="shared" si="354"/>
        <v>0.30240127115018051</v>
      </c>
      <c r="W247" s="201">
        <f t="shared" si="355"/>
        <v>350</v>
      </c>
      <c r="X247" s="451">
        <f t="shared" si="356"/>
        <v>350</v>
      </c>
      <c r="Z247" s="221">
        <f t="shared" si="357"/>
        <v>4.0511577948192743</v>
      </c>
      <c r="AA247" s="177">
        <f t="shared" si="358"/>
        <v>1.1890190592760972</v>
      </c>
      <c r="AB247" s="177">
        <f t="shared" si="359"/>
        <v>1.1323318705262224</v>
      </c>
      <c r="AC247" s="177"/>
      <c r="AD247" s="177">
        <f t="shared" si="360"/>
        <v>0.24067085953878403</v>
      </c>
      <c r="AE247" s="559">
        <f t="shared" si="361"/>
        <v>2187.8771139627775</v>
      </c>
      <c r="AF247" s="542">
        <f t="shared" si="362"/>
        <v>4.6392002252886505E-2</v>
      </c>
      <c r="AH247" s="177">
        <f t="shared" si="363"/>
        <v>1.9913076413374653</v>
      </c>
      <c r="AI247" s="177">
        <f t="shared" si="364"/>
        <v>1.9913076413374653</v>
      </c>
      <c r="AJ247" s="177">
        <f t="shared" si="365"/>
        <v>2.067635289879604</v>
      </c>
      <c r="AL247" s="559">
        <f t="shared" si="366"/>
        <v>290</v>
      </c>
      <c r="AM247" s="469">
        <f t="shared" si="367"/>
        <v>350</v>
      </c>
      <c r="AO247">
        <f t="shared" si="368"/>
        <v>290</v>
      </c>
      <c r="AP247">
        <f t="shared" si="369"/>
        <v>350</v>
      </c>
      <c r="AR247" s="5">
        <f t="shared" si="333"/>
        <v>2.8571428571428572</v>
      </c>
      <c r="AS247" s="5">
        <f t="shared" si="377"/>
        <v>0.81995020525660334</v>
      </c>
      <c r="AT247" s="5">
        <f t="shared" si="378"/>
        <v>2.037192651886254</v>
      </c>
      <c r="AU247" s="177">
        <f t="shared" si="379"/>
        <v>0.28698257183981118</v>
      </c>
      <c r="AW247" s="5">
        <f t="shared" si="370"/>
        <v>10.014141569481827</v>
      </c>
      <c r="AX247" s="5">
        <f t="shared" si="371"/>
        <v>3.7410999067957551</v>
      </c>
      <c r="AY247" s="5">
        <f t="shared" si="372"/>
        <v>0.70947993256842168</v>
      </c>
      <c r="AZ247" s="5">
        <f t="shared" si="373"/>
        <v>0.31242519006887037</v>
      </c>
      <c r="BA247" s="5">
        <f t="shared" si="374"/>
        <v>0.81697942675232016</v>
      </c>
      <c r="BB247" s="5"/>
      <c r="CE247" s="576">
        <f t="shared" si="375"/>
        <v>-50</v>
      </c>
    </row>
    <row r="248" spans="5:83" x14ac:dyDescent="0.25">
      <c r="E248" s="174">
        <v>30</v>
      </c>
      <c r="F248" s="221">
        <f t="shared" si="376"/>
        <v>0.3</v>
      </c>
      <c r="G248" s="221">
        <f t="shared" si="340"/>
        <v>7.4999999999999997E-2</v>
      </c>
      <c r="H248" s="221">
        <f t="shared" si="341"/>
        <v>4.5</v>
      </c>
      <c r="I248" s="221">
        <f t="shared" si="342"/>
        <v>0.52500000000000002</v>
      </c>
      <c r="J248" s="555">
        <f t="shared" si="343"/>
        <v>17</v>
      </c>
      <c r="K248" s="451">
        <f t="shared" si="344"/>
        <v>23.85</v>
      </c>
      <c r="L248" s="451">
        <f t="shared" si="345"/>
        <v>40.85</v>
      </c>
      <c r="M248" s="451"/>
      <c r="N248" s="221">
        <f t="shared" si="346"/>
        <v>0.58384332925336602</v>
      </c>
      <c r="O248" s="176">
        <f t="shared" si="347"/>
        <v>17.310083304408188</v>
      </c>
      <c r="P248" s="176">
        <f t="shared" si="348"/>
        <v>2.0195097188476221</v>
      </c>
      <c r="Q248" s="221">
        <f t="shared" si="349"/>
        <v>1.1540055536272125</v>
      </c>
      <c r="R248" s="221">
        <f t="shared" si="350"/>
        <v>2.4728690434868841</v>
      </c>
      <c r="S248" s="221">
        <f t="shared" si="351"/>
        <v>15</v>
      </c>
      <c r="T248" s="221">
        <f t="shared" si="352"/>
        <v>1.0658527561968185</v>
      </c>
      <c r="U248" s="221">
        <f t="shared" si="353"/>
        <v>0.43888054666927823</v>
      </c>
      <c r="V248" s="221">
        <f t="shared" si="354"/>
        <v>0.31282890118984191</v>
      </c>
      <c r="W248" s="201">
        <f t="shared" si="355"/>
        <v>350</v>
      </c>
      <c r="X248" s="451">
        <f t="shared" si="356"/>
        <v>350</v>
      </c>
      <c r="Z248" s="221">
        <f t="shared" si="357"/>
        <v>4.0511577948192743</v>
      </c>
      <c r="AA248" s="177">
        <f t="shared" si="358"/>
        <v>1.1890190592760972</v>
      </c>
      <c r="AB248" s="177">
        <f t="shared" si="359"/>
        <v>1.1323318705262224</v>
      </c>
      <c r="AC248" s="177"/>
      <c r="AD248" s="177">
        <f t="shared" si="360"/>
        <v>0.24067085953878403</v>
      </c>
      <c r="AE248" s="559">
        <f t="shared" si="361"/>
        <v>2263.3211523752875</v>
      </c>
      <c r="AF248" s="542">
        <f t="shared" si="362"/>
        <v>4.6392002252886505E-2</v>
      </c>
      <c r="AH248" s="177">
        <f t="shared" si="363"/>
        <v>2.0253495541082609</v>
      </c>
      <c r="AI248" s="177">
        <f t="shared" si="364"/>
        <v>2.0253495541082609</v>
      </c>
      <c r="AJ248" s="177">
        <f t="shared" si="365"/>
        <v>2.0928515215616748</v>
      </c>
      <c r="AL248" s="559">
        <f t="shared" si="366"/>
        <v>300</v>
      </c>
      <c r="AM248" s="469">
        <f t="shared" si="367"/>
        <v>350</v>
      </c>
      <c r="AO248">
        <f t="shared" si="368"/>
        <v>300</v>
      </c>
      <c r="AP248">
        <f t="shared" si="369"/>
        <v>350</v>
      </c>
      <c r="AR248" s="5">
        <f t="shared" si="333"/>
        <v>2.8571428571428572</v>
      </c>
      <c r="AS248" s="5">
        <f t="shared" si="377"/>
        <v>0.83396746345634276</v>
      </c>
      <c r="AT248" s="5">
        <f t="shared" si="378"/>
        <v>2.0231753936865147</v>
      </c>
      <c r="AU248" s="177">
        <f t="shared" si="379"/>
        <v>0.29188861220971996</v>
      </c>
      <c r="AW248" s="5">
        <f t="shared" si="370"/>
        <v>10.014141569481827</v>
      </c>
      <c r="AX248" s="5">
        <f t="shared" si="371"/>
        <v>3.9725207088182879</v>
      </c>
      <c r="AY248" s="5">
        <f t="shared" si="372"/>
        <v>0.70947993256842168</v>
      </c>
      <c r="AZ248" s="5">
        <f t="shared" si="373"/>
        <v>0.3265846267086604</v>
      </c>
      <c r="BA248" s="5">
        <f t="shared" si="374"/>
        <v>0.83933592183898764</v>
      </c>
      <c r="BB248" s="5"/>
      <c r="CE248" s="576">
        <f t="shared" si="375"/>
        <v>-50</v>
      </c>
    </row>
    <row r="249" spans="5:83" x14ac:dyDescent="0.25">
      <c r="E249" s="174">
        <v>31</v>
      </c>
      <c r="F249" s="221">
        <f t="shared" si="376"/>
        <v>0.31</v>
      </c>
      <c r="G249" s="221">
        <f t="shared" si="340"/>
        <v>7.7499999999999999E-2</v>
      </c>
      <c r="H249" s="221">
        <f t="shared" si="341"/>
        <v>4.6500000000000004</v>
      </c>
      <c r="I249" s="221">
        <f t="shared" si="342"/>
        <v>0.54249999999999998</v>
      </c>
      <c r="J249" s="555">
        <f t="shared" si="343"/>
        <v>17</v>
      </c>
      <c r="K249" s="451">
        <f t="shared" si="344"/>
        <v>23.85</v>
      </c>
      <c r="L249" s="451">
        <f t="shared" si="345"/>
        <v>40.85</v>
      </c>
      <c r="M249" s="451"/>
      <c r="N249" s="221">
        <f t="shared" si="346"/>
        <v>0.58384332925336602</v>
      </c>
      <c r="O249" s="176">
        <f t="shared" si="347"/>
        <v>17.310083304408188</v>
      </c>
      <c r="P249" s="176">
        <f t="shared" si="348"/>
        <v>2.0195097188476221</v>
      </c>
      <c r="Q249" s="221">
        <f t="shared" si="349"/>
        <v>1.1540055536272125</v>
      </c>
      <c r="R249" s="221">
        <f t="shared" si="350"/>
        <v>2.4728690434868841</v>
      </c>
      <c r="S249" s="221">
        <f t="shared" si="351"/>
        <v>15</v>
      </c>
      <c r="T249" s="221">
        <f t="shared" si="352"/>
        <v>1.1013811814033792</v>
      </c>
      <c r="U249" s="221">
        <f t="shared" si="353"/>
        <v>0.45350989822492083</v>
      </c>
      <c r="V249" s="221">
        <f t="shared" si="354"/>
        <v>0.32325653122950326</v>
      </c>
      <c r="W249" s="201">
        <f t="shared" si="355"/>
        <v>350</v>
      </c>
      <c r="X249" s="451">
        <f t="shared" si="356"/>
        <v>350</v>
      </c>
      <c r="Z249" s="221">
        <f t="shared" si="357"/>
        <v>4.0511577948192743</v>
      </c>
      <c r="AA249" s="177">
        <f t="shared" si="358"/>
        <v>1.1890190592760972</v>
      </c>
      <c r="AB249" s="177">
        <f t="shared" si="359"/>
        <v>1.1323318705262224</v>
      </c>
      <c r="AC249" s="177"/>
      <c r="AD249" s="177">
        <f t="shared" si="360"/>
        <v>0.24067085953878403</v>
      </c>
      <c r="AE249" s="559">
        <f t="shared" si="361"/>
        <v>2338.7651907877967</v>
      </c>
      <c r="AF249" s="542">
        <f t="shared" si="362"/>
        <v>4.6392002252886505E-2</v>
      </c>
      <c r="AH249" s="177">
        <f t="shared" si="363"/>
        <v>2.0588286743204454</v>
      </c>
      <c r="AI249" s="177">
        <f t="shared" si="364"/>
        <v>2.0588286743204454</v>
      </c>
      <c r="AJ249" s="177">
        <f t="shared" si="365"/>
        <v>2.1176508698669965</v>
      </c>
      <c r="AL249" s="559">
        <f t="shared" si="366"/>
        <v>310</v>
      </c>
      <c r="AM249" s="469">
        <f t="shared" si="367"/>
        <v>350</v>
      </c>
      <c r="AO249">
        <f t="shared" si="368"/>
        <v>310</v>
      </c>
      <c r="AP249">
        <f t="shared" si="369"/>
        <v>350</v>
      </c>
      <c r="AR249" s="5">
        <f t="shared" si="333"/>
        <v>2.8571428571428572</v>
      </c>
      <c r="AS249" s="5">
        <f t="shared" si="377"/>
        <v>0.84775298354371287</v>
      </c>
      <c r="AT249" s="5">
        <f t="shared" si="378"/>
        <v>2.0093898735991442</v>
      </c>
      <c r="AU249" s="177">
        <f t="shared" si="379"/>
        <v>0.2967135442402995</v>
      </c>
      <c r="AW249" s="5">
        <f t="shared" si="370"/>
        <v>10.014141569481827</v>
      </c>
      <c r="AX249" s="5">
        <f t="shared" si="371"/>
        <v>4.2107693346381945</v>
      </c>
      <c r="AY249" s="5">
        <f t="shared" si="372"/>
        <v>0.70947993256842168</v>
      </c>
      <c r="AZ249" s="5">
        <f t="shared" si="373"/>
        <v>0.34096980696335843</v>
      </c>
      <c r="BA249" s="5">
        <f t="shared" si="374"/>
        <v>0.86140407997222368</v>
      </c>
      <c r="BB249" s="5"/>
      <c r="CE249" s="576">
        <f t="shared" si="375"/>
        <v>-50</v>
      </c>
    </row>
    <row r="250" spans="5:83" x14ac:dyDescent="0.25">
      <c r="E250" s="174">
        <v>32</v>
      </c>
      <c r="F250" s="221">
        <f t="shared" si="376"/>
        <v>0.32</v>
      </c>
      <c r="G250" s="221">
        <f t="shared" ref="G250:G281" si="380">IF(PLOT_TYPE=1, E250/100*Iout2, min_I*EXP(Q250*rr/100))</f>
        <v>0.08</v>
      </c>
      <c r="H250" s="221">
        <f t="shared" ref="H250:H281" si="381">F250*Vout</f>
        <v>4.8</v>
      </c>
      <c r="I250" s="221">
        <f t="shared" ref="I250:I281" si="382">Vout2*G250</f>
        <v>0.56000000000000005</v>
      </c>
      <c r="J250" s="555">
        <f t="shared" si="343"/>
        <v>17</v>
      </c>
      <c r="K250" s="451">
        <f t="shared" si="344"/>
        <v>23.85</v>
      </c>
      <c r="L250" s="451">
        <f t="shared" si="345"/>
        <v>40.85</v>
      </c>
      <c r="M250" s="451"/>
      <c r="N250" s="221">
        <f t="shared" si="346"/>
        <v>0.58384332925336602</v>
      </c>
      <c r="O250" s="176">
        <f t="shared" ref="O250:O281" si="383">N250*J250*Isw_max*0.5*Efficiency*Pout/(Pout+Pout2)</f>
        <v>17.310083304408188</v>
      </c>
      <c r="P250" s="176">
        <f t="shared" ref="P250:P281" si="384">N250*J250*Isw_max*0.5*Efficiency*(Pout2/Pout_total)</f>
        <v>2.0195097188476221</v>
      </c>
      <c r="Q250" s="221">
        <f t="shared" si="349"/>
        <v>1.1540055536272125</v>
      </c>
      <c r="R250" s="221">
        <f t="shared" ref="R250:R281" si="385">O250/Vout2</f>
        <v>2.4728690434868841</v>
      </c>
      <c r="S250" s="221">
        <f t="shared" ref="S250:S281" si="386">MIN(Vout,O250/F250)</f>
        <v>15</v>
      </c>
      <c r="T250" s="221">
        <f t="shared" ref="T250:T281" si="387">MIN(2*(Vout*F250+Vout2*G250)/(Efficiency*J250*N250), Isw_max)</f>
        <v>1.1369096066099396</v>
      </c>
      <c r="U250" s="221">
        <f t="shared" si="353"/>
        <v>0.46813924978056337</v>
      </c>
      <c r="V250" s="221">
        <f t="shared" si="354"/>
        <v>0.33368416126916461</v>
      </c>
      <c r="W250" s="201">
        <f t="shared" si="355"/>
        <v>350</v>
      </c>
      <c r="X250" s="451">
        <f t="shared" si="356"/>
        <v>350</v>
      </c>
      <c r="Z250" s="221">
        <f t="shared" si="357"/>
        <v>4.0511577948192743</v>
      </c>
      <c r="AA250" s="177">
        <f t="shared" si="358"/>
        <v>1.1890190592760972</v>
      </c>
      <c r="AB250" s="177">
        <f t="shared" ref="AB250:AB281" si="388">0.5*AA250*Z250*Nps*W250/1000*(Pout/(Pout+Pout2))</f>
        <v>1.1323318705262224</v>
      </c>
      <c r="AC250" s="177"/>
      <c r="AD250" s="177">
        <f t="shared" si="360"/>
        <v>0.24067085953878403</v>
      </c>
      <c r="AE250" s="559">
        <f t="shared" ref="AE250:AE281" si="389">MAX(10, F250/(0.5*AD250/1000000*Isw_min*Nps)/1000*Pout_total/Pout)</f>
        <v>2414.2092292003067</v>
      </c>
      <c r="AF250" s="542">
        <f t="shared" ref="AF250:AF281" si="390">0.5*AD250/1000000*Isw_min*Nps*W250*1000*(Pout/Pout_total)</f>
        <v>4.6392002252886505E-2</v>
      </c>
      <c r="AH250" s="177">
        <f t="shared" ref="AH250:AH281" si="391">SQRT((H250+I250)/(0.5*L*Fsw_DCM))</f>
        <v>2.0917720248826428</v>
      </c>
      <c r="AI250" s="177">
        <f t="shared" ref="AI250:AI281" si="392">MAX(IF(F250&gt;AB250,T250,AH250),Isw_min)</f>
        <v>2.0917720248826428</v>
      </c>
      <c r="AJ250" s="177">
        <f t="shared" ref="AJ250:AJ281" si="393">IF(F250&gt;AF250, (AI250-Isw_min)/1.08*0.8+1.2, AE250*0.2/350+1)</f>
        <v>2.1420533517649205</v>
      </c>
      <c r="AL250" s="559">
        <f t="shared" ref="AL250:AL281" si="394">F250*1000</f>
        <v>320</v>
      </c>
      <c r="AM250" s="469">
        <f t="shared" ref="AM250:AM281" si="395">IF(F250&gt;AF250, X250, AE250)</f>
        <v>350</v>
      </c>
      <c r="AO250">
        <f t="shared" si="368"/>
        <v>320</v>
      </c>
      <c r="AP250">
        <f t="shared" si="369"/>
        <v>350</v>
      </c>
      <c r="AR250" s="5">
        <f t="shared" si="333"/>
        <v>2.8571428571428572</v>
      </c>
      <c r="AS250" s="5">
        <f t="shared" si="377"/>
        <v>0.86131789259873526</v>
      </c>
      <c r="AT250" s="5">
        <f t="shared" si="378"/>
        <v>1.9958249645441219</v>
      </c>
      <c r="AU250" s="177">
        <f t="shared" si="379"/>
        <v>0.30146126240955734</v>
      </c>
      <c r="AW250" s="5">
        <f t="shared" ref="AW250:AW281" si="396">L*Iout^2/(2*Vripple1_spec*Vout*Npri_sec1^2)*1000000000*((1+N250)/(1-N250))^2</f>
        <v>10.014141569481827</v>
      </c>
      <c r="AX250" s="5">
        <f t="shared" ref="AX250:AX281" si="397">L*F250^2/(2*Cout*Vout*Nps^2)*1000000000*((1+N250)/(1-N250))^2+F250*RCoutEsr</f>
        <v>4.4558457842554748</v>
      </c>
      <c r="AY250" s="5">
        <f t="shared" ref="AY250:AY281" si="398">L*Iout2^2/(2*Vout_ripple2*Vout2*Npri_sec2^2)*1000000000*((1+N250)/(1-N250))^2</f>
        <v>0.70947993256842168</v>
      </c>
      <c r="AZ250" s="5">
        <f t="shared" ref="AZ250:AZ281" si="399">L*G250^2/(2*Cout2*Vout2*Npri_sec2^2)*1000000000*((1+N250)/(1-N250))^2+G250*CoutEsr2</f>
        <v>0.35558073083296471</v>
      </c>
      <c r="BA250" s="5">
        <f t="shared" ref="BA250:BA281" si="400">(H250+I250)/Efficiency/J250*AT250/Vinripple1</f>
        <v>0.88318859112127912</v>
      </c>
      <c r="BB250" s="5"/>
      <c r="CE250" s="576">
        <f t="shared" ref="CE250:CE281" si="401">IF(ABS(F250-Ioutmax_Vinmax)&lt;Iout/200, AM250, -50)</f>
        <v>-50</v>
      </c>
    </row>
    <row r="251" spans="5:83" x14ac:dyDescent="0.25">
      <c r="E251" s="174">
        <v>33</v>
      </c>
      <c r="F251" s="221">
        <f t="shared" ref="F251:F282" si="402">IF(PLOT_TYPE=1, E251/100*Iout_max, min_I*EXP(O251*rr/100))</f>
        <v>0.33</v>
      </c>
      <c r="G251" s="221">
        <f t="shared" si="380"/>
        <v>8.2500000000000004E-2</v>
      </c>
      <c r="H251" s="221">
        <f t="shared" si="381"/>
        <v>4.95</v>
      </c>
      <c r="I251" s="221">
        <f t="shared" si="382"/>
        <v>0.57750000000000001</v>
      </c>
      <c r="J251" s="555">
        <f t="shared" si="343"/>
        <v>17</v>
      </c>
      <c r="K251" s="451">
        <f t="shared" si="344"/>
        <v>23.85</v>
      </c>
      <c r="L251" s="451">
        <f t="shared" si="345"/>
        <v>40.85</v>
      </c>
      <c r="M251" s="451"/>
      <c r="N251" s="221">
        <f t="shared" si="346"/>
        <v>0.58384332925336602</v>
      </c>
      <c r="O251" s="176">
        <f t="shared" si="383"/>
        <v>17.310083304408188</v>
      </c>
      <c r="P251" s="176">
        <f t="shared" si="384"/>
        <v>2.0195097188476221</v>
      </c>
      <c r="Q251" s="221">
        <f t="shared" si="349"/>
        <v>1.1540055536272125</v>
      </c>
      <c r="R251" s="221">
        <f t="shared" si="385"/>
        <v>2.4728690434868841</v>
      </c>
      <c r="S251" s="221">
        <f t="shared" si="386"/>
        <v>15</v>
      </c>
      <c r="T251" s="221">
        <f t="shared" si="387"/>
        <v>1.1724380318165002</v>
      </c>
      <c r="U251" s="221">
        <f t="shared" si="353"/>
        <v>0.48276860133620586</v>
      </c>
      <c r="V251" s="221">
        <f t="shared" si="354"/>
        <v>0.34411179130882602</v>
      </c>
      <c r="W251" s="201">
        <f t="shared" si="355"/>
        <v>350</v>
      </c>
      <c r="X251" s="451">
        <f t="shared" si="356"/>
        <v>350</v>
      </c>
      <c r="Z251" s="221">
        <f t="shared" si="357"/>
        <v>4.0511577948192743</v>
      </c>
      <c r="AA251" s="177">
        <f t="shared" si="358"/>
        <v>1.1890190592760972</v>
      </c>
      <c r="AB251" s="177">
        <f t="shared" si="388"/>
        <v>1.1323318705262224</v>
      </c>
      <c r="AC251" s="177"/>
      <c r="AD251" s="177">
        <f t="shared" si="360"/>
        <v>0.24067085953878403</v>
      </c>
      <c r="AE251" s="559">
        <f t="shared" si="389"/>
        <v>2489.6532676128159</v>
      </c>
      <c r="AF251" s="542">
        <f t="shared" si="390"/>
        <v>4.6392002252886505E-2</v>
      </c>
      <c r="AH251" s="177">
        <f t="shared" si="391"/>
        <v>2.1242045329862149</v>
      </c>
      <c r="AI251" s="177">
        <f t="shared" si="392"/>
        <v>2.1242045329862149</v>
      </c>
      <c r="AJ251" s="177">
        <f t="shared" si="393"/>
        <v>2.1660774318416407</v>
      </c>
      <c r="AL251" s="559">
        <f t="shared" si="394"/>
        <v>330</v>
      </c>
      <c r="AM251" s="469">
        <f t="shared" si="395"/>
        <v>350</v>
      </c>
      <c r="AO251">
        <f t="shared" si="368"/>
        <v>330</v>
      </c>
      <c r="AP251">
        <f t="shared" si="369"/>
        <v>350</v>
      </c>
      <c r="AR251" s="5">
        <f t="shared" si="333"/>
        <v>2.8571428571428572</v>
      </c>
      <c r="AS251" s="5">
        <f t="shared" si="377"/>
        <v>0.87467245475902955</v>
      </c>
      <c r="AT251" s="5">
        <f t="shared" si="378"/>
        <v>1.9824704023838278</v>
      </c>
      <c r="AU251" s="177">
        <f t="shared" si="379"/>
        <v>0.30613535916566031</v>
      </c>
      <c r="AW251" s="5">
        <f t="shared" si="396"/>
        <v>10.014141569481827</v>
      </c>
      <c r="AX251" s="5">
        <f t="shared" si="397"/>
        <v>4.707750057670129</v>
      </c>
      <c r="AY251" s="5">
        <f t="shared" si="398"/>
        <v>0.70947993256842168</v>
      </c>
      <c r="AZ251" s="5">
        <f t="shared" si="399"/>
        <v>0.37041739831747911</v>
      </c>
      <c r="BA251" s="5">
        <f t="shared" si="400"/>
        <v>0.9046939235646323</v>
      </c>
      <c r="BB251" s="5"/>
      <c r="CE251" s="576">
        <f t="shared" si="401"/>
        <v>-50</v>
      </c>
    </row>
    <row r="252" spans="5:83" x14ac:dyDescent="0.25">
      <c r="E252" s="174">
        <v>34</v>
      </c>
      <c r="F252" s="221">
        <f t="shared" si="402"/>
        <v>0.34</v>
      </c>
      <c r="G252" s="221">
        <f t="shared" si="380"/>
        <v>8.5000000000000006E-2</v>
      </c>
      <c r="H252" s="221">
        <f t="shared" si="381"/>
        <v>5.1000000000000005</v>
      </c>
      <c r="I252" s="221">
        <f t="shared" si="382"/>
        <v>0.59500000000000008</v>
      </c>
      <c r="J252" s="555">
        <f t="shared" si="343"/>
        <v>17</v>
      </c>
      <c r="K252" s="451">
        <f t="shared" si="344"/>
        <v>23.85</v>
      </c>
      <c r="L252" s="451">
        <f t="shared" si="345"/>
        <v>40.85</v>
      </c>
      <c r="M252" s="451"/>
      <c r="N252" s="221">
        <f t="shared" si="346"/>
        <v>0.58384332925336602</v>
      </c>
      <c r="O252" s="176">
        <f t="shared" si="383"/>
        <v>17.310083304408188</v>
      </c>
      <c r="P252" s="176">
        <f t="shared" si="384"/>
        <v>2.0195097188476221</v>
      </c>
      <c r="Q252" s="221">
        <f t="shared" si="349"/>
        <v>1.1540055536272125</v>
      </c>
      <c r="R252" s="221">
        <f t="shared" si="385"/>
        <v>2.4728690434868841</v>
      </c>
      <c r="S252" s="221">
        <f t="shared" si="386"/>
        <v>15</v>
      </c>
      <c r="T252" s="221">
        <f t="shared" si="387"/>
        <v>1.207966457023061</v>
      </c>
      <c r="U252" s="221">
        <f t="shared" si="353"/>
        <v>0.49739795289184868</v>
      </c>
      <c r="V252" s="221">
        <f t="shared" si="354"/>
        <v>0.35453942134848754</v>
      </c>
      <c r="W252" s="201">
        <f t="shared" si="355"/>
        <v>350</v>
      </c>
      <c r="X252" s="451">
        <f t="shared" si="356"/>
        <v>350</v>
      </c>
      <c r="Z252" s="221">
        <f t="shared" si="357"/>
        <v>4.0511577948192743</v>
      </c>
      <c r="AA252" s="177">
        <f t="shared" si="358"/>
        <v>1.1890190592760972</v>
      </c>
      <c r="AB252" s="177">
        <f t="shared" si="388"/>
        <v>1.1323318705262224</v>
      </c>
      <c r="AC252" s="177"/>
      <c r="AD252" s="177">
        <f t="shared" si="360"/>
        <v>0.24067085953878403</v>
      </c>
      <c r="AE252" s="559">
        <f t="shared" si="389"/>
        <v>2565.0973060253255</v>
      </c>
      <c r="AF252" s="542">
        <f t="shared" si="390"/>
        <v>4.6392002252886505E-2</v>
      </c>
      <c r="AH252" s="177">
        <f t="shared" si="391"/>
        <v>2.1561492508258175</v>
      </c>
      <c r="AI252" s="177">
        <f t="shared" si="392"/>
        <v>2.1561492508258175</v>
      </c>
      <c r="AJ252" s="177">
        <f t="shared" si="393"/>
        <v>2.1897401857969019</v>
      </c>
      <c r="AL252" s="559">
        <f t="shared" si="394"/>
        <v>340</v>
      </c>
      <c r="AM252" s="469">
        <f t="shared" si="395"/>
        <v>350</v>
      </c>
      <c r="AO252">
        <f t="shared" si="368"/>
        <v>340</v>
      </c>
      <c r="AP252">
        <f t="shared" si="369"/>
        <v>350</v>
      </c>
      <c r="AR252" s="5">
        <f t="shared" si="333"/>
        <v>2.8571428571428572</v>
      </c>
      <c r="AS252" s="5">
        <f t="shared" si="377"/>
        <v>0.88782616210474841</v>
      </c>
      <c r="AT252" s="5">
        <f t="shared" si="378"/>
        <v>1.9693166950381089</v>
      </c>
      <c r="AU252" s="177">
        <f t="shared" si="379"/>
        <v>0.31073915673666191</v>
      </c>
      <c r="AW252" s="5">
        <f t="shared" si="396"/>
        <v>10.014141569481827</v>
      </c>
      <c r="AX252" s="5">
        <f t="shared" si="397"/>
        <v>4.9664821548821578</v>
      </c>
      <c r="AY252" s="5">
        <f t="shared" si="398"/>
        <v>0.70947993256842168</v>
      </c>
      <c r="AZ252" s="5">
        <f t="shared" si="399"/>
        <v>0.38547980941690158</v>
      </c>
      <c r="BA252" s="5">
        <f t="shared" si="400"/>
        <v>0.92592434082493547</v>
      </c>
      <c r="BB252" s="5"/>
      <c r="CE252" s="576">
        <f t="shared" si="401"/>
        <v>-50</v>
      </c>
    </row>
    <row r="253" spans="5:83" x14ac:dyDescent="0.25">
      <c r="E253" s="174">
        <v>35</v>
      </c>
      <c r="F253" s="221">
        <f t="shared" si="402"/>
        <v>0.35</v>
      </c>
      <c r="G253" s="221">
        <f t="shared" si="380"/>
        <v>8.7499999999999994E-2</v>
      </c>
      <c r="H253" s="221">
        <f t="shared" si="381"/>
        <v>5.25</v>
      </c>
      <c r="I253" s="221">
        <f t="shared" si="382"/>
        <v>0.61249999999999993</v>
      </c>
      <c r="J253" s="555">
        <f t="shared" si="343"/>
        <v>17</v>
      </c>
      <c r="K253" s="451">
        <f t="shared" si="344"/>
        <v>23.85</v>
      </c>
      <c r="L253" s="451">
        <f t="shared" si="345"/>
        <v>40.85</v>
      </c>
      <c r="M253" s="451"/>
      <c r="N253" s="221">
        <f t="shared" si="346"/>
        <v>0.58384332925336602</v>
      </c>
      <c r="O253" s="176">
        <f t="shared" si="383"/>
        <v>17.310083304408188</v>
      </c>
      <c r="P253" s="176">
        <f t="shared" si="384"/>
        <v>2.0195097188476221</v>
      </c>
      <c r="Q253" s="221">
        <f t="shared" si="349"/>
        <v>1.1540055536272125</v>
      </c>
      <c r="R253" s="221">
        <f t="shared" si="385"/>
        <v>2.4728690434868841</v>
      </c>
      <c r="S253" s="221">
        <f t="shared" si="386"/>
        <v>15</v>
      </c>
      <c r="T253" s="221">
        <f t="shared" si="387"/>
        <v>1.2434948822296215</v>
      </c>
      <c r="U253" s="221">
        <f t="shared" si="353"/>
        <v>0.51202730444749123</v>
      </c>
      <c r="V253" s="221">
        <f t="shared" si="354"/>
        <v>0.36496705138814878</v>
      </c>
      <c r="W253" s="201">
        <f t="shared" si="355"/>
        <v>350</v>
      </c>
      <c r="X253" s="451">
        <f t="shared" si="356"/>
        <v>350</v>
      </c>
      <c r="Z253" s="221">
        <f t="shared" si="357"/>
        <v>4.0511577948192743</v>
      </c>
      <c r="AA253" s="177">
        <f t="shared" si="358"/>
        <v>1.1890190592760972</v>
      </c>
      <c r="AB253" s="177">
        <f t="shared" si="388"/>
        <v>1.1323318705262224</v>
      </c>
      <c r="AC253" s="177"/>
      <c r="AD253" s="177">
        <f t="shared" si="360"/>
        <v>0.24067085953878403</v>
      </c>
      <c r="AE253" s="559">
        <f t="shared" si="389"/>
        <v>2640.5413444378351</v>
      </c>
      <c r="AF253" s="542">
        <f t="shared" si="390"/>
        <v>4.6392002252886505E-2</v>
      </c>
      <c r="AH253" s="177">
        <f t="shared" si="391"/>
        <v>2.1876275473019362</v>
      </c>
      <c r="AI253" s="177">
        <f t="shared" si="392"/>
        <v>2.1876275473019362</v>
      </c>
      <c r="AJ253" s="177">
        <f t="shared" si="393"/>
        <v>2.2130574424458787</v>
      </c>
      <c r="AL253" s="559">
        <f t="shared" si="394"/>
        <v>350</v>
      </c>
      <c r="AM253" s="469">
        <f t="shared" si="395"/>
        <v>350</v>
      </c>
      <c r="AO253">
        <f t="shared" si="368"/>
        <v>350</v>
      </c>
      <c r="AP253">
        <f t="shared" si="369"/>
        <v>350</v>
      </c>
      <c r="AR253" s="5">
        <f t="shared" si="333"/>
        <v>2.8571428571428572</v>
      </c>
      <c r="AS253" s="5">
        <f t="shared" si="377"/>
        <v>0.90078781359491478</v>
      </c>
      <c r="AT253" s="5">
        <f t="shared" si="378"/>
        <v>1.9563550435479424</v>
      </c>
      <c r="AU253" s="177">
        <f t="shared" si="379"/>
        <v>0.31527573475822018</v>
      </c>
      <c r="AW253" s="5">
        <f t="shared" si="396"/>
        <v>10.014141569481827</v>
      </c>
      <c r="AX253" s="5">
        <f t="shared" si="397"/>
        <v>5.2320420758915578</v>
      </c>
      <c r="AY253" s="5">
        <f t="shared" si="398"/>
        <v>0.70947993256842168</v>
      </c>
      <c r="AZ253" s="5">
        <f t="shared" si="399"/>
        <v>0.40076796413123211</v>
      </c>
      <c r="BA253" s="5">
        <f t="shared" si="400"/>
        <v>0.94688391684621775</v>
      </c>
      <c r="BB253" s="5"/>
      <c r="CE253" s="576">
        <f t="shared" si="401"/>
        <v>-50</v>
      </c>
    </row>
    <row r="254" spans="5:83" x14ac:dyDescent="0.25">
      <c r="E254" s="174">
        <v>36</v>
      </c>
      <c r="F254" s="221">
        <f t="shared" si="402"/>
        <v>0.36</v>
      </c>
      <c r="G254" s="221">
        <f t="shared" si="380"/>
        <v>0.09</v>
      </c>
      <c r="H254" s="221">
        <f t="shared" si="381"/>
        <v>5.3999999999999995</v>
      </c>
      <c r="I254" s="221">
        <f t="shared" si="382"/>
        <v>0.63</v>
      </c>
      <c r="J254" s="555">
        <f t="shared" si="343"/>
        <v>17</v>
      </c>
      <c r="K254" s="451">
        <f t="shared" si="344"/>
        <v>23.85</v>
      </c>
      <c r="L254" s="451">
        <f t="shared" si="345"/>
        <v>40.85</v>
      </c>
      <c r="M254" s="451"/>
      <c r="N254" s="221">
        <f t="shared" si="346"/>
        <v>0.58384332925336602</v>
      </c>
      <c r="O254" s="176">
        <f t="shared" si="383"/>
        <v>17.310083304408188</v>
      </c>
      <c r="P254" s="176">
        <f t="shared" si="384"/>
        <v>2.0195097188476221</v>
      </c>
      <c r="Q254" s="221">
        <f t="shared" si="349"/>
        <v>1.1540055536272125</v>
      </c>
      <c r="R254" s="221">
        <f t="shared" si="385"/>
        <v>2.4728690434868841</v>
      </c>
      <c r="S254" s="221">
        <f t="shared" si="386"/>
        <v>15</v>
      </c>
      <c r="T254" s="221">
        <f t="shared" si="387"/>
        <v>1.2790233074361821</v>
      </c>
      <c r="U254" s="221">
        <f t="shared" si="353"/>
        <v>0.52665665600313383</v>
      </c>
      <c r="V254" s="221">
        <f t="shared" si="354"/>
        <v>0.37539468142781018</v>
      </c>
      <c r="W254" s="201">
        <f t="shared" si="355"/>
        <v>350</v>
      </c>
      <c r="X254" s="451">
        <f t="shared" si="356"/>
        <v>350</v>
      </c>
      <c r="Z254" s="221">
        <f t="shared" si="357"/>
        <v>4.0511577948192743</v>
      </c>
      <c r="AA254" s="177">
        <f t="shared" si="358"/>
        <v>1.1890190592760972</v>
      </c>
      <c r="AB254" s="177">
        <f t="shared" si="388"/>
        <v>1.1323318705262224</v>
      </c>
      <c r="AC254" s="177"/>
      <c r="AD254" s="177">
        <f t="shared" si="360"/>
        <v>0.24067085953878403</v>
      </c>
      <c r="AE254" s="559">
        <f t="shared" si="389"/>
        <v>2715.9853828503451</v>
      </c>
      <c r="AF254" s="542">
        <f t="shared" si="390"/>
        <v>4.6392002252886505E-2</v>
      </c>
      <c r="AH254" s="177">
        <f t="shared" si="391"/>
        <v>2.2186592752362486</v>
      </c>
      <c r="AI254" s="177">
        <f t="shared" si="392"/>
        <v>2.2186592752362486</v>
      </c>
      <c r="AJ254" s="177">
        <f t="shared" si="393"/>
        <v>2.2360439075824066</v>
      </c>
      <c r="AL254" s="559">
        <f t="shared" si="394"/>
        <v>360</v>
      </c>
      <c r="AM254" s="469">
        <f t="shared" si="395"/>
        <v>350</v>
      </c>
      <c r="AO254">
        <f t="shared" si="368"/>
        <v>360</v>
      </c>
      <c r="AP254">
        <f t="shared" si="369"/>
        <v>350</v>
      </c>
      <c r="AR254" s="5">
        <f t="shared" si="333"/>
        <v>2.8571428571428572</v>
      </c>
      <c r="AS254" s="5">
        <f t="shared" si="377"/>
        <v>0.91356558392080822</v>
      </c>
      <c r="AT254" s="5">
        <f t="shared" si="378"/>
        <v>1.9435772732220489</v>
      </c>
      <c r="AU254" s="177">
        <f t="shared" si="379"/>
        <v>0.31974795437228287</v>
      </c>
      <c r="AW254" s="5">
        <f t="shared" si="396"/>
        <v>10.014141569481827</v>
      </c>
      <c r="AX254" s="5">
        <f t="shared" si="397"/>
        <v>5.5044298206983351</v>
      </c>
      <c r="AY254" s="5">
        <f t="shared" si="398"/>
        <v>0.70947993256842168</v>
      </c>
      <c r="AZ254" s="5">
        <f t="shared" si="399"/>
        <v>0.41628186246047094</v>
      </c>
      <c r="BA254" s="5">
        <f t="shared" si="400"/>
        <v>0.96757654964119322</v>
      </c>
      <c r="BB254" s="5"/>
      <c r="CE254" s="576">
        <f t="shared" si="401"/>
        <v>-50</v>
      </c>
    </row>
    <row r="255" spans="5:83" x14ac:dyDescent="0.25">
      <c r="E255" s="174">
        <v>37</v>
      </c>
      <c r="F255" s="221">
        <f t="shared" si="402"/>
        <v>0.37</v>
      </c>
      <c r="G255" s="221">
        <f t="shared" si="380"/>
        <v>9.2499999999999999E-2</v>
      </c>
      <c r="H255" s="221">
        <f t="shared" si="381"/>
        <v>5.55</v>
      </c>
      <c r="I255" s="221">
        <f t="shared" si="382"/>
        <v>0.64749999999999996</v>
      </c>
      <c r="J255" s="555">
        <f t="shared" si="343"/>
        <v>17</v>
      </c>
      <c r="K255" s="451">
        <f t="shared" si="344"/>
        <v>23.85</v>
      </c>
      <c r="L255" s="451">
        <f t="shared" si="345"/>
        <v>40.85</v>
      </c>
      <c r="M255" s="451"/>
      <c r="N255" s="221">
        <f t="shared" si="346"/>
        <v>0.58384332925336602</v>
      </c>
      <c r="O255" s="176">
        <f t="shared" si="383"/>
        <v>17.310083304408188</v>
      </c>
      <c r="P255" s="176">
        <f t="shared" si="384"/>
        <v>2.0195097188476221</v>
      </c>
      <c r="Q255" s="221">
        <f t="shared" si="349"/>
        <v>1.1540055536272125</v>
      </c>
      <c r="R255" s="221">
        <f t="shared" si="385"/>
        <v>2.4728690434868841</v>
      </c>
      <c r="S255" s="221">
        <f t="shared" si="386"/>
        <v>15</v>
      </c>
      <c r="T255" s="221">
        <f t="shared" si="387"/>
        <v>1.3145517326427427</v>
      </c>
      <c r="U255" s="221">
        <f t="shared" si="353"/>
        <v>0.54128600755877654</v>
      </c>
      <c r="V255" s="221">
        <f t="shared" si="354"/>
        <v>0.3858223114674717</v>
      </c>
      <c r="W255" s="201">
        <f t="shared" si="355"/>
        <v>350</v>
      </c>
      <c r="X255" s="451">
        <f t="shared" si="356"/>
        <v>350</v>
      </c>
      <c r="Z255" s="221">
        <f t="shared" si="357"/>
        <v>4.0511577948192743</v>
      </c>
      <c r="AA255" s="177">
        <f t="shared" si="358"/>
        <v>1.1890190592760972</v>
      </c>
      <c r="AB255" s="177">
        <f t="shared" si="388"/>
        <v>1.1323318705262224</v>
      </c>
      <c r="AC255" s="177"/>
      <c r="AD255" s="177">
        <f t="shared" si="360"/>
        <v>0.24067085953878403</v>
      </c>
      <c r="AE255" s="559">
        <f t="shared" si="389"/>
        <v>2791.4294212628542</v>
      </c>
      <c r="AF255" s="542">
        <f t="shared" si="390"/>
        <v>4.6392002252886505E-2</v>
      </c>
      <c r="AH255" s="177">
        <f t="shared" si="391"/>
        <v>2.2492629178176098</v>
      </c>
      <c r="AI255" s="177">
        <f t="shared" si="392"/>
        <v>2.2492629178176098</v>
      </c>
      <c r="AJ255" s="177">
        <f t="shared" si="393"/>
        <v>2.2587132724574888</v>
      </c>
      <c r="AL255" s="559">
        <f t="shared" si="394"/>
        <v>370</v>
      </c>
      <c r="AM255" s="469">
        <f t="shared" si="395"/>
        <v>350</v>
      </c>
      <c r="AO255">
        <f t="shared" si="368"/>
        <v>370</v>
      </c>
      <c r="AP255">
        <f t="shared" si="369"/>
        <v>350</v>
      </c>
      <c r="AR255" s="5">
        <f t="shared" si="333"/>
        <v>2.8571428571428572</v>
      </c>
      <c r="AS255" s="5">
        <f t="shared" si="377"/>
        <v>0.92616708380725099</v>
      </c>
      <c r="AT255" s="5">
        <f t="shared" si="378"/>
        <v>1.9309757733356063</v>
      </c>
      <c r="AU255" s="177">
        <f t="shared" si="379"/>
        <v>0.32415847933253783</v>
      </c>
      <c r="AW255" s="5">
        <f t="shared" si="396"/>
        <v>10.014141569481827</v>
      </c>
      <c r="AX255" s="5">
        <f t="shared" si="397"/>
        <v>5.7836453893024835</v>
      </c>
      <c r="AY255" s="5">
        <f t="shared" si="398"/>
        <v>0.70947993256842168</v>
      </c>
      <c r="AZ255" s="5">
        <f t="shared" si="399"/>
        <v>0.43202150440461784</v>
      </c>
      <c r="BA255" s="5">
        <f t="shared" si="400"/>
        <v>0.98800597360143827</v>
      </c>
      <c r="BB255" s="5"/>
      <c r="CE255" s="576">
        <f t="shared" si="401"/>
        <v>-50</v>
      </c>
    </row>
    <row r="256" spans="5:83" x14ac:dyDescent="0.25">
      <c r="E256" s="174">
        <v>38</v>
      </c>
      <c r="F256" s="221">
        <f t="shared" si="402"/>
        <v>0.38</v>
      </c>
      <c r="G256" s="221">
        <f t="shared" si="380"/>
        <v>9.5000000000000001E-2</v>
      </c>
      <c r="H256" s="221">
        <f t="shared" si="381"/>
        <v>5.7</v>
      </c>
      <c r="I256" s="221">
        <f t="shared" si="382"/>
        <v>0.66500000000000004</v>
      </c>
      <c r="J256" s="555">
        <f t="shared" si="343"/>
        <v>17</v>
      </c>
      <c r="K256" s="451">
        <f t="shared" si="344"/>
        <v>23.85</v>
      </c>
      <c r="L256" s="451">
        <f t="shared" si="345"/>
        <v>40.85</v>
      </c>
      <c r="M256" s="451"/>
      <c r="N256" s="221">
        <f t="shared" si="346"/>
        <v>0.58384332925336602</v>
      </c>
      <c r="O256" s="176">
        <f t="shared" si="383"/>
        <v>17.310083304408188</v>
      </c>
      <c r="P256" s="176">
        <f t="shared" si="384"/>
        <v>2.0195097188476221</v>
      </c>
      <c r="Q256" s="221">
        <f t="shared" si="349"/>
        <v>1.1540055536272125</v>
      </c>
      <c r="R256" s="221">
        <f t="shared" si="385"/>
        <v>2.4728690434868841</v>
      </c>
      <c r="S256" s="221">
        <f t="shared" si="386"/>
        <v>15</v>
      </c>
      <c r="T256" s="221">
        <f t="shared" si="387"/>
        <v>1.3500801578493034</v>
      </c>
      <c r="U256" s="221">
        <f t="shared" si="353"/>
        <v>0.55591535911441903</v>
      </c>
      <c r="V256" s="221">
        <f t="shared" si="354"/>
        <v>0.396249941507133</v>
      </c>
      <c r="W256" s="201">
        <f t="shared" si="355"/>
        <v>350</v>
      </c>
      <c r="X256" s="451">
        <f t="shared" si="356"/>
        <v>350</v>
      </c>
      <c r="Z256" s="221">
        <f t="shared" si="357"/>
        <v>4.0511577948192743</v>
      </c>
      <c r="AA256" s="177">
        <f t="shared" si="358"/>
        <v>1.1890190592760972</v>
      </c>
      <c r="AB256" s="177">
        <f t="shared" si="388"/>
        <v>1.1323318705262224</v>
      </c>
      <c r="AC256" s="177"/>
      <c r="AD256" s="177">
        <f t="shared" si="360"/>
        <v>0.24067085953878403</v>
      </c>
      <c r="AE256" s="559">
        <f t="shared" si="389"/>
        <v>2866.8734596753643</v>
      </c>
      <c r="AF256" s="542">
        <f t="shared" si="390"/>
        <v>4.6392002252886505E-2</v>
      </c>
      <c r="AH256" s="177">
        <f t="shared" si="391"/>
        <v>2.2794557173472221</v>
      </c>
      <c r="AI256" s="177">
        <f t="shared" si="392"/>
        <v>2.2794557173472221</v>
      </c>
      <c r="AJ256" s="177">
        <f t="shared" si="393"/>
        <v>2.2810783091460904</v>
      </c>
      <c r="AL256" s="559">
        <f t="shared" si="394"/>
        <v>380</v>
      </c>
      <c r="AM256" s="469">
        <f t="shared" si="395"/>
        <v>350</v>
      </c>
      <c r="AO256">
        <f t="shared" si="368"/>
        <v>380</v>
      </c>
      <c r="AP256">
        <f t="shared" si="369"/>
        <v>350</v>
      </c>
      <c r="AR256" s="5">
        <f t="shared" si="333"/>
        <v>2.8571428571428572</v>
      </c>
      <c r="AS256" s="5">
        <f t="shared" si="377"/>
        <v>0.93859941302532668</v>
      </c>
      <c r="AT256" s="5">
        <f t="shared" si="378"/>
        <v>1.9185434441175304</v>
      </c>
      <c r="AU256" s="177">
        <f t="shared" si="379"/>
        <v>0.32850979455886431</v>
      </c>
      <c r="AW256" s="5">
        <f t="shared" si="396"/>
        <v>10.014141569481827</v>
      </c>
      <c r="AX256" s="5">
        <f t="shared" si="397"/>
        <v>6.0696887817040093</v>
      </c>
      <c r="AY256" s="5">
        <f t="shared" si="398"/>
        <v>0.70947993256842168</v>
      </c>
      <c r="AZ256" s="5">
        <f t="shared" si="399"/>
        <v>0.44798688996367286</v>
      </c>
      <c r="BA256" s="5">
        <f t="shared" si="400"/>
        <v>1.00817577063431</v>
      </c>
      <c r="BB256" s="5"/>
      <c r="CE256" s="576">
        <f t="shared" si="401"/>
        <v>-50</v>
      </c>
    </row>
    <row r="257" spans="5:83" x14ac:dyDescent="0.25">
      <c r="E257" s="174">
        <v>39</v>
      </c>
      <c r="F257" s="221">
        <f t="shared" si="402"/>
        <v>0.39</v>
      </c>
      <c r="G257" s="221">
        <f t="shared" si="380"/>
        <v>9.7500000000000003E-2</v>
      </c>
      <c r="H257" s="221">
        <f t="shared" si="381"/>
        <v>5.8500000000000005</v>
      </c>
      <c r="I257" s="221">
        <f t="shared" si="382"/>
        <v>0.6825</v>
      </c>
      <c r="J257" s="555">
        <f t="shared" si="343"/>
        <v>17</v>
      </c>
      <c r="K257" s="451">
        <f t="shared" si="344"/>
        <v>23.85</v>
      </c>
      <c r="L257" s="451">
        <f t="shared" si="345"/>
        <v>40.85</v>
      </c>
      <c r="M257" s="451"/>
      <c r="N257" s="221">
        <f t="shared" si="346"/>
        <v>0.58384332925336602</v>
      </c>
      <c r="O257" s="176">
        <f t="shared" si="383"/>
        <v>17.310083304408188</v>
      </c>
      <c r="P257" s="176">
        <f t="shared" si="384"/>
        <v>2.0195097188476221</v>
      </c>
      <c r="Q257" s="221">
        <f t="shared" si="349"/>
        <v>1.1540055536272125</v>
      </c>
      <c r="R257" s="221">
        <f t="shared" si="385"/>
        <v>2.4728690434868841</v>
      </c>
      <c r="S257" s="221">
        <f t="shared" si="386"/>
        <v>15</v>
      </c>
      <c r="T257" s="221">
        <f t="shared" si="387"/>
        <v>1.3856085830558642</v>
      </c>
      <c r="U257" s="221">
        <f t="shared" si="353"/>
        <v>0.57054471067006174</v>
      </c>
      <c r="V257" s="221">
        <f t="shared" si="354"/>
        <v>0.40667757154679451</v>
      </c>
      <c r="W257" s="201">
        <f t="shared" si="355"/>
        <v>350</v>
      </c>
      <c r="X257" s="451">
        <f t="shared" si="356"/>
        <v>350</v>
      </c>
      <c r="Z257" s="221">
        <f t="shared" si="357"/>
        <v>4.0511577948192743</v>
      </c>
      <c r="AA257" s="177">
        <f t="shared" si="358"/>
        <v>1.1890190592760972</v>
      </c>
      <c r="AB257" s="177">
        <f t="shared" si="388"/>
        <v>1.1323318705262224</v>
      </c>
      <c r="AC257" s="177"/>
      <c r="AD257" s="177">
        <f t="shared" si="360"/>
        <v>0.24067085953878403</v>
      </c>
      <c r="AE257" s="559">
        <f t="shared" si="389"/>
        <v>2942.3174980878739</v>
      </c>
      <c r="AF257" s="542">
        <f t="shared" si="390"/>
        <v>4.6392002252886505E-2</v>
      </c>
      <c r="AH257" s="177">
        <f t="shared" si="391"/>
        <v>2.3092537888297358</v>
      </c>
      <c r="AI257" s="177">
        <f t="shared" si="392"/>
        <v>2.3092537888297358</v>
      </c>
      <c r="AJ257" s="177">
        <f t="shared" si="393"/>
        <v>2.303150954688693</v>
      </c>
      <c r="AL257" s="559">
        <f t="shared" si="394"/>
        <v>390</v>
      </c>
      <c r="AM257" s="469">
        <f t="shared" si="395"/>
        <v>350</v>
      </c>
      <c r="AO257">
        <f t="shared" si="368"/>
        <v>390</v>
      </c>
      <c r="AP257">
        <f t="shared" si="369"/>
        <v>350</v>
      </c>
      <c r="AR257" s="5">
        <f t="shared" si="333"/>
        <v>2.8571428571428572</v>
      </c>
      <c r="AS257" s="5">
        <f t="shared" si="377"/>
        <v>0.95086920716518541</v>
      </c>
      <c r="AT257" s="5">
        <f t="shared" si="378"/>
        <v>1.9062736499776718</v>
      </c>
      <c r="AU257" s="177">
        <f t="shared" si="379"/>
        <v>0.33280422250781488</v>
      </c>
      <c r="AW257" s="5">
        <f t="shared" si="396"/>
        <v>10.014141569481827</v>
      </c>
      <c r="AX257" s="5">
        <f t="shared" si="397"/>
        <v>6.3625599979029079</v>
      </c>
      <c r="AY257" s="5">
        <f t="shared" si="398"/>
        <v>0.70947993256842168</v>
      </c>
      <c r="AZ257" s="5">
        <f t="shared" si="399"/>
        <v>0.46417801913763601</v>
      </c>
      <c r="BA257" s="5">
        <f t="shared" si="400"/>
        <v>1.028089380266596</v>
      </c>
      <c r="BB257" s="5"/>
      <c r="CE257" s="576">
        <f t="shared" si="401"/>
        <v>-50</v>
      </c>
    </row>
    <row r="258" spans="5:83" x14ac:dyDescent="0.25">
      <c r="E258" s="174">
        <v>40</v>
      </c>
      <c r="F258" s="221">
        <f t="shared" si="402"/>
        <v>0.4</v>
      </c>
      <c r="G258" s="221">
        <f t="shared" si="380"/>
        <v>0.1</v>
      </c>
      <c r="H258" s="221">
        <f t="shared" si="381"/>
        <v>6</v>
      </c>
      <c r="I258" s="221">
        <f t="shared" si="382"/>
        <v>0.70000000000000007</v>
      </c>
      <c r="J258" s="555">
        <f t="shared" si="343"/>
        <v>17</v>
      </c>
      <c r="K258" s="451">
        <f t="shared" si="344"/>
        <v>23.85</v>
      </c>
      <c r="L258" s="451">
        <f t="shared" si="345"/>
        <v>40.85</v>
      </c>
      <c r="M258" s="451"/>
      <c r="N258" s="221">
        <f t="shared" si="346"/>
        <v>0.58384332925336602</v>
      </c>
      <c r="O258" s="176">
        <f t="shared" si="383"/>
        <v>17.310083304408188</v>
      </c>
      <c r="P258" s="176">
        <f t="shared" si="384"/>
        <v>2.0195097188476221</v>
      </c>
      <c r="Q258" s="221">
        <f t="shared" si="349"/>
        <v>1.1540055536272125</v>
      </c>
      <c r="R258" s="221">
        <f t="shared" si="385"/>
        <v>2.4728690434868841</v>
      </c>
      <c r="S258" s="221">
        <f t="shared" si="386"/>
        <v>15</v>
      </c>
      <c r="T258" s="221">
        <f t="shared" si="387"/>
        <v>1.4211370082624246</v>
      </c>
      <c r="U258" s="221">
        <f t="shared" si="353"/>
        <v>0.58517406222570412</v>
      </c>
      <c r="V258" s="221">
        <f t="shared" si="354"/>
        <v>0.41710520158645581</v>
      </c>
      <c r="W258" s="201">
        <f t="shared" si="355"/>
        <v>350</v>
      </c>
      <c r="X258" s="451">
        <f t="shared" si="356"/>
        <v>350</v>
      </c>
      <c r="Z258" s="221">
        <f t="shared" si="357"/>
        <v>4.0511577948192743</v>
      </c>
      <c r="AA258" s="177">
        <f t="shared" si="358"/>
        <v>1.1890190592760972</v>
      </c>
      <c r="AB258" s="177">
        <f t="shared" si="388"/>
        <v>1.1323318705262224</v>
      </c>
      <c r="AC258" s="177"/>
      <c r="AD258" s="177">
        <f t="shared" si="360"/>
        <v>0.24067085953878403</v>
      </c>
      <c r="AE258" s="559">
        <f t="shared" si="389"/>
        <v>3017.7615365003835</v>
      </c>
      <c r="AF258" s="542">
        <f t="shared" si="390"/>
        <v>4.6392002252886505E-2</v>
      </c>
      <c r="AH258" s="177">
        <f t="shared" si="391"/>
        <v>2.3386722205349857</v>
      </c>
      <c r="AI258" s="177">
        <f t="shared" si="392"/>
        <v>2.3386722205349857</v>
      </c>
      <c r="AJ258" s="177">
        <f t="shared" si="393"/>
        <v>2.3249423855814708</v>
      </c>
      <c r="AL258" s="559">
        <f t="shared" si="394"/>
        <v>400</v>
      </c>
      <c r="AM258" s="469">
        <f t="shared" si="395"/>
        <v>350</v>
      </c>
      <c r="AO258">
        <f t="shared" si="368"/>
        <v>400</v>
      </c>
      <c r="AP258">
        <f t="shared" si="369"/>
        <v>350</v>
      </c>
      <c r="AR258" s="5">
        <f t="shared" si="333"/>
        <v>2.8571428571428572</v>
      </c>
      <c r="AS258" s="5">
        <f t="shared" si="377"/>
        <v>0.96298267904381751</v>
      </c>
      <c r="AT258" s="5">
        <f t="shared" si="378"/>
        <v>1.8941601780990398</v>
      </c>
      <c r="AU258" s="177">
        <f t="shared" si="379"/>
        <v>0.33704393766533614</v>
      </c>
      <c r="AW258" s="5">
        <f t="shared" si="396"/>
        <v>10.014141569481827</v>
      </c>
      <c r="AX258" s="5">
        <f t="shared" si="397"/>
        <v>6.6622590378991804</v>
      </c>
      <c r="AY258" s="5">
        <f t="shared" si="398"/>
        <v>0.70947993256842168</v>
      </c>
      <c r="AZ258" s="5">
        <f t="shared" si="399"/>
        <v>0.48059489192650745</v>
      </c>
      <c r="BA258" s="5">
        <f t="shared" si="400"/>
        <v>1.0477501088349694</v>
      </c>
      <c r="BB258" s="5"/>
      <c r="CE258" s="576">
        <f t="shared" si="401"/>
        <v>-50</v>
      </c>
    </row>
    <row r="259" spans="5:83" x14ac:dyDescent="0.25">
      <c r="E259" s="174">
        <v>41</v>
      </c>
      <c r="F259" s="221">
        <f t="shared" si="402"/>
        <v>0.41</v>
      </c>
      <c r="G259" s="221">
        <f t="shared" si="380"/>
        <v>0.10249999999999999</v>
      </c>
      <c r="H259" s="221">
        <f t="shared" si="381"/>
        <v>6.1499999999999995</v>
      </c>
      <c r="I259" s="221">
        <f t="shared" si="382"/>
        <v>0.71749999999999992</v>
      </c>
      <c r="J259" s="555">
        <f t="shared" si="343"/>
        <v>17</v>
      </c>
      <c r="K259" s="451">
        <f t="shared" si="344"/>
        <v>23.85</v>
      </c>
      <c r="L259" s="451">
        <f t="shared" si="345"/>
        <v>40.85</v>
      </c>
      <c r="M259" s="451"/>
      <c r="N259" s="221">
        <f t="shared" si="346"/>
        <v>0.58384332925336602</v>
      </c>
      <c r="O259" s="176">
        <f t="shared" si="383"/>
        <v>17.310083304408188</v>
      </c>
      <c r="P259" s="176">
        <f t="shared" si="384"/>
        <v>2.0195097188476221</v>
      </c>
      <c r="Q259" s="221">
        <f t="shared" si="349"/>
        <v>1.1540055536272125</v>
      </c>
      <c r="R259" s="221">
        <f t="shared" si="385"/>
        <v>2.4728690434868841</v>
      </c>
      <c r="S259" s="221">
        <f t="shared" si="386"/>
        <v>15</v>
      </c>
      <c r="T259" s="221">
        <f t="shared" si="387"/>
        <v>1.4566654334689852</v>
      </c>
      <c r="U259" s="221">
        <f t="shared" si="353"/>
        <v>0.59980341378134683</v>
      </c>
      <c r="V259" s="221">
        <f t="shared" si="354"/>
        <v>0.42753283162611722</v>
      </c>
      <c r="W259" s="201">
        <f t="shared" si="355"/>
        <v>350</v>
      </c>
      <c r="X259" s="451">
        <f t="shared" si="356"/>
        <v>350</v>
      </c>
      <c r="Z259" s="221">
        <f t="shared" si="357"/>
        <v>4.0511577948192743</v>
      </c>
      <c r="AA259" s="177">
        <f t="shared" si="358"/>
        <v>1.1890190592760972</v>
      </c>
      <c r="AB259" s="177">
        <f t="shared" si="388"/>
        <v>1.1323318705262224</v>
      </c>
      <c r="AC259" s="177"/>
      <c r="AD259" s="177">
        <f t="shared" si="360"/>
        <v>0.24067085953878403</v>
      </c>
      <c r="AE259" s="559">
        <f t="shared" si="389"/>
        <v>3093.2055749128922</v>
      </c>
      <c r="AF259" s="542">
        <f t="shared" si="390"/>
        <v>4.6392002252886505E-2</v>
      </c>
      <c r="AH259" s="177">
        <f t="shared" si="391"/>
        <v>2.3677251633117371</v>
      </c>
      <c r="AI259" s="177">
        <f t="shared" si="392"/>
        <v>2.3677251633117371</v>
      </c>
      <c r="AJ259" s="177">
        <f t="shared" si="393"/>
        <v>2.3464630839346201</v>
      </c>
      <c r="AL259" s="559">
        <f t="shared" si="394"/>
        <v>410</v>
      </c>
      <c r="AM259" s="469">
        <f t="shared" si="395"/>
        <v>350</v>
      </c>
      <c r="AO259">
        <f t="shared" si="368"/>
        <v>410</v>
      </c>
      <c r="AP259">
        <f t="shared" si="369"/>
        <v>350</v>
      </c>
      <c r="AR259" s="5">
        <f t="shared" si="333"/>
        <v>2.8571428571428572</v>
      </c>
      <c r="AS259" s="5">
        <f t="shared" si="377"/>
        <v>0.97494565548130352</v>
      </c>
      <c r="AT259" s="5">
        <f t="shared" si="378"/>
        <v>1.8821972016615538</v>
      </c>
      <c r="AU259" s="177">
        <f t="shared" si="379"/>
        <v>0.3412309794184562</v>
      </c>
      <c r="AW259" s="5">
        <f t="shared" si="396"/>
        <v>10.014141569481827</v>
      </c>
      <c r="AX259" s="5">
        <f t="shared" si="397"/>
        <v>6.968785901692824</v>
      </c>
      <c r="AY259" s="5">
        <f t="shared" si="398"/>
        <v>0.70947993256842168</v>
      </c>
      <c r="AZ259" s="5">
        <f t="shared" si="399"/>
        <v>0.49723750833028674</v>
      </c>
      <c r="BA259" s="5">
        <f t="shared" si="400"/>
        <v>1.0671611378667263</v>
      </c>
      <c r="BB259" s="5"/>
      <c r="CE259" s="576">
        <f t="shared" si="401"/>
        <v>-50</v>
      </c>
    </row>
    <row r="260" spans="5:83" x14ac:dyDescent="0.25">
      <c r="E260" s="174">
        <v>42</v>
      </c>
      <c r="F260" s="221">
        <f t="shared" si="402"/>
        <v>0.42</v>
      </c>
      <c r="G260" s="221">
        <f t="shared" si="380"/>
        <v>0.105</v>
      </c>
      <c r="H260" s="221">
        <f t="shared" si="381"/>
        <v>6.3</v>
      </c>
      <c r="I260" s="221">
        <f t="shared" si="382"/>
        <v>0.73499999999999999</v>
      </c>
      <c r="J260" s="555">
        <f t="shared" si="343"/>
        <v>17</v>
      </c>
      <c r="K260" s="451">
        <f t="shared" si="344"/>
        <v>23.85</v>
      </c>
      <c r="L260" s="451">
        <f t="shared" si="345"/>
        <v>40.85</v>
      </c>
      <c r="M260" s="451"/>
      <c r="N260" s="221">
        <f t="shared" si="346"/>
        <v>0.58384332925336602</v>
      </c>
      <c r="O260" s="176">
        <f t="shared" si="383"/>
        <v>17.310083304408188</v>
      </c>
      <c r="P260" s="176">
        <f t="shared" si="384"/>
        <v>2.0195097188476221</v>
      </c>
      <c r="Q260" s="221">
        <f t="shared" si="349"/>
        <v>1.1540055536272125</v>
      </c>
      <c r="R260" s="221">
        <f t="shared" si="385"/>
        <v>2.4728690434868841</v>
      </c>
      <c r="S260" s="221">
        <f t="shared" si="386"/>
        <v>15</v>
      </c>
      <c r="T260" s="221">
        <f t="shared" si="387"/>
        <v>1.4921938586755459</v>
      </c>
      <c r="U260" s="221">
        <f t="shared" si="353"/>
        <v>0.61443276533698943</v>
      </c>
      <c r="V260" s="221">
        <f t="shared" si="354"/>
        <v>0.43796046166577868</v>
      </c>
      <c r="W260" s="201">
        <f t="shared" si="355"/>
        <v>350</v>
      </c>
      <c r="X260" s="451">
        <f t="shared" si="356"/>
        <v>350</v>
      </c>
      <c r="Z260" s="221">
        <f t="shared" si="357"/>
        <v>4.0511577948192743</v>
      </c>
      <c r="AA260" s="177">
        <f t="shared" si="358"/>
        <v>1.1890190592760972</v>
      </c>
      <c r="AB260" s="177">
        <f t="shared" si="388"/>
        <v>1.1323318705262224</v>
      </c>
      <c r="AC260" s="177"/>
      <c r="AD260" s="177">
        <f t="shared" si="360"/>
        <v>0.24067085953878403</v>
      </c>
      <c r="AE260" s="559">
        <f t="shared" si="389"/>
        <v>3168.6496133254022</v>
      </c>
      <c r="AF260" s="542">
        <f t="shared" si="390"/>
        <v>4.6392002252886505E-2</v>
      </c>
      <c r="AH260" s="177">
        <f t="shared" si="391"/>
        <v>2.3964259101539405</v>
      </c>
      <c r="AI260" s="177">
        <f t="shared" si="392"/>
        <v>2.3964259101539405</v>
      </c>
      <c r="AJ260" s="177">
        <f t="shared" si="393"/>
        <v>2.3677228964103261</v>
      </c>
      <c r="AL260" s="559">
        <f t="shared" si="394"/>
        <v>420</v>
      </c>
      <c r="AM260" s="469">
        <f t="shared" si="395"/>
        <v>350</v>
      </c>
      <c r="AO260">
        <f t="shared" si="368"/>
        <v>420</v>
      </c>
      <c r="AP260">
        <f t="shared" si="369"/>
        <v>350</v>
      </c>
      <c r="AR260" s="5">
        <f t="shared" si="333"/>
        <v>2.8571428571428572</v>
      </c>
      <c r="AS260" s="5">
        <f t="shared" si="377"/>
        <v>0.9867636100633872</v>
      </c>
      <c r="AT260" s="5">
        <f t="shared" si="378"/>
        <v>1.87037924707947</v>
      </c>
      <c r="AU260" s="177">
        <f t="shared" si="379"/>
        <v>0.3453672635221855</v>
      </c>
      <c r="AW260" s="5">
        <f t="shared" si="396"/>
        <v>10.014141569481827</v>
      </c>
      <c r="AX260" s="5">
        <f t="shared" si="397"/>
        <v>7.2821405892838431</v>
      </c>
      <c r="AY260" s="5">
        <f t="shared" si="398"/>
        <v>0.70947993256842168</v>
      </c>
      <c r="AZ260" s="5">
        <f t="shared" si="399"/>
        <v>0.51410586834897432</v>
      </c>
      <c r="BA260" s="5">
        <f t="shared" si="400"/>
        <v>1.0863255317402742</v>
      </c>
      <c r="BB260" s="5"/>
      <c r="CE260" s="576">
        <f t="shared" si="401"/>
        <v>-50</v>
      </c>
    </row>
    <row r="261" spans="5:83" x14ac:dyDescent="0.25">
      <c r="E261" s="174">
        <v>43</v>
      </c>
      <c r="F261" s="221">
        <f t="shared" si="402"/>
        <v>0.43</v>
      </c>
      <c r="G261" s="221">
        <f t="shared" si="380"/>
        <v>0.1075</v>
      </c>
      <c r="H261" s="221">
        <f t="shared" si="381"/>
        <v>6.45</v>
      </c>
      <c r="I261" s="221">
        <f t="shared" si="382"/>
        <v>0.75249999999999995</v>
      </c>
      <c r="J261" s="555">
        <f t="shared" si="343"/>
        <v>17</v>
      </c>
      <c r="K261" s="451">
        <f t="shared" si="344"/>
        <v>23.85</v>
      </c>
      <c r="L261" s="451">
        <f t="shared" si="345"/>
        <v>40.85</v>
      </c>
      <c r="M261" s="451"/>
      <c r="N261" s="221">
        <f t="shared" si="346"/>
        <v>0.58384332925336602</v>
      </c>
      <c r="O261" s="176">
        <f t="shared" si="383"/>
        <v>17.310083304408188</v>
      </c>
      <c r="P261" s="176">
        <f t="shared" si="384"/>
        <v>2.0195097188476221</v>
      </c>
      <c r="Q261" s="221">
        <f t="shared" si="349"/>
        <v>1.1540055536272125</v>
      </c>
      <c r="R261" s="221">
        <f t="shared" si="385"/>
        <v>2.4728690434868841</v>
      </c>
      <c r="S261" s="221">
        <f t="shared" si="386"/>
        <v>15</v>
      </c>
      <c r="T261" s="221">
        <f t="shared" si="387"/>
        <v>1.5277222838821065</v>
      </c>
      <c r="U261" s="221">
        <f t="shared" si="353"/>
        <v>0.62906211689263203</v>
      </c>
      <c r="V261" s="221">
        <f t="shared" si="354"/>
        <v>0.44838809170544003</v>
      </c>
      <c r="W261" s="201">
        <f t="shared" si="355"/>
        <v>350</v>
      </c>
      <c r="X261" s="451">
        <f t="shared" si="356"/>
        <v>350</v>
      </c>
      <c r="Z261" s="221">
        <f t="shared" si="357"/>
        <v>4.0511577948192743</v>
      </c>
      <c r="AA261" s="177">
        <f t="shared" si="358"/>
        <v>1.1890190592760972</v>
      </c>
      <c r="AB261" s="177">
        <f t="shared" si="388"/>
        <v>1.1323318705262224</v>
      </c>
      <c r="AC261" s="177"/>
      <c r="AD261" s="177">
        <f t="shared" si="360"/>
        <v>0.24067085953878403</v>
      </c>
      <c r="AE261" s="559">
        <f t="shared" si="389"/>
        <v>3244.0936517379114</v>
      </c>
      <c r="AF261" s="542">
        <f t="shared" si="390"/>
        <v>4.6392002252886505E-2</v>
      </c>
      <c r="AH261" s="177">
        <f t="shared" si="391"/>
        <v>2.4247869672890223</v>
      </c>
      <c r="AI261" s="177">
        <f t="shared" si="392"/>
        <v>2.4247869672890223</v>
      </c>
      <c r="AJ261" s="177">
        <f t="shared" si="393"/>
        <v>2.3887310868807572</v>
      </c>
      <c r="AL261" s="559">
        <f t="shared" si="394"/>
        <v>430</v>
      </c>
      <c r="AM261" s="469">
        <f t="shared" si="395"/>
        <v>350</v>
      </c>
      <c r="AO261">
        <f t="shared" si="368"/>
        <v>430</v>
      </c>
      <c r="AP261">
        <f t="shared" si="369"/>
        <v>350</v>
      </c>
      <c r="AR261" s="5">
        <f t="shared" si="333"/>
        <v>2.8571428571428572</v>
      </c>
      <c r="AS261" s="5">
        <f t="shared" si="377"/>
        <v>0.99844169241312686</v>
      </c>
      <c r="AT261" s="5">
        <f t="shared" si="378"/>
        <v>1.8587011647297302</v>
      </c>
      <c r="AU261" s="177">
        <f t="shared" si="379"/>
        <v>0.34945459234459442</v>
      </c>
      <c r="AW261" s="5">
        <f t="shared" si="396"/>
        <v>10.014141569481827</v>
      </c>
      <c r="AX261" s="5">
        <f t="shared" si="397"/>
        <v>7.6023231006722369</v>
      </c>
      <c r="AY261" s="5">
        <f t="shared" si="398"/>
        <v>0.70947993256842168</v>
      </c>
      <c r="AZ261" s="5">
        <f t="shared" si="399"/>
        <v>0.53119997198256996</v>
      </c>
      <c r="BA261" s="5">
        <f t="shared" si="400"/>
        <v>1.1052462447030658</v>
      </c>
      <c r="BB261" s="5"/>
      <c r="CE261" s="576">
        <f t="shared" si="401"/>
        <v>-50</v>
      </c>
    </row>
    <row r="262" spans="5:83" x14ac:dyDescent="0.25">
      <c r="E262" s="174">
        <v>44</v>
      </c>
      <c r="F262" s="221">
        <f t="shared" si="402"/>
        <v>0.44</v>
      </c>
      <c r="G262" s="221">
        <f t="shared" si="380"/>
        <v>0.11</v>
      </c>
      <c r="H262" s="221">
        <f t="shared" si="381"/>
        <v>6.6</v>
      </c>
      <c r="I262" s="221">
        <f t="shared" si="382"/>
        <v>0.77</v>
      </c>
      <c r="J262" s="555">
        <f t="shared" si="343"/>
        <v>17</v>
      </c>
      <c r="K262" s="451">
        <f t="shared" si="344"/>
        <v>23.85</v>
      </c>
      <c r="L262" s="451">
        <f t="shared" si="345"/>
        <v>40.85</v>
      </c>
      <c r="M262" s="451"/>
      <c r="N262" s="221">
        <f t="shared" si="346"/>
        <v>0.58384332925336602</v>
      </c>
      <c r="O262" s="176">
        <f t="shared" si="383"/>
        <v>17.310083304408188</v>
      </c>
      <c r="P262" s="176">
        <f t="shared" si="384"/>
        <v>2.0195097188476221</v>
      </c>
      <c r="Q262" s="221">
        <f t="shared" si="349"/>
        <v>1.1540055536272125</v>
      </c>
      <c r="R262" s="221">
        <f t="shared" si="385"/>
        <v>2.4728690434868841</v>
      </c>
      <c r="S262" s="221">
        <f t="shared" si="386"/>
        <v>15</v>
      </c>
      <c r="T262" s="221">
        <f t="shared" si="387"/>
        <v>1.5632507090886669</v>
      </c>
      <c r="U262" s="221">
        <f t="shared" si="353"/>
        <v>0.64369146844827463</v>
      </c>
      <c r="V262" s="221">
        <f t="shared" si="354"/>
        <v>0.45881572174510138</v>
      </c>
      <c r="W262" s="201">
        <f t="shared" si="355"/>
        <v>350</v>
      </c>
      <c r="X262" s="451">
        <f t="shared" si="356"/>
        <v>350</v>
      </c>
      <c r="Z262" s="221">
        <f t="shared" si="357"/>
        <v>4.0511577948192743</v>
      </c>
      <c r="AA262" s="177">
        <f t="shared" si="358"/>
        <v>1.1890190592760972</v>
      </c>
      <c r="AB262" s="177">
        <f t="shared" si="388"/>
        <v>1.1323318705262224</v>
      </c>
      <c r="AC262" s="177"/>
      <c r="AD262" s="177">
        <f t="shared" si="360"/>
        <v>0.24067085953878403</v>
      </c>
      <c r="AE262" s="559">
        <f t="shared" si="389"/>
        <v>3319.5376901504214</v>
      </c>
      <c r="AF262" s="542">
        <f t="shared" si="390"/>
        <v>4.6392002252886505E-2</v>
      </c>
      <c r="AH262" s="177">
        <f t="shared" si="391"/>
        <v>2.4528201178668287</v>
      </c>
      <c r="AI262" s="177">
        <f t="shared" si="392"/>
        <v>2.4528201178668287</v>
      </c>
      <c r="AJ262" s="177">
        <f t="shared" si="393"/>
        <v>2.4094963836050587</v>
      </c>
      <c r="AL262" s="559">
        <f t="shared" si="394"/>
        <v>440</v>
      </c>
      <c r="AM262" s="469">
        <f t="shared" si="395"/>
        <v>350</v>
      </c>
      <c r="AO262">
        <f t="shared" si="368"/>
        <v>440</v>
      </c>
      <c r="AP262">
        <f t="shared" si="369"/>
        <v>350</v>
      </c>
      <c r="AR262" s="5">
        <f t="shared" si="333"/>
        <v>2.8571428571428572</v>
      </c>
      <c r="AS262" s="5">
        <f t="shared" si="377"/>
        <v>1.0099847544157528</v>
      </c>
      <c r="AT262" s="5">
        <f t="shared" si="378"/>
        <v>1.8471581027271045</v>
      </c>
      <c r="AU262" s="177">
        <f t="shared" si="379"/>
        <v>0.35349466404551344</v>
      </c>
      <c r="AW262" s="5">
        <f t="shared" si="396"/>
        <v>10.014141569481827</v>
      </c>
      <c r="AX262" s="5">
        <f t="shared" si="397"/>
        <v>7.9293334358580063</v>
      </c>
      <c r="AY262" s="5">
        <f t="shared" si="398"/>
        <v>0.70947993256842168</v>
      </c>
      <c r="AZ262" s="5">
        <f t="shared" si="399"/>
        <v>0.54851981923107385</v>
      </c>
      <c r="BA262" s="5">
        <f t="shared" si="400"/>
        <v>1.123926127314655</v>
      </c>
      <c r="BB262" s="5"/>
      <c r="CE262" s="576">
        <f t="shared" si="401"/>
        <v>-50</v>
      </c>
    </row>
    <row r="263" spans="5:83" x14ac:dyDescent="0.25">
      <c r="E263" s="174">
        <v>45</v>
      </c>
      <c r="F263" s="221">
        <f t="shared" si="402"/>
        <v>0.45</v>
      </c>
      <c r="G263" s="221">
        <f t="shared" si="380"/>
        <v>0.1125</v>
      </c>
      <c r="H263" s="221">
        <f t="shared" si="381"/>
        <v>6.75</v>
      </c>
      <c r="I263" s="221">
        <f t="shared" si="382"/>
        <v>0.78749999999999998</v>
      </c>
      <c r="J263" s="555">
        <f t="shared" si="343"/>
        <v>17</v>
      </c>
      <c r="K263" s="451">
        <f t="shared" si="344"/>
        <v>23.85</v>
      </c>
      <c r="L263" s="451">
        <f t="shared" si="345"/>
        <v>40.85</v>
      </c>
      <c r="M263" s="451"/>
      <c r="N263" s="221">
        <f t="shared" si="346"/>
        <v>0.58384332925336602</v>
      </c>
      <c r="O263" s="176">
        <f t="shared" si="383"/>
        <v>17.310083304408188</v>
      </c>
      <c r="P263" s="176">
        <f t="shared" si="384"/>
        <v>2.0195097188476221</v>
      </c>
      <c r="Q263" s="221">
        <f t="shared" si="349"/>
        <v>1.1540055536272125</v>
      </c>
      <c r="R263" s="221">
        <f t="shared" si="385"/>
        <v>2.4728690434868841</v>
      </c>
      <c r="S263" s="221">
        <f t="shared" si="386"/>
        <v>15</v>
      </c>
      <c r="T263" s="221">
        <f t="shared" si="387"/>
        <v>1.5987791342952276</v>
      </c>
      <c r="U263" s="221">
        <f t="shared" si="353"/>
        <v>0.65832082000391723</v>
      </c>
      <c r="V263" s="221">
        <f t="shared" si="354"/>
        <v>0.46924335178476279</v>
      </c>
      <c r="W263" s="201">
        <f t="shared" si="355"/>
        <v>350</v>
      </c>
      <c r="X263" s="451">
        <f t="shared" si="356"/>
        <v>350</v>
      </c>
      <c r="Z263" s="221">
        <f t="shared" si="357"/>
        <v>4.0511577948192743</v>
      </c>
      <c r="AA263" s="177">
        <f t="shared" si="358"/>
        <v>1.1890190592760972</v>
      </c>
      <c r="AB263" s="177">
        <f t="shared" si="388"/>
        <v>1.1323318705262224</v>
      </c>
      <c r="AC263" s="177"/>
      <c r="AD263" s="177">
        <f t="shared" si="360"/>
        <v>0.24067085953878403</v>
      </c>
      <c r="AE263" s="559">
        <f t="shared" si="389"/>
        <v>3394.981728562931</v>
      </c>
      <c r="AF263" s="542">
        <f t="shared" si="390"/>
        <v>4.6392002252886505E-2</v>
      </c>
      <c r="AH263" s="177">
        <f t="shared" si="391"/>
        <v>2.4805364791693338</v>
      </c>
      <c r="AI263" s="177">
        <f t="shared" si="392"/>
        <v>2.4805364791693338</v>
      </c>
      <c r="AJ263" s="177">
        <f t="shared" si="393"/>
        <v>2.4300270216069144</v>
      </c>
      <c r="AL263" s="559">
        <f t="shared" si="394"/>
        <v>450</v>
      </c>
      <c r="AM263" s="469">
        <f t="shared" si="395"/>
        <v>350</v>
      </c>
      <c r="AO263">
        <f t="shared" si="368"/>
        <v>450</v>
      </c>
      <c r="AP263">
        <f t="shared" si="369"/>
        <v>350</v>
      </c>
      <c r="AR263" s="5">
        <f t="shared" si="333"/>
        <v>2.8571428571428572</v>
      </c>
      <c r="AS263" s="5">
        <f t="shared" si="377"/>
        <v>1.0213973737756081</v>
      </c>
      <c r="AT263" s="5">
        <f t="shared" si="378"/>
        <v>1.8357454833672491</v>
      </c>
      <c r="AU263" s="177">
        <f t="shared" si="379"/>
        <v>0.35748908082146286</v>
      </c>
      <c r="AW263" s="5">
        <f t="shared" si="396"/>
        <v>10.014141569481827</v>
      </c>
      <c r="AX263" s="5">
        <f t="shared" si="397"/>
        <v>8.2631715948411486</v>
      </c>
      <c r="AY263" s="5">
        <f t="shared" si="398"/>
        <v>0.70947993256842168</v>
      </c>
      <c r="AZ263" s="5">
        <f t="shared" si="399"/>
        <v>0.56606541009448585</v>
      </c>
      <c r="BA263" s="5">
        <f t="shared" si="400"/>
        <v>1.1423679323740468</v>
      </c>
      <c r="BB263" s="5"/>
      <c r="CE263" s="576">
        <f t="shared" si="401"/>
        <v>-50</v>
      </c>
    </row>
    <row r="264" spans="5:83" x14ac:dyDescent="0.25">
      <c r="E264" s="174">
        <v>46</v>
      </c>
      <c r="F264" s="221">
        <f t="shared" si="402"/>
        <v>0.46</v>
      </c>
      <c r="G264" s="221">
        <f t="shared" si="380"/>
        <v>0.115</v>
      </c>
      <c r="H264" s="221">
        <f t="shared" si="381"/>
        <v>6.9</v>
      </c>
      <c r="I264" s="221">
        <f t="shared" si="382"/>
        <v>0.80500000000000005</v>
      </c>
      <c r="J264" s="555">
        <f t="shared" si="343"/>
        <v>17</v>
      </c>
      <c r="K264" s="451">
        <f t="shared" si="344"/>
        <v>23.85</v>
      </c>
      <c r="L264" s="451">
        <f t="shared" si="345"/>
        <v>40.85</v>
      </c>
      <c r="M264" s="451"/>
      <c r="N264" s="221">
        <f t="shared" si="346"/>
        <v>0.58384332925336602</v>
      </c>
      <c r="O264" s="176">
        <f t="shared" si="383"/>
        <v>17.310083304408188</v>
      </c>
      <c r="P264" s="176">
        <f t="shared" si="384"/>
        <v>2.0195097188476221</v>
      </c>
      <c r="Q264" s="221">
        <f t="shared" si="349"/>
        <v>1.1540055536272125</v>
      </c>
      <c r="R264" s="221">
        <f t="shared" si="385"/>
        <v>2.4728690434868841</v>
      </c>
      <c r="S264" s="221">
        <f t="shared" si="386"/>
        <v>15</v>
      </c>
      <c r="T264" s="221">
        <f t="shared" si="387"/>
        <v>1.6343075595017884</v>
      </c>
      <c r="U264" s="221">
        <f t="shared" si="353"/>
        <v>0.67295017155955994</v>
      </c>
      <c r="V264" s="221">
        <f t="shared" si="354"/>
        <v>0.4796709818244243</v>
      </c>
      <c r="W264" s="201">
        <f t="shared" si="355"/>
        <v>350</v>
      </c>
      <c r="X264" s="451">
        <f t="shared" si="356"/>
        <v>350</v>
      </c>
      <c r="Z264" s="221">
        <f t="shared" si="357"/>
        <v>4.0511577948192743</v>
      </c>
      <c r="AA264" s="177">
        <f t="shared" si="358"/>
        <v>1.1890190592760972</v>
      </c>
      <c r="AB264" s="177">
        <f t="shared" si="388"/>
        <v>1.1323318705262224</v>
      </c>
      <c r="AC264" s="177"/>
      <c r="AD264" s="177">
        <f t="shared" si="360"/>
        <v>0.24067085953878403</v>
      </c>
      <c r="AE264" s="559">
        <f t="shared" si="389"/>
        <v>3470.4257669754411</v>
      </c>
      <c r="AF264" s="542">
        <f t="shared" si="390"/>
        <v>4.6392002252886505E-2</v>
      </c>
      <c r="AH264" s="177">
        <f t="shared" si="391"/>
        <v>2.5079465541289645</v>
      </c>
      <c r="AI264" s="177">
        <f t="shared" si="392"/>
        <v>2.5079465541289645</v>
      </c>
      <c r="AJ264" s="177">
        <f t="shared" si="393"/>
        <v>2.4503307808362704</v>
      </c>
      <c r="AL264" s="559">
        <f t="shared" si="394"/>
        <v>460</v>
      </c>
      <c r="AM264" s="469">
        <f t="shared" si="395"/>
        <v>350</v>
      </c>
      <c r="AO264">
        <f t="shared" si="368"/>
        <v>460</v>
      </c>
      <c r="AP264">
        <f t="shared" si="369"/>
        <v>350</v>
      </c>
      <c r="AR264" s="5">
        <f t="shared" si="333"/>
        <v>2.8571428571428572</v>
      </c>
      <c r="AS264" s="5">
        <f t="shared" si="377"/>
        <v>1.0326838752295735</v>
      </c>
      <c r="AT264" s="5">
        <f t="shared" si="378"/>
        <v>1.8244589819132837</v>
      </c>
      <c r="AU264" s="177">
        <f t="shared" si="379"/>
        <v>0.36143935633035074</v>
      </c>
      <c r="AW264" s="5">
        <f t="shared" si="396"/>
        <v>10.014141569481827</v>
      </c>
      <c r="AX264" s="5">
        <f t="shared" si="397"/>
        <v>8.6038375776216647</v>
      </c>
      <c r="AY264" s="5">
        <f t="shared" si="398"/>
        <v>0.70947993256842168</v>
      </c>
      <c r="AZ264" s="5">
        <f t="shared" si="399"/>
        <v>0.5838367445728061</v>
      </c>
      <c r="BA264" s="5">
        <f t="shared" si="400"/>
        <v>1.1605743203832282</v>
      </c>
      <c r="BB264" s="5"/>
      <c r="CE264" s="576">
        <f t="shared" si="401"/>
        <v>-50</v>
      </c>
    </row>
    <row r="265" spans="5:83" x14ac:dyDescent="0.25">
      <c r="E265" s="174">
        <v>47</v>
      </c>
      <c r="F265" s="221">
        <f t="shared" si="402"/>
        <v>0.47</v>
      </c>
      <c r="G265" s="221">
        <f t="shared" si="380"/>
        <v>0.11749999999999999</v>
      </c>
      <c r="H265" s="221">
        <f t="shared" si="381"/>
        <v>7.05</v>
      </c>
      <c r="I265" s="221">
        <f t="shared" si="382"/>
        <v>0.82250000000000001</v>
      </c>
      <c r="J265" s="555">
        <f t="shared" si="343"/>
        <v>17</v>
      </c>
      <c r="K265" s="451">
        <f t="shared" si="344"/>
        <v>23.85</v>
      </c>
      <c r="L265" s="451">
        <f t="shared" si="345"/>
        <v>40.85</v>
      </c>
      <c r="M265" s="451"/>
      <c r="N265" s="221">
        <f t="shared" si="346"/>
        <v>0.58384332925336602</v>
      </c>
      <c r="O265" s="176">
        <f t="shared" si="383"/>
        <v>17.310083304408188</v>
      </c>
      <c r="P265" s="176">
        <f t="shared" si="384"/>
        <v>2.0195097188476221</v>
      </c>
      <c r="Q265" s="221">
        <f t="shared" si="349"/>
        <v>1.1540055536272125</v>
      </c>
      <c r="R265" s="221">
        <f t="shared" si="385"/>
        <v>2.4728690434868841</v>
      </c>
      <c r="S265" s="221">
        <f t="shared" si="386"/>
        <v>15</v>
      </c>
      <c r="T265" s="221">
        <f t="shared" si="387"/>
        <v>1.6698359847083488</v>
      </c>
      <c r="U265" s="221">
        <f t="shared" si="353"/>
        <v>0.68757952311520243</v>
      </c>
      <c r="V265" s="221">
        <f t="shared" si="354"/>
        <v>0.49009861186408554</v>
      </c>
      <c r="W265" s="201">
        <f t="shared" si="355"/>
        <v>350</v>
      </c>
      <c r="X265" s="451">
        <f t="shared" si="356"/>
        <v>350</v>
      </c>
      <c r="Z265" s="221">
        <f t="shared" si="357"/>
        <v>4.0511577948192743</v>
      </c>
      <c r="AA265" s="177">
        <f t="shared" si="358"/>
        <v>1.1890190592760972</v>
      </c>
      <c r="AB265" s="177">
        <f t="shared" si="388"/>
        <v>1.1323318705262224</v>
      </c>
      <c r="AC265" s="177"/>
      <c r="AD265" s="177">
        <f t="shared" si="360"/>
        <v>0.24067085953878403</v>
      </c>
      <c r="AE265" s="559">
        <f t="shared" si="389"/>
        <v>3545.8698053879498</v>
      </c>
      <c r="AF265" s="542">
        <f t="shared" si="390"/>
        <v>4.6392002252886505E-2</v>
      </c>
      <c r="AH265" s="177">
        <f t="shared" si="391"/>
        <v>2.5350602778326392</v>
      </c>
      <c r="AI265" s="177">
        <f t="shared" si="392"/>
        <v>2.5350602778326392</v>
      </c>
      <c r="AJ265" s="177">
        <f t="shared" si="393"/>
        <v>2.4704150206167697</v>
      </c>
      <c r="AL265" s="559">
        <f t="shared" si="394"/>
        <v>470</v>
      </c>
      <c r="AM265" s="469">
        <f t="shared" si="395"/>
        <v>350</v>
      </c>
      <c r="AO265">
        <f t="shared" si="368"/>
        <v>470</v>
      </c>
      <c r="AP265">
        <f t="shared" si="369"/>
        <v>350</v>
      </c>
      <c r="AR265" s="5">
        <f t="shared" ref="AR265:AR318" si="403">1/AM265*1000</f>
        <v>2.8571428571428572</v>
      </c>
      <c r="AS265" s="5">
        <f t="shared" si="377"/>
        <v>1.0438483496957924</v>
      </c>
      <c r="AT265" s="5">
        <f t="shared" si="378"/>
        <v>1.8132945074470648</v>
      </c>
      <c r="AU265" s="177">
        <f t="shared" si="379"/>
        <v>0.36534692239352734</v>
      </c>
      <c r="AW265" s="5">
        <f t="shared" si="396"/>
        <v>10.014141569481827</v>
      </c>
      <c r="AX265" s="5">
        <f t="shared" si="397"/>
        <v>8.9513313841995537</v>
      </c>
      <c r="AY265" s="5">
        <f t="shared" si="398"/>
        <v>0.70947993256842168</v>
      </c>
      <c r="AZ265" s="5">
        <f t="shared" si="399"/>
        <v>0.60183382266603425</v>
      </c>
      <c r="BA265" s="5">
        <f t="shared" si="400"/>
        <v>1.1785478645925298</v>
      </c>
      <c r="BB265" s="5"/>
      <c r="CE265" s="576">
        <f t="shared" si="401"/>
        <v>-50</v>
      </c>
    </row>
    <row r="266" spans="5:83" x14ac:dyDescent="0.25">
      <c r="E266" s="174">
        <v>48</v>
      </c>
      <c r="F266" s="221">
        <f t="shared" si="402"/>
        <v>0.48</v>
      </c>
      <c r="G266" s="221">
        <f t="shared" si="380"/>
        <v>0.12</v>
      </c>
      <c r="H266" s="221">
        <f t="shared" si="381"/>
        <v>7.1999999999999993</v>
      </c>
      <c r="I266" s="221">
        <f t="shared" si="382"/>
        <v>0.84</v>
      </c>
      <c r="J266" s="555">
        <f t="shared" si="343"/>
        <v>17</v>
      </c>
      <c r="K266" s="451">
        <f t="shared" si="344"/>
        <v>23.85</v>
      </c>
      <c r="L266" s="451">
        <f t="shared" si="345"/>
        <v>40.85</v>
      </c>
      <c r="M266" s="451"/>
      <c r="N266" s="221">
        <f t="shared" si="346"/>
        <v>0.58384332925336602</v>
      </c>
      <c r="O266" s="176">
        <f t="shared" si="383"/>
        <v>17.310083304408188</v>
      </c>
      <c r="P266" s="176">
        <f t="shared" si="384"/>
        <v>2.0195097188476221</v>
      </c>
      <c r="Q266" s="221">
        <f t="shared" si="349"/>
        <v>1.1540055536272125</v>
      </c>
      <c r="R266" s="221">
        <f t="shared" si="385"/>
        <v>2.4728690434868841</v>
      </c>
      <c r="S266" s="221">
        <f t="shared" si="386"/>
        <v>15</v>
      </c>
      <c r="T266" s="221">
        <f t="shared" si="387"/>
        <v>1.7053644099149095</v>
      </c>
      <c r="U266" s="221">
        <f t="shared" si="353"/>
        <v>0.70220887467084503</v>
      </c>
      <c r="V266" s="221">
        <f t="shared" si="354"/>
        <v>0.50052624190374695</v>
      </c>
      <c r="W266" s="201">
        <f t="shared" si="355"/>
        <v>350</v>
      </c>
      <c r="X266" s="451">
        <f t="shared" si="356"/>
        <v>350</v>
      </c>
      <c r="Z266" s="221">
        <f t="shared" si="357"/>
        <v>4.0511577948192743</v>
      </c>
      <c r="AA266" s="177">
        <f t="shared" si="358"/>
        <v>1.1890190592760972</v>
      </c>
      <c r="AB266" s="177">
        <f t="shared" si="388"/>
        <v>1.1323318705262224</v>
      </c>
      <c r="AC266" s="177"/>
      <c r="AD266" s="177">
        <f t="shared" si="360"/>
        <v>0.24067085953878403</v>
      </c>
      <c r="AE266" s="559">
        <f t="shared" si="389"/>
        <v>3621.3138438004594</v>
      </c>
      <c r="AF266" s="542">
        <f t="shared" si="390"/>
        <v>4.6392002252886505E-2</v>
      </c>
      <c r="AH266" s="177">
        <f t="shared" si="391"/>
        <v>2.5618870595954162</v>
      </c>
      <c r="AI266" s="177">
        <f t="shared" si="392"/>
        <v>2.5618870595954162</v>
      </c>
      <c r="AJ266" s="177">
        <f t="shared" si="393"/>
        <v>2.4902867108114197</v>
      </c>
      <c r="AL266" s="559">
        <f t="shared" si="394"/>
        <v>480</v>
      </c>
      <c r="AM266" s="469">
        <f t="shared" si="395"/>
        <v>350</v>
      </c>
      <c r="AO266">
        <f t="shared" si="368"/>
        <v>480</v>
      </c>
      <c r="AP266">
        <f t="shared" si="369"/>
        <v>350</v>
      </c>
      <c r="AR266" s="5">
        <f t="shared" si="403"/>
        <v>2.8571428571428572</v>
      </c>
      <c r="AS266" s="5">
        <f t="shared" si="377"/>
        <v>1.0548946715981125</v>
      </c>
      <c r="AT266" s="5">
        <f t="shared" si="378"/>
        <v>1.8022481855447448</v>
      </c>
      <c r="AU266" s="177">
        <f t="shared" si="379"/>
        <v>0.36921313505933934</v>
      </c>
      <c r="AW266" s="5">
        <f t="shared" si="396"/>
        <v>10.014141569481827</v>
      </c>
      <c r="AX266" s="5">
        <f t="shared" si="397"/>
        <v>9.3056530145748155</v>
      </c>
      <c r="AY266" s="5">
        <f t="shared" si="398"/>
        <v>0.70947993256842168</v>
      </c>
      <c r="AZ266" s="5">
        <f t="shared" si="399"/>
        <v>0.62005664437417063</v>
      </c>
      <c r="BA266" s="5">
        <f t="shared" si="400"/>
        <v>1.1962910556680906</v>
      </c>
      <c r="BB266" s="5"/>
      <c r="CE266" s="576">
        <f t="shared" si="401"/>
        <v>-50</v>
      </c>
    </row>
    <row r="267" spans="5:83" x14ac:dyDescent="0.25">
      <c r="E267" s="174">
        <v>49</v>
      </c>
      <c r="F267" s="221">
        <f t="shared" si="402"/>
        <v>0.49</v>
      </c>
      <c r="G267" s="221">
        <f t="shared" si="380"/>
        <v>0.1225</v>
      </c>
      <c r="H267" s="221">
        <f t="shared" si="381"/>
        <v>7.35</v>
      </c>
      <c r="I267" s="221">
        <f t="shared" si="382"/>
        <v>0.85749999999999993</v>
      </c>
      <c r="J267" s="555">
        <f t="shared" si="343"/>
        <v>17</v>
      </c>
      <c r="K267" s="451">
        <f t="shared" si="344"/>
        <v>23.85</v>
      </c>
      <c r="L267" s="451">
        <f t="shared" si="345"/>
        <v>40.85</v>
      </c>
      <c r="M267" s="451"/>
      <c r="N267" s="221">
        <f t="shared" si="346"/>
        <v>0.58384332925336602</v>
      </c>
      <c r="O267" s="176">
        <f t="shared" si="383"/>
        <v>17.310083304408188</v>
      </c>
      <c r="P267" s="176">
        <f t="shared" si="384"/>
        <v>2.0195097188476221</v>
      </c>
      <c r="Q267" s="221">
        <f t="shared" si="349"/>
        <v>1.1540055536272125</v>
      </c>
      <c r="R267" s="221">
        <f t="shared" si="385"/>
        <v>2.4728690434868841</v>
      </c>
      <c r="S267" s="221">
        <f t="shared" si="386"/>
        <v>15</v>
      </c>
      <c r="T267" s="221">
        <f t="shared" si="387"/>
        <v>1.7408928351214701</v>
      </c>
      <c r="U267" s="221">
        <f t="shared" si="353"/>
        <v>0.71683822622648763</v>
      </c>
      <c r="V267" s="221">
        <f t="shared" si="354"/>
        <v>0.51095387194340836</v>
      </c>
      <c r="W267" s="201">
        <f t="shared" si="355"/>
        <v>350</v>
      </c>
      <c r="X267" s="451">
        <f t="shared" si="356"/>
        <v>350</v>
      </c>
      <c r="Z267" s="221">
        <f t="shared" si="357"/>
        <v>4.0511577948192743</v>
      </c>
      <c r="AA267" s="177">
        <f t="shared" si="358"/>
        <v>1.1890190592760972</v>
      </c>
      <c r="AB267" s="177">
        <f t="shared" si="388"/>
        <v>1.1323318705262224</v>
      </c>
      <c r="AC267" s="177"/>
      <c r="AD267" s="177">
        <f t="shared" si="360"/>
        <v>0.24067085953878403</v>
      </c>
      <c r="AE267" s="559">
        <f t="shared" si="389"/>
        <v>3696.7578822129694</v>
      </c>
      <c r="AF267" s="542">
        <f t="shared" si="390"/>
        <v>4.6392002252886505E-2</v>
      </c>
      <c r="AH267" s="177">
        <f t="shared" si="391"/>
        <v>2.5884358211089569</v>
      </c>
      <c r="AI267" s="177">
        <f t="shared" si="392"/>
        <v>2.5884358211089569</v>
      </c>
      <c r="AJ267" s="177">
        <f t="shared" si="393"/>
        <v>2.5099524600807088</v>
      </c>
      <c r="AL267" s="559">
        <f t="shared" si="394"/>
        <v>490</v>
      </c>
      <c r="AM267" s="469">
        <f t="shared" si="395"/>
        <v>350</v>
      </c>
      <c r="AO267">
        <f t="shared" si="368"/>
        <v>490</v>
      </c>
      <c r="AP267">
        <f t="shared" si="369"/>
        <v>350</v>
      </c>
      <c r="AR267" s="5">
        <f t="shared" si="403"/>
        <v>2.8571428571428572</v>
      </c>
      <c r="AS267" s="5">
        <f t="shared" si="377"/>
        <v>1.0658265145742762</v>
      </c>
      <c r="AT267" s="5">
        <f t="shared" si="378"/>
        <v>1.791316342568581</v>
      </c>
      <c r="AU267" s="177">
        <f t="shared" si="379"/>
        <v>0.37303928010099668</v>
      </c>
      <c r="AW267" s="5">
        <f t="shared" si="396"/>
        <v>10.014141569481827</v>
      </c>
      <c r="AX267" s="5">
        <f t="shared" si="397"/>
        <v>9.6668024687474556</v>
      </c>
      <c r="AY267" s="5">
        <f t="shared" si="398"/>
        <v>0.70947993256842168</v>
      </c>
      <c r="AZ267" s="5">
        <f t="shared" si="399"/>
        <v>0.63850520969721503</v>
      </c>
      <c r="BA267" s="5">
        <f t="shared" si="400"/>
        <v>1.213806306017059</v>
      </c>
      <c r="BB267" s="5"/>
      <c r="CE267" s="576">
        <f t="shared" si="401"/>
        <v>-50</v>
      </c>
    </row>
    <row r="268" spans="5:83" x14ac:dyDescent="0.25">
      <c r="E268" s="174">
        <v>50</v>
      </c>
      <c r="F268" s="221">
        <f t="shared" si="402"/>
        <v>0.5</v>
      </c>
      <c r="G268" s="221">
        <f t="shared" si="380"/>
        <v>0.125</v>
      </c>
      <c r="H268" s="221">
        <f t="shared" si="381"/>
        <v>7.5</v>
      </c>
      <c r="I268" s="221">
        <f t="shared" si="382"/>
        <v>0.875</v>
      </c>
      <c r="J268" s="555">
        <f t="shared" si="343"/>
        <v>17</v>
      </c>
      <c r="K268" s="451">
        <f t="shared" si="344"/>
        <v>23.85</v>
      </c>
      <c r="L268" s="451">
        <f t="shared" si="345"/>
        <v>40.85</v>
      </c>
      <c r="M268" s="451"/>
      <c r="N268" s="221">
        <f t="shared" si="346"/>
        <v>0.58384332925336602</v>
      </c>
      <c r="O268" s="176">
        <f t="shared" si="383"/>
        <v>17.310083304408188</v>
      </c>
      <c r="P268" s="176">
        <f t="shared" si="384"/>
        <v>2.0195097188476221</v>
      </c>
      <c r="Q268" s="221">
        <f t="shared" si="349"/>
        <v>1.1540055536272125</v>
      </c>
      <c r="R268" s="221">
        <f t="shared" si="385"/>
        <v>2.4728690434868841</v>
      </c>
      <c r="S268" s="221">
        <f t="shared" si="386"/>
        <v>15</v>
      </c>
      <c r="T268" s="221">
        <f t="shared" si="387"/>
        <v>1.7764212603280307</v>
      </c>
      <c r="U268" s="221">
        <f t="shared" si="353"/>
        <v>0.73146757778213034</v>
      </c>
      <c r="V268" s="221">
        <f t="shared" si="354"/>
        <v>0.52138150198306987</v>
      </c>
      <c r="W268" s="201">
        <f t="shared" si="355"/>
        <v>350</v>
      </c>
      <c r="X268" s="451">
        <f t="shared" si="356"/>
        <v>350</v>
      </c>
      <c r="Z268" s="221">
        <f t="shared" si="357"/>
        <v>4.0511577948192743</v>
      </c>
      <c r="AA268" s="177">
        <f t="shared" si="358"/>
        <v>1.1890190592760972</v>
      </c>
      <c r="AB268" s="177">
        <f t="shared" si="388"/>
        <v>1.1323318705262224</v>
      </c>
      <c r="AC268" s="177"/>
      <c r="AD268" s="177">
        <f t="shared" si="360"/>
        <v>0.24067085953878403</v>
      </c>
      <c r="AE268" s="559">
        <f t="shared" si="389"/>
        <v>3772.2019206254786</v>
      </c>
      <c r="AF268" s="542">
        <f t="shared" si="390"/>
        <v>4.6392002252886505E-2</v>
      </c>
      <c r="AH268" s="177">
        <f t="shared" si="391"/>
        <v>2.6147150311033038</v>
      </c>
      <c r="AI268" s="177">
        <f t="shared" si="392"/>
        <v>2.6147150311033038</v>
      </c>
      <c r="AJ268" s="177">
        <f t="shared" si="393"/>
        <v>2.5294185415580026</v>
      </c>
      <c r="AL268" s="559">
        <f t="shared" si="394"/>
        <v>500</v>
      </c>
      <c r="AM268" s="469">
        <f t="shared" si="395"/>
        <v>350</v>
      </c>
      <c r="AO268">
        <f t="shared" si="368"/>
        <v>500</v>
      </c>
      <c r="AP268">
        <f t="shared" si="369"/>
        <v>350</v>
      </c>
      <c r="AR268" s="5">
        <f t="shared" si="403"/>
        <v>2.8571428571428572</v>
      </c>
      <c r="AS268" s="5">
        <f t="shared" si="377"/>
        <v>1.0766473657484192</v>
      </c>
      <c r="AT268" s="5">
        <f t="shared" si="378"/>
        <v>1.780495491394438</v>
      </c>
      <c r="AU268" s="177">
        <f t="shared" si="379"/>
        <v>0.37682657801194674</v>
      </c>
      <c r="AW268" s="5">
        <f t="shared" si="396"/>
        <v>10.014141569481827</v>
      </c>
      <c r="AX268" s="5">
        <f t="shared" si="397"/>
        <v>10.034779746717467</v>
      </c>
      <c r="AY268" s="5">
        <f t="shared" si="398"/>
        <v>0.70947993256842168</v>
      </c>
      <c r="AZ268" s="5">
        <f t="shared" si="399"/>
        <v>0.65717951863516766</v>
      </c>
      <c r="BA268" s="5">
        <f t="shared" si="400"/>
        <v>1.2310959538021398</v>
      </c>
      <c r="BB268" s="5"/>
      <c r="CE268" s="576">
        <f t="shared" si="401"/>
        <v>-50</v>
      </c>
    </row>
    <row r="269" spans="5:83" x14ac:dyDescent="0.25">
      <c r="E269" s="174">
        <v>51</v>
      </c>
      <c r="F269" s="221">
        <f t="shared" si="402"/>
        <v>0.51</v>
      </c>
      <c r="G269" s="221">
        <f t="shared" si="380"/>
        <v>0.1275</v>
      </c>
      <c r="H269" s="221">
        <f t="shared" si="381"/>
        <v>7.65</v>
      </c>
      <c r="I269" s="221">
        <f t="shared" si="382"/>
        <v>0.89250000000000007</v>
      </c>
      <c r="J269" s="555">
        <f t="shared" si="343"/>
        <v>17</v>
      </c>
      <c r="K269" s="451">
        <f t="shared" si="344"/>
        <v>23.85</v>
      </c>
      <c r="L269" s="451">
        <f t="shared" si="345"/>
        <v>40.85</v>
      </c>
      <c r="M269" s="451"/>
      <c r="N269" s="221">
        <f t="shared" si="346"/>
        <v>0.58384332925336602</v>
      </c>
      <c r="O269" s="176">
        <f t="shared" si="383"/>
        <v>17.310083304408188</v>
      </c>
      <c r="P269" s="176">
        <f t="shared" si="384"/>
        <v>2.0195097188476221</v>
      </c>
      <c r="Q269" s="221">
        <f t="shared" si="349"/>
        <v>1.1540055536272125</v>
      </c>
      <c r="R269" s="221">
        <f t="shared" si="385"/>
        <v>2.4728690434868841</v>
      </c>
      <c r="S269" s="221">
        <f t="shared" si="386"/>
        <v>15</v>
      </c>
      <c r="T269" s="221">
        <f t="shared" si="387"/>
        <v>1.8119496855345916</v>
      </c>
      <c r="U269" s="221">
        <f t="shared" si="353"/>
        <v>0.74609692933777294</v>
      </c>
      <c r="V269" s="221">
        <f t="shared" si="354"/>
        <v>0.53180913202273117</v>
      </c>
      <c r="W269" s="201">
        <f t="shared" si="355"/>
        <v>350</v>
      </c>
      <c r="X269" s="451">
        <f t="shared" si="356"/>
        <v>350</v>
      </c>
      <c r="Z269" s="221">
        <f t="shared" si="357"/>
        <v>4.0511577948192743</v>
      </c>
      <c r="AA269" s="177">
        <f t="shared" si="358"/>
        <v>1.1890190592760972</v>
      </c>
      <c r="AB269" s="177">
        <f t="shared" si="388"/>
        <v>1.1323318705262224</v>
      </c>
      <c r="AC269" s="177"/>
      <c r="AD269" s="177">
        <f t="shared" si="360"/>
        <v>0.24067085953878403</v>
      </c>
      <c r="AE269" s="559">
        <f t="shared" si="389"/>
        <v>3847.6459590379886</v>
      </c>
      <c r="AF269" s="542">
        <f t="shared" si="390"/>
        <v>4.6392002252886505E-2</v>
      </c>
      <c r="AH269" s="177">
        <f t="shared" si="391"/>
        <v>2.640732736903737</v>
      </c>
      <c r="AI269" s="177">
        <f t="shared" si="392"/>
        <v>2.640732736903737</v>
      </c>
      <c r="AJ269" s="177">
        <f t="shared" si="393"/>
        <v>2.5486909162249907</v>
      </c>
      <c r="AL269" s="559">
        <f t="shared" si="394"/>
        <v>510</v>
      </c>
      <c r="AM269" s="469">
        <f t="shared" si="395"/>
        <v>350</v>
      </c>
      <c r="AO269">
        <f t="shared" si="368"/>
        <v>510</v>
      </c>
      <c r="AP269">
        <f t="shared" si="369"/>
        <v>350</v>
      </c>
      <c r="AR269" s="5">
        <f t="shared" si="403"/>
        <v>2.8571428571428572</v>
      </c>
      <c r="AS269" s="5">
        <f t="shared" si="377"/>
        <v>1.0873605387250682</v>
      </c>
      <c r="AT269" s="5">
        <f t="shared" si="378"/>
        <v>1.769782318417789</v>
      </c>
      <c r="AU269" s="177">
        <f t="shared" si="379"/>
        <v>0.38057618855377384</v>
      </c>
      <c r="AW269" s="5">
        <f t="shared" si="396"/>
        <v>10.014141569481827</v>
      </c>
      <c r="AX269" s="5">
        <f t="shared" si="397"/>
        <v>10.409584848484851</v>
      </c>
      <c r="AY269" s="5">
        <f t="shared" si="398"/>
        <v>0.70947993256842168</v>
      </c>
      <c r="AZ269" s="5">
        <f t="shared" si="399"/>
        <v>0.67607957118802853</v>
      </c>
      <c r="BA269" s="5">
        <f t="shared" si="400"/>
        <v>1.2481622666735988</v>
      </c>
      <c r="BB269" s="5"/>
      <c r="CE269" s="576">
        <f t="shared" si="401"/>
        <v>-50</v>
      </c>
    </row>
    <row r="270" spans="5:83" x14ac:dyDescent="0.25">
      <c r="E270" s="174">
        <v>52</v>
      </c>
      <c r="F270" s="221">
        <f t="shared" si="402"/>
        <v>0.52</v>
      </c>
      <c r="G270" s="221">
        <f t="shared" si="380"/>
        <v>0.13</v>
      </c>
      <c r="H270" s="221">
        <f t="shared" si="381"/>
        <v>7.8000000000000007</v>
      </c>
      <c r="I270" s="221">
        <f t="shared" si="382"/>
        <v>0.91</v>
      </c>
      <c r="J270" s="555">
        <f t="shared" si="343"/>
        <v>17</v>
      </c>
      <c r="K270" s="451">
        <f t="shared" si="344"/>
        <v>23.85</v>
      </c>
      <c r="L270" s="451">
        <f t="shared" si="345"/>
        <v>40.85</v>
      </c>
      <c r="M270" s="451"/>
      <c r="N270" s="221">
        <f t="shared" si="346"/>
        <v>0.58384332925336602</v>
      </c>
      <c r="O270" s="176">
        <f t="shared" si="383"/>
        <v>17.310083304408188</v>
      </c>
      <c r="P270" s="176">
        <f t="shared" si="384"/>
        <v>2.0195097188476221</v>
      </c>
      <c r="Q270" s="221">
        <f t="shared" si="349"/>
        <v>1.1540055536272125</v>
      </c>
      <c r="R270" s="221">
        <f t="shared" si="385"/>
        <v>2.4728690434868841</v>
      </c>
      <c r="S270" s="221">
        <f t="shared" si="386"/>
        <v>15</v>
      </c>
      <c r="T270" s="221">
        <f t="shared" si="387"/>
        <v>1.8474781107411522</v>
      </c>
      <c r="U270" s="221">
        <f t="shared" si="353"/>
        <v>0.76072628089341565</v>
      </c>
      <c r="V270" s="221">
        <f t="shared" si="354"/>
        <v>0.54223676206239269</v>
      </c>
      <c r="W270" s="201">
        <f t="shared" si="355"/>
        <v>350</v>
      </c>
      <c r="X270" s="451">
        <f t="shared" si="356"/>
        <v>350</v>
      </c>
      <c r="Z270" s="221">
        <f t="shared" si="357"/>
        <v>4.0511577948192743</v>
      </c>
      <c r="AA270" s="177">
        <f t="shared" si="358"/>
        <v>1.1890190592760972</v>
      </c>
      <c r="AB270" s="177">
        <f t="shared" si="388"/>
        <v>1.1323318705262224</v>
      </c>
      <c r="AC270" s="177"/>
      <c r="AD270" s="177">
        <f t="shared" si="360"/>
        <v>0.24067085953878403</v>
      </c>
      <c r="AE270" s="559">
        <f t="shared" si="389"/>
        <v>3923.0899974504982</v>
      </c>
      <c r="AF270" s="542">
        <f t="shared" si="390"/>
        <v>4.6392002252886505E-2</v>
      </c>
      <c r="AH270" s="177">
        <f t="shared" si="391"/>
        <v>2.6664965932160225</v>
      </c>
      <c r="AI270" s="177">
        <f t="shared" si="392"/>
        <v>2.6664965932160225</v>
      </c>
      <c r="AJ270" s="177">
        <f t="shared" si="393"/>
        <v>2.5677752542340908</v>
      </c>
      <c r="AL270" s="559">
        <f t="shared" si="394"/>
        <v>520</v>
      </c>
      <c r="AM270" s="469">
        <f t="shared" si="395"/>
        <v>350</v>
      </c>
      <c r="AO270">
        <f t="shared" si="368"/>
        <v>520</v>
      </c>
      <c r="AP270">
        <f t="shared" si="369"/>
        <v>350</v>
      </c>
      <c r="AR270" s="5">
        <f t="shared" si="403"/>
        <v>2.8571428571428572</v>
      </c>
      <c r="AS270" s="5">
        <f t="shared" si="377"/>
        <v>1.0979691854418916</v>
      </c>
      <c r="AT270" s="5">
        <f t="shared" si="378"/>
        <v>1.7591736717009656</v>
      </c>
      <c r="AU270" s="177">
        <f t="shared" si="379"/>
        <v>0.38428921490466206</v>
      </c>
      <c r="AW270" s="5">
        <f t="shared" si="396"/>
        <v>10.014141569481827</v>
      </c>
      <c r="AX270" s="5">
        <f t="shared" si="397"/>
        <v>10.791217774049612</v>
      </c>
      <c r="AY270" s="5">
        <f t="shared" si="398"/>
        <v>0.70947993256842168</v>
      </c>
      <c r="AZ270" s="5">
        <f t="shared" si="399"/>
        <v>0.69520536735579741</v>
      </c>
      <c r="BA270" s="5">
        <f t="shared" si="400"/>
        <v>1.2650074452437905</v>
      </c>
      <c r="BB270" s="5"/>
      <c r="CE270" s="576">
        <f t="shared" si="401"/>
        <v>-50</v>
      </c>
    </row>
    <row r="271" spans="5:83" x14ac:dyDescent="0.25">
      <c r="E271" s="174">
        <v>53</v>
      </c>
      <c r="F271" s="221">
        <f t="shared" si="402"/>
        <v>0.53</v>
      </c>
      <c r="G271" s="221">
        <f t="shared" si="380"/>
        <v>0.13250000000000001</v>
      </c>
      <c r="H271" s="221">
        <f t="shared" si="381"/>
        <v>7.95</v>
      </c>
      <c r="I271" s="221">
        <f t="shared" si="382"/>
        <v>0.92749999999999999</v>
      </c>
      <c r="J271" s="555">
        <f t="shared" si="343"/>
        <v>17</v>
      </c>
      <c r="K271" s="451">
        <f t="shared" si="344"/>
        <v>23.85</v>
      </c>
      <c r="L271" s="451">
        <f t="shared" si="345"/>
        <v>40.85</v>
      </c>
      <c r="M271" s="451"/>
      <c r="N271" s="221">
        <f t="shared" si="346"/>
        <v>0.58384332925336602</v>
      </c>
      <c r="O271" s="176">
        <f t="shared" si="383"/>
        <v>17.310083304408188</v>
      </c>
      <c r="P271" s="176">
        <f t="shared" si="384"/>
        <v>2.0195097188476221</v>
      </c>
      <c r="Q271" s="221">
        <f t="shared" si="349"/>
        <v>1.1540055536272125</v>
      </c>
      <c r="R271" s="221">
        <f t="shared" si="385"/>
        <v>2.4728690434868841</v>
      </c>
      <c r="S271" s="221">
        <f t="shared" si="386"/>
        <v>15</v>
      </c>
      <c r="T271" s="221">
        <f t="shared" si="387"/>
        <v>1.8830065359477124</v>
      </c>
      <c r="U271" s="221">
        <f t="shared" si="353"/>
        <v>0.77535563244905814</v>
      </c>
      <c r="V271" s="221">
        <f t="shared" si="354"/>
        <v>0.55266439210205398</v>
      </c>
      <c r="W271" s="201">
        <f t="shared" si="355"/>
        <v>350</v>
      </c>
      <c r="X271" s="451">
        <f t="shared" si="356"/>
        <v>350</v>
      </c>
      <c r="Z271" s="221">
        <f t="shared" si="357"/>
        <v>4.0511577948192743</v>
      </c>
      <c r="AA271" s="177">
        <f t="shared" si="358"/>
        <v>1.1890190592760972</v>
      </c>
      <c r="AB271" s="177">
        <f t="shared" si="388"/>
        <v>1.1323318705262224</v>
      </c>
      <c r="AC271" s="177"/>
      <c r="AD271" s="177">
        <f t="shared" si="360"/>
        <v>0.24067085953878403</v>
      </c>
      <c r="AE271" s="559">
        <f t="shared" si="389"/>
        <v>3998.5340358630078</v>
      </c>
      <c r="AF271" s="542">
        <f t="shared" si="390"/>
        <v>4.6392002252886505E-2</v>
      </c>
      <c r="AH271" s="177">
        <f t="shared" si="391"/>
        <v>2.6920138884318936</v>
      </c>
      <c r="AI271" s="177">
        <f t="shared" si="392"/>
        <v>2.6920138884318936</v>
      </c>
      <c r="AJ271" s="177">
        <f t="shared" si="393"/>
        <v>2.5866769543939956</v>
      </c>
      <c r="AL271" s="559">
        <f t="shared" si="394"/>
        <v>530</v>
      </c>
      <c r="AM271" s="469">
        <f t="shared" si="395"/>
        <v>350</v>
      </c>
      <c r="AO271">
        <f t="shared" si="368"/>
        <v>530</v>
      </c>
      <c r="AP271">
        <f t="shared" si="369"/>
        <v>350</v>
      </c>
      <c r="AR271" s="5">
        <f t="shared" si="403"/>
        <v>2.8571428571428572</v>
      </c>
      <c r="AS271" s="5">
        <f t="shared" si="377"/>
        <v>1.1084763070013679</v>
      </c>
      <c r="AT271" s="5">
        <f t="shared" si="378"/>
        <v>1.7486665501414893</v>
      </c>
      <c r="AU271" s="177">
        <f t="shared" si="379"/>
        <v>0.38796670745047873</v>
      </c>
      <c r="AW271" s="5">
        <f t="shared" si="396"/>
        <v>10.014141569481827</v>
      </c>
      <c r="AX271" s="5">
        <f t="shared" si="397"/>
        <v>11.179678523411747</v>
      </c>
      <c r="AY271" s="5">
        <f t="shared" si="398"/>
        <v>0.70947993256842168</v>
      </c>
      <c r="AZ271" s="5">
        <f t="shared" si="399"/>
        <v>0.71455690713847453</v>
      </c>
      <c r="BA271" s="5">
        <f t="shared" si="400"/>
        <v>1.2816336263266106</v>
      </c>
      <c r="BB271" s="5"/>
      <c r="CE271" s="576">
        <f t="shared" si="401"/>
        <v>-50</v>
      </c>
    </row>
    <row r="272" spans="5:83" x14ac:dyDescent="0.25">
      <c r="E272" s="174">
        <v>54</v>
      </c>
      <c r="F272" s="221">
        <f t="shared" si="402"/>
        <v>0.54</v>
      </c>
      <c r="G272" s="221">
        <f t="shared" si="380"/>
        <v>0.13500000000000001</v>
      </c>
      <c r="H272" s="221">
        <f t="shared" si="381"/>
        <v>8.1000000000000014</v>
      </c>
      <c r="I272" s="221">
        <f t="shared" si="382"/>
        <v>0.94500000000000006</v>
      </c>
      <c r="J272" s="555">
        <f t="shared" si="343"/>
        <v>17</v>
      </c>
      <c r="K272" s="451">
        <f t="shared" si="344"/>
        <v>23.85</v>
      </c>
      <c r="L272" s="451">
        <f t="shared" si="345"/>
        <v>40.85</v>
      </c>
      <c r="M272" s="451"/>
      <c r="N272" s="221">
        <f t="shared" si="346"/>
        <v>0.58384332925336602</v>
      </c>
      <c r="O272" s="176">
        <f t="shared" si="383"/>
        <v>17.310083304408188</v>
      </c>
      <c r="P272" s="176">
        <f t="shared" si="384"/>
        <v>2.0195097188476221</v>
      </c>
      <c r="Q272" s="221">
        <f t="shared" si="349"/>
        <v>1.1540055536272125</v>
      </c>
      <c r="R272" s="221">
        <f t="shared" si="385"/>
        <v>2.4728690434868841</v>
      </c>
      <c r="S272" s="221">
        <f t="shared" si="386"/>
        <v>15</v>
      </c>
      <c r="T272" s="221">
        <f t="shared" si="387"/>
        <v>1.9185349611542737</v>
      </c>
      <c r="U272" s="221">
        <f t="shared" si="353"/>
        <v>0.78998498400470096</v>
      </c>
      <c r="V272" s="221">
        <f t="shared" si="354"/>
        <v>0.5630920221417155</v>
      </c>
      <c r="W272" s="201">
        <f t="shared" si="355"/>
        <v>350</v>
      </c>
      <c r="X272" s="451">
        <f t="shared" si="356"/>
        <v>350</v>
      </c>
      <c r="Z272" s="221">
        <f t="shared" si="357"/>
        <v>4.0511577948192743</v>
      </c>
      <c r="AA272" s="177">
        <f t="shared" si="358"/>
        <v>1.1890190592760972</v>
      </c>
      <c r="AB272" s="177">
        <f t="shared" si="388"/>
        <v>1.1323318705262224</v>
      </c>
      <c r="AC272" s="177"/>
      <c r="AD272" s="177">
        <f t="shared" si="360"/>
        <v>0.24067085953878403</v>
      </c>
      <c r="AE272" s="559">
        <f t="shared" si="389"/>
        <v>4073.9780742755174</v>
      </c>
      <c r="AF272" s="542">
        <f t="shared" si="390"/>
        <v>4.6392002252886505E-2</v>
      </c>
      <c r="AH272" s="177">
        <f t="shared" si="391"/>
        <v>2.717291568710976</v>
      </c>
      <c r="AI272" s="177">
        <f t="shared" si="392"/>
        <v>2.717291568710976</v>
      </c>
      <c r="AJ272" s="177">
        <f t="shared" si="393"/>
        <v>2.6054011620081305</v>
      </c>
      <c r="AL272" s="559">
        <f t="shared" si="394"/>
        <v>540</v>
      </c>
      <c r="AM272" s="469">
        <f t="shared" si="395"/>
        <v>350</v>
      </c>
      <c r="AO272">
        <f t="shared" si="368"/>
        <v>540</v>
      </c>
      <c r="AP272">
        <f t="shared" si="369"/>
        <v>350</v>
      </c>
      <c r="AR272" s="5">
        <f t="shared" si="403"/>
        <v>2.8571428571428572</v>
      </c>
      <c r="AS272" s="5">
        <f t="shared" si="377"/>
        <v>1.1188847635868724</v>
      </c>
      <c r="AT272" s="5">
        <f t="shared" si="378"/>
        <v>1.7382580935559848</v>
      </c>
      <c r="AU272" s="177">
        <f t="shared" si="379"/>
        <v>0.3916096672554053</v>
      </c>
      <c r="AW272" s="5">
        <f t="shared" si="396"/>
        <v>10.014141569481827</v>
      </c>
      <c r="AX272" s="5">
        <f t="shared" si="397"/>
        <v>11.574967096571253</v>
      </c>
      <c r="AY272" s="5">
        <f t="shared" si="398"/>
        <v>0.70947993256842168</v>
      </c>
      <c r="AZ272" s="5">
        <f t="shared" si="399"/>
        <v>0.73413419053605966</v>
      </c>
      <c r="BA272" s="5">
        <f t="shared" si="400"/>
        <v>1.2980428859619308</v>
      </c>
      <c r="BB272" s="5"/>
      <c r="CE272" s="576">
        <f t="shared" si="401"/>
        <v>-50</v>
      </c>
    </row>
    <row r="273" spans="5:83" x14ac:dyDescent="0.25">
      <c r="E273" s="174">
        <v>55</v>
      </c>
      <c r="F273" s="221">
        <f t="shared" si="402"/>
        <v>0.55000000000000004</v>
      </c>
      <c r="G273" s="221">
        <f t="shared" si="380"/>
        <v>0.13750000000000001</v>
      </c>
      <c r="H273" s="221">
        <f t="shared" si="381"/>
        <v>8.25</v>
      </c>
      <c r="I273" s="221">
        <f t="shared" si="382"/>
        <v>0.96250000000000013</v>
      </c>
      <c r="J273" s="555">
        <f t="shared" si="343"/>
        <v>17</v>
      </c>
      <c r="K273" s="451">
        <f t="shared" si="344"/>
        <v>23.85</v>
      </c>
      <c r="L273" s="451">
        <f t="shared" si="345"/>
        <v>40.85</v>
      </c>
      <c r="M273" s="451"/>
      <c r="N273" s="221">
        <f t="shared" si="346"/>
        <v>0.58384332925336602</v>
      </c>
      <c r="O273" s="176">
        <f t="shared" si="383"/>
        <v>17.310083304408188</v>
      </c>
      <c r="P273" s="176">
        <f t="shared" si="384"/>
        <v>2.0195097188476221</v>
      </c>
      <c r="Q273" s="221">
        <f t="shared" si="349"/>
        <v>1.1540055536272125</v>
      </c>
      <c r="R273" s="221">
        <f t="shared" si="385"/>
        <v>2.4728690434868841</v>
      </c>
      <c r="S273" s="221">
        <f t="shared" si="386"/>
        <v>15</v>
      </c>
      <c r="T273" s="221">
        <f t="shared" si="387"/>
        <v>1.9540633863608339</v>
      </c>
      <c r="U273" s="221">
        <f t="shared" si="353"/>
        <v>0.80461433556034345</v>
      </c>
      <c r="V273" s="221">
        <f t="shared" si="354"/>
        <v>0.57351965218137679</v>
      </c>
      <c r="W273" s="201">
        <f t="shared" si="355"/>
        <v>350</v>
      </c>
      <c r="X273" s="451">
        <f t="shared" si="356"/>
        <v>350</v>
      </c>
      <c r="Z273" s="221">
        <f t="shared" si="357"/>
        <v>4.0511577948192743</v>
      </c>
      <c r="AA273" s="177">
        <f t="shared" si="358"/>
        <v>1.1890190592760972</v>
      </c>
      <c r="AB273" s="177">
        <f t="shared" si="388"/>
        <v>1.1323318705262224</v>
      </c>
      <c r="AC273" s="177"/>
      <c r="AD273" s="177">
        <f t="shared" si="360"/>
        <v>0.24067085953878403</v>
      </c>
      <c r="AE273" s="559">
        <f t="shared" si="389"/>
        <v>4149.4221126880275</v>
      </c>
      <c r="AF273" s="542">
        <f t="shared" si="390"/>
        <v>4.6392002252886505E-2</v>
      </c>
      <c r="AH273" s="177">
        <f t="shared" si="391"/>
        <v>2.7423362600646382</v>
      </c>
      <c r="AI273" s="177">
        <f t="shared" si="392"/>
        <v>2.7423362600646382</v>
      </c>
      <c r="AJ273" s="177">
        <f t="shared" si="393"/>
        <v>2.6239527852330653</v>
      </c>
      <c r="AL273" s="559">
        <f t="shared" si="394"/>
        <v>550</v>
      </c>
      <c r="AM273" s="469">
        <f t="shared" si="395"/>
        <v>350</v>
      </c>
      <c r="AO273">
        <f t="shared" si="368"/>
        <v>550</v>
      </c>
      <c r="AP273">
        <f t="shared" si="369"/>
        <v>350</v>
      </c>
      <c r="AR273" s="5">
        <f t="shared" si="403"/>
        <v>2.8571428571428572</v>
      </c>
      <c r="AS273" s="5">
        <f t="shared" si="377"/>
        <v>1.1291972835560276</v>
      </c>
      <c r="AT273" s="5">
        <f t="shared" si="378"/>
        <v>1.7279455735868297</v>
      </c>
      <c r="AU273" s="177">
        <f t="shared" si="379"/>
        <v>0.39521904924460965</v>
      </c>
      <c r="AW273" s="5">
        <f t="shared" si="396"/>
        <v>10.014141569481827</v>
      </c>
      <c r="AX273" s="5">
        <f t="shared" si="397"/>
        <v>11.977083493528138</v>
      </c>
      <c r="AY273" s="5">
        <f t="shared" si="398"/>
        <v>0.70947993256842168</v>
      </c>
      <c r="AZ273" s="5">
        <f t="shared" si="399"/>
        <v>0.75393721754855303</v>
      </c>
      <c r="BA273" s="5">
        <f t="shared" si="400"/>
        <v>1.3142372422430275</v>
      </c>
      <c r="BB273" s="5"/>
      <c r="CE273" s="576">
        <f t="shared" si="401"/>
        <v>-50</v>
      </c>
    </row>
    <row r="274" spans="5:83" x14ac:dyDescent="0.25">
      <c r="E274" s="174">
        <v>56</v>
      </c>
      <c r="F274" s="221">
        <f t="shared" si="402"/>
        <v>0.56000000000000005</v>
      </c>
      <c r="G274" s="221">
        <f t="shared" si="380"/>
        <v>0.14000000000000001</v>
      </c>
      <c r="H274" s="221">
        <f t="shared" si="381"/>
        <v>8.4</v>
      </c>
      <c r="I274" s="221">
        <f t="shared" si="382"/>
        <v>0.98000000000000009</v>
      </c>
      <c r="J274" s="555">
        <f t="shared" si="343"/>
        <v>17</v>
      </c>
      <c r="K274" s="451">
        <f t="shared" si="344"/>
        <v>23.85</v>
      </c>
      <c r="L274" s="451">
        <f t="shared" si="345"/>
        <v>40.85</v>
      </c>
      <c r="M274" s="451"/>
      <c r="N274" s="221">
        <f t="shared" si="346"/>
        <v>0.58384332925336602</v>
      </c>
      <c r="O274" s="176">
        <f t="shared" si="383"/>
        <v>17.310083304408188</v>
      </c>
      <c r="P274" s="176">
        <f t="shared" si="384"/>
        <v>2.0195097188476221</v>
      </c>
      <c r="Q274" s="221">
        <f t="shared" si="349"/>
        <v>1.1540055536272125</v>
      </c>
      <c r="R274" s="221">
        <f t="shared" si="385"/>
        <v>2.4728690434868841</v>
      </c>
      <c r="S274" s="221">
        <f t="shared" si="386"/>
        <v>15</v>
      </c>
      <c r="T274" s="221">
        <f t="shared" si="387"/>
        <v>1.9895918115673945</v>
      </c>
      <c r="U274" s="221">
        <f t="shared" si="353"/>
        <v>0.81924368711598594</v>
      </c>
      <c r="V274" s="221">
        <f t="shared" si="354"/>
        <v>0.58394728222103809</v>
      </c>
      <c r="W274" s="201">
        <f t="shared" si="355"/>
        <v>350</v>
      </c>
      <c r="X274" s="451">
        <f t="shared" si="356"/>
        <v>350</v>
      </c>
      <c r="Z274" s="221">
        <f t="shared" si="357"/>
        <v>4.0511577948192743</v>
      </c>
      <c r="AA274" s="177">
        <f t="shared" si="358"/>
        <v>1.1890190592760972</v>
      </c>
      <c r="AB274" s="177">
        <f t="shared" si="388"/>
        <v>1.1323318705262224</v>
      </c>
      <c r="AC274" s="177"/>
      <c r="AD274" s="177">
        <f t="shared" si="360"/>
        <v>0.24067085953878403</v>
      </c>
      <c r="AE274" s="559">
        <f t="shared" si="389"/>
        <v>4224.8661511005366</v>
      </c>
      <c r="AF274" s="542">
        <f t="shared" si="390"/>
        <v>4.6392002252886505E-2</v>
      </c>
      <c r="AH274" s="177">
        <f t="shared" si="391"/>
        <v>2.767154288640743</v>
      </c>
      <c r="AI274" s="177">
        <f t="shared" si="392"/>
        <v>2.767154288640743</v>
      </c>
      <c r="AJ274" s="177">
        <f t="shared" si="393"/>
        <v>2.6423365101042542</v>
      </c>
      <c r="AL274" s="559">
        <f t="shared" si="394"/>
        <v>560</v>
      </c>
      <c r="AM274" s="469">
        <f t="shared" si="395"/>
        <v>350</v>
      </c>
      <c r="AO274">
        <f t="shared" si="368"/>
        <v>560</v>
      </c>
      <c r="AP274">
        <f t="shared" si="369"/>
        <v>350</v>
      </c>
      <c r="AR274" s="5">
        <f t="shared" si="403"/>
        <v>2.8571428571428572</v>
      </c>
      <c r="AS274" s="5">
        <f t="shared" si="377"/>
        <v>1.1394164717932471</v>
      </c>
      <c r="AT274" s="5">
        <f t="shared" si="378"/>
        <v>1.7177263853496101</v>
      </c>
      <c r="AU274" s="177">
        <f t="shared" si="379"/>
        <v>0.39879576512763648</v>
      </c>
      <c r="AW274" s="5">
        <f t="shared" si="396"/>
        <v>10.014141569481827</v>
      </c>
      <c r="AX274" s="5">
        <f t="shared" si="397"/>
        <v>12.38602771428239</v>
      </c>
      <c r="AY274" s="5">
        <f t="shared" si="398"/>
        <v>0.70947993256842168</v>
      </c>
      <c r="AZ274" s="5">
        <f t="shared" si="399"/>
        <v>0.77396598817595441</v>
      </c>
      <c r="BA274" s="5">
        <f t="shared" si="400"/>
        <v>1.3302186579632072</v>
      </c>
      <c r="BB274" s="5"/>
      <c r="CE274" s="576">
        <f t="shared" si="401"/>
        <v>-50</v>
      </c>
    </row>
    <row r="275" spans="5:83" x14ac:dyDescent="0.25">
      <c r="E275" s="174">
        <v>57</v>
      </c>
      <c r="F275" s="221">
        <f t="shared" si="402"/>
        <v>0.56999999999999995</v>
      </c>
      <c r="G275" s="221">
        <f t="shared" si="380"/>
        <v>0.14249999999999999</v>
      </c>
      <c r="H275" s="221">
        <f t="shared" si="381"/>
        <v>8.5499999999999989</v>
      </c>
      <c r="I275" s="221">
        <f t="shared" si="382"/>
        <v>0.99749999999999994</v>
      </c>
      <c r="J275" s="555">
        <f t="shared" si="343"/>
        <v>17</v>
      </c>
      <c r="K275" s="451">
        <f t="shared" si="344"/>
        <v>23.85</v>
      </c>
      <c r="L275" s="451">
        <f t="shared" si="345"/>
        <v>40.85</v>
      </c>
      <c r="M275" s="451"/>
      <c r="N275" s="221">
        <f t="shared" si="346"/>
        <v>0.58384332925336602</v>
      </c>
      <c r="O275" s="176">
        <f t="shared" si="383"/>
        <v>17.310083304408188</v>
      </c>
      <c r="P275" s="176">
        <f t="shared" si="384"/>
        <v>2.0195097188476221</v>
      </c>
      <c r="Q275" s="221">
        <f t="shared" si="349"/>
        <v>1.1540055536272125</v>
      </c>
      <c r="R275" s="221">
        <f t="shared" si="385"/>
        <v>2.4728690434868841</v>
      </c>
      <c r="S275" s="221">
        <f t="shared" si="386"/>
        <v>15</v>
      </c>
      <c r="T275" s="221">
        <f t="shared" si="387"/>
        <v>2.0251202367739549</v>
      </c>
      <c r="U275" s="221">
        <f t="shared" si="353"/>
        <v>0.83387303867162854</v>
      </c>
      <c r="V275" s="221">
        <f t="shared" si="354"/>
        <v>0.5943749122606995</v>
      </c>
      <c r="W275" s="201">
        <f t="shared" si="355"/>
        <v>350</v>
      </c>
      <c r="X275" s="451">
        <f t="shared" si="356"/>
        <v>350</v>
      </c>
      <c r="Z275" s="221">
        <f t="shared" si="357"/>
        <v>4.0511577948192743</v>
      </c>
      <c r="AA275" s="177">
        <f t="shared" si="358"/>
        <v>1.1890190592760972</v>
      </c>
      <c r="AB275" s="177">
        <f t="shared" si="388"/>
        <v>1.1323318705262224</v>
      </c>
      <c r="AC275" s="177"/>
      <c r="AD275" s="177">
        <f t="shared" si="360"/>
        <v>0.24067085953878403</v>
      </c>
      <c r="AE275" s="559">
        <f t="shared" si="389"/>
        <v>4300.3101895130449</v>
      </c>
      <c r="AF275" s="542">
        <f t="shared" si="390"/>
        <v>4.6392002252886505E-2</v>
      </c>
      <c r="AH275" s="177">
        <f t="shared" si="391"/>
        <v>2.7917516993852458</v>
      </c>
      <c r="AI275" s="177">
        <f t="shared" si="392"/>
        <v>2.7917516993852458</v>
      </c>
      <c r="AJ275" s="177">
        <f t="shared" si="393"/>
        <v>2.6605568143594418</v>
      </c>
      <c r="AL275" s="559">
        <f t="shared" si="394"/>
        <v>570</v>
      </c>
      <c r="AM275" s="469">
        <f t="shared" si="395"/>
        <v>350</v>
      </c>
      <c r="AO275">
        <f t="shared" si="368"/>
        <v>570</v>
      </c>
      <c r="AP275">
        <f t="shared" si="369"/>
        <v>350</v>
      </c>
      <c r="AR275" s="5">
        <f t="shared" si="403"/>
        <v>2.8571428571428572</v>
      </c>
      <c r="AS275" s="5">
        <f t="shared" si="377"/>
        <v>1.1495448173939244</v>
      </c>
      <c r="AT275" s="5">
        <f t="shared" si="378"/>
        <v>1.7075980397489328</v>
      </c>
      <c r="AU275" s="177">
        <f t="shared" si="379"/>
        <v>0.40234068608787354</v>
      </c>
      <c r="AW275" s="5">
        <f t="shared" si="396"/>
        <v>10.014141569481827</v>
      </c>
      <c r="AX275" s="5">
        <f t="shared" si="397"/>
        <v>12.801799758834019</v>
      </c>
      <c r="AY275" s="5">
        <f t="shared" si="398"/>
        <v>0.70947993256842168</v>
      </c>
      <c r="AZ275" s="5">
        <f t="shared" si="399"/>
        <v>0.79422050241826381</v>
      </c>
      <c r="BA275" s="5">
        <f t="shared" si="400"/>
        <v>1.3459890430962176</v>
      </c>
      <c r="BB275" s="5"/>
      <c r="CE275" s="576">
        <f t="shared" si="401"/>
        <v>-50</v>
      </c>
    </row>
    <row r="276" spans="5:83" x14ac:dyDescent="0.25">
      <c r="E276" s="174">
        <v>58</v>
      </c>
      <c r="F276" s="221">
        <f t="shared" si="402"/>
        <v>0.57999999999999996</v>
      </c>
      <c r="G276" s="221">
        <f t="shared" si="380"/>
        <v>0.14499999999999999</v>
      </c>
      <c r="H276" s="221">
        <f t="shared" si="381"/>
        <v>8.6999999999999993</v>
      </c>
      <c r="I276" s="221">
        <f t="shared" si="382"/>
        <v>1.0149999999999999</v>
      </c>
      <c r="J276" s="555">
        <f t="shared" si="343"/>
        <v>17</v>
      </c>
      <c r="K276" s="451">
        <f t="shared" si="344"/>
        <v>23.85</v>
      </c>
      <c r="L276" s="451">
        <f t="shared" si="345"/>
        <v>40.85</v>
      </c>
      <c r="M276" s="451"/>
      <c r="N276" s="221">
        <f t="shared" si="346"/>
        <v>0.58384332925336602</v>
      </c>
      <c r="O276" s="176">
        <f t="shared" si="383"/>
        <v>17.310083304408188</v>
      </c>
      <c r="P276" s="176">
        <f t="shared" si="384"/>
        <v>2.0195097188476221</v>
      </c>
      <c r="Q276" s="221">
        <f t="shared" si="349"/>
        <v>1.1540055536272125</v>
      </c>
      <c r="R276" s="221">
        <f t="shared" si="385"/>
        <v>2.4728690434868841</v>
      </c>
      <c r="S276" s="221">
        <f t="shared" si="386"/>
        <v>15</v>
      </c>
      <c r="T276" s="221">
        <f t="shared" si="387"/>
        <v>2.0606486619805158</v>
      </c>
      <c r="U276" s="221">
        <f t="shared" si="353"/>
        <v>0.84850239022727114</v>
      </c>
      <c r="V276" s="221">
        <f t="shared" si="354"/>
        <v>0.60480254230036101</v>
      </c>
      <c r="W276" s="201">
        <f t="shared" si="355"/>
        <v>350</v>
      </c>
      <c r="X276" s="451">
        <f t="shared" si="356"/>
        <v>350</v>
      </c>
      <c r="Z276" s="221">
        <f t="shared" si="357"/>
        <v>4.0511577948192743</v>
      </c>
      <c r="AA276" s="177">
        <f t="shared" si="358"/>
        <v>1.1890190592760972</v>
      </c>
      <c r="AB276" s="177">
        <f t="shared" si="388"/>
        <v>1.1323318705262224</v>
      </c>
      <c r="AC276" s="177"/>
      <c r="AD276" s="177">
        <f t="shared" si="360"/>
        <v>0.24067085953878403</v>
      </c>
      <c r="AE276" s="559">
        <f t="shared" si="389"/>
        <v>4375.7542279255549</v>
      </c>
      <c r="AF276" s="542">
        <f t="shared" si="390"/>
        <v>4.6392002252886505E-2</v>
      </c>
      <c r="AH276" s="177">
        <f t="shared" si="391"/>
        <v>2.8161342732366221</v>
      </c>
      <c r="AI276" s="177">
        <f t="shared" si="392"/>
        <v>2.8161342732366221</v>
      </c>
      <c r="AJ276" s="177">
        <f t="shared" si="393"/>
        <v>2.6786179801752761</v>
      </c>
      <c r="AL276" s="559">
        <f t="shared" si="394"/>
        <v>580</v>
      </c>
      <c r="AM276" s="469">
        <f t="shared" si="395"/>
        <v>350</v>
      </c>
      <c r="AO276">
        <f t="shared" si="368"/>
        <v>580</v>
      </c>
      <c r="AP276">
        <f t="shared" si="369"/>
        <v>350</v>
      </c>
      <c r="AR276" s="5">
        <f t="shared" si="403"/>
        <v>2.8571428571428572</v>
      </c>
      <c r="AS276" s="5">
        <f t="shared" si="377"/>
        <v>1.1595847007444917</v>
      </c>
      <c r="AT276" s="5">
        <f t="shared" si="378"/>
        <v>1.6975581563983655</v>
      </c>
      <c r="AU276" s="177">
        <f t="shared" si="379"/>
        <v>0.40585464526057208</v>
      </c>
      <c r="AW276" s="5">
        <f t="shared" si="396"/>
        <v>10.014141569481827</v>
      </c>
      <c r="AX276" s="5">
        <f t="shared" si="397"/>
        <v>13.224399627183022</v>
      </c>
      <c r="AY276" s="5">
        <f t="shared" si="398"/>
        <v>0.70947993256842168</v>
      </c>
      <c r="AZ276" s="5">
        <f t="shared" si="399"/>
        <v>0.81470076027548166</v>
      </c>
      <c r="BA276" s="5">
        <f t="shared" si="400"/>
        <v>1.3615502571236426</v>
      </c>
      <c r="BB276" s="5"/>
      <c r="CE276" s="576">
        <f t="shared" si="401"/>
        <v>-50</v>
      </c>
    </row>
    <row r="277" spans="5:83" x14ac:dyDescent="0.25">
      <c r="E277" s="174">
        <v>59</v>
      </c>
      <c r="F277" s="221">
        <f t="shared" si="402"/>
        <v>0.59</v>
      </c>
      <c r="G277" s="221">
        <f t="shared" si="380"/>
        <v>0.14749999999999999</v>
      </c>
      <c r="H277" s="221">
        <f t="shared" si="381"/>
        <v>8.85</v>
      </c>
      <c r="I277" s="221">
        <f t="shared" si="382"/>
        <v>1.0325</v>
      </c>
      <c r="J277" s="555">
        <f t="shared" si="343"/>
        <v>17</v>
      </c>
      <c r="K277" s="451">
        <f t="shared" si="344"/>
        <v>23.85</v>
      </c>
      <c r="L277" s="451">
        <f t="shared" si="345"/>
        <v>40.85</v>
      </c>
      <c r="M277" s="451"/>
      <c r="N277" s="221">
        <f t="shared" si="346"/>
        <v>0.58384332925336602</v>
      </c>
      <c r="O277" s="176">
        <f t="shared" si="383"/>
        <v>17.310083304408188</v>
      </c>
      <c r="P277" s="176">
        <f t="shared" si="384"/>
        <v>2.0195097188476221</v>
      </c>
      <c r="Q277" s="221">
        <f t="shared" si="349"/>
        <v>1.1540055536272125</v>
      </c>
      <c r="R277" s="221">
        <f t="shared" si="385"/>
        <v>2.4728690434868841</v>
      </c>
      <c r="S277" s="221">
        <f t="shared" si="386"/>
        <v>15</v>
      </c>
      <c r="T277" s="221">
        <f t="shared" si="387"/>
        <v>2.0961770871870762</v>
      </c>
      <c r="U277" s="221">
        <f t="shared" si="353"/>
        <v>0.86313174178291374</v>
      </c>
      <c r="V277" s="221">
        <f t="shared" si="354"/>
        <v>0.61523017234002231</v>
      </c>
      <c r="W277" s="201">
        <f t="shared" si="355"/>
        <v>350</v>
      </c>
      <c r="X277" s="451">
        <f t="shared" si="356"/>
        <v>350</v>
      </c>
      <c r="Z277" s="221">
        <f t="shared" si="357"/>
        <v>4.0511577948192743</v>
      </c>
      <c r="AA277" s="177">
        <f t="shared" si="358"/>
        <v>1.1890190592760972</v>
      </c>
      <c r="AB277" s="177">
        <f t="shared" si="388"/>
        <v>1.1323318705262224</v>
      </c>
      <c r="AC277" s="177"/>
      <c r="AD277" s="177">
        <f t="shared" si="360"/>
        <v>0.24067085953878403</v>
      </c>
      <c r="AE277" s="559">
        <f t="shared" si="389"/>
        <v>4451.198266338065</v>
      </c>
      <c r="AF277" s="542">
        <f t="shared" si="390"/>
        <v>4.6392002252886505E-2</v>
      </c>
      <c r="AH277" s="177">
        <f t="shared" si="391"/>
        <v>2.8403075429916931</v>
      </c>
      <c r="AI277" s="177">
        <f t="shared" si="392"/>
        <v>2.8403075429916931</v>
      </c>
      <c r="AJ277" s="177">
        <f t="shared" si="393"/>
        <v>2.6965241059197727</v>
      </c>
      <c r="AL277" s="559">
        <f t="shared" si="394"/>
        <v>590</v>
      </c>
      <c r="AM277" s="469">
        <f t="shared" si="395"/>
        <v>350</v>
      </c>
      <c r="AO277">
        <f t="shared" si="368"/>
        <v>590</v>
      </c>
      <c r="AP277">
        <f t="shared" si="369"/>
        <v>350</v>
      </c>
      <c r="AR277" s="5">
        <f t="shared" si="403"/>
        <v>2.8571428571428572</v>
      </c>
      <c r="AS277" s="5">
        <f t="shared" si="377"/>
        <v>1.169538400055403</v>
      </c>
      <c r="AT277" s="5">
        <f t="shared" si="378"/>
        <v>1.6876044570874542</v>
      </c>
      <c r="AU277" s="177">
        <f t="shared" si="379"/>
        <v>0.40933844001939101</v>
      </c>
      <c r="AW277" s="5">
        <f t="shared" si="396"/>
        <v>10.014141569481827</v>
      </c>
      <c r="AX277" s="5">
        <f t="shared" si="397"/>
        <v>13.6538273193294</v>
      </c>
      <c r="AY277" s="5">
        <f t="shared" si="398"/>
        <v>0.70947993256842168</v>
      </c>
      <c r="AZ277" s="5">
        <f t="shared" si="399"/>
        <v>0.83540676174760753</v>
      </c>
      <c r="BA277" s="5">
        <f t="shared" si="400"/>
        <v>1.3769041112211988</v>
      </c>
      <c r="BB277" s="5"/>
      <c r="CE277" s="576">
        <f t="shared" si="401"/>
        <v>-50</v>
      </c>
    </row>
    <row r="278" spans="5:83" x14ac:dyDescent="0.25">
      <c r="E278" s="174">
        <v>60</v>
      </c>
      <c r="F278" s="221">
        <f t="shared" si="402"/>
        <v>0.6</v>
      </c>
      <c r="G278" s="221">
        <f t="shared" si="380"/>
        <v>0.15</v>
      </c>
      <c r="H278" s="221">
        <f t="shared" si="381"/>
        <v>9</v>
      </c>
      <c r="I278" s="221">
        <f t="shared" si="382"/>
        <v>1.05</v>
      </c>
      <c r="J278" s="555">
        <f t="shared" si="343"/>
        <v>17</v>
      </c>
      <c r="K278" s="451">
        <f t="shared" si="344"/>
        <v>23.85</v>
      </c>
      <c r="L278" s="451">
        <f t="shared" si="345"/>
        <v>40.85</v>
      </c>
      <c r="M278" s="451"/>
      <c r="N278" s="221">
        <f t="shared" si="346"/>
        <v>0.58384332925336602</v>
      </c>
      <c r="O278" s="176">
        <f t="shared" si="383"/>
        <v>17.310083304408188</v>
      </c>
      <c r="P278" s="176">
        <f t="shared" si="384"/>
        <v>2.0195097188476221</v>
      </c>
      <c r="Q278" s="221">
        <f t="shared" si="349"/>
        <v>1.1540055536272125</v>
      </c>
      <c r="R278" s="221">
        <f t="shared" si="385"/>
        <v>2.4728690434868841</v>
      </c>
      <c r="S278" s="221">
        <f t="shared" si="386"/>
        <v>15</v>
      </c>
      <c r="T278" s="221">
        <f t="shared" si="387"/>
        <v>2.131705512393637</v>
      </c>
      <c r="U278" s="221">
        <f t="shared" si="353"/>
        <v>0.87776109333855645</v>
      </c>
      <c r="V278" s="221">
        <f t="shared" si="354"/>
        <v>0.62565780237968383</v>
      </c>
      <c r="W278" s="201">
        <f t="shared" si="355"/>
        <v>350</v>
      </c>
      <c r="X278" s="451">
        <f t="shared" si="356"/>
        <v>350</v>
      </c>
      <c r="Z278" s="221">
        <f t="shared" si="357"/>
        <v>4.0511577948192743</v>
      </c>
      <c r="AA278" s="177">
        <f t="shared" si="358"/>
        <v>1.1890190592760972</v>
      </c>
      <c r="AB278" s="177">
        <f t="shared" si="388"/>
        <v>1.1323318705262224</v>
      </c>
      <c r="AC278" s="177"/>
      <c r="AD278" s="177">
        <f t="shared" si="360"/>
        <v>0.24067085953878403</v>
      </c>
      <c r="AE278" s="559">
        <f t="shared" si="389"/>
        <v>4526.642304750575</v>
      </c>
      <c r="AF278" s="542">
        <f t="shared" si="390"/>
        <v>4.6392002252886505E-2</v>
      </c>
      <c r="AH278" s="177">
        <f t="shared" si="391"/>
        <v>2.8642768079662031</v>
      </c>
      <c r="AI278" s="177">
        <f t="shared" si="392"/>
        <v>2.8642768079662031</v>
      </c>
      <c r="AJ278" s="177">
        <f t="shared" si="393"/>
        <v>2.7142791170120022</v>
      </c>
      <c r="AL278" s="559">
        <f t="shared" si="394"/>
        <v>600</v>
      </c>
      <c r="AM278" s="469">
        <f t="shared" si="395"/>
        <v>350</v>
      </c>
      <c r="AO278">
        <f t="shared" si="368"/>
        <v>600</v>
      </c>
      <c r="AP278">
        <f t="shared" si="369"/>
        <v>350</v>
      </c>
      <c r="AR278" s="5">
        <f t="shared" si="403"/>
        <v>2.8571428571428572</v>
      </c>
      <c r="AS278" s="5">
        <f t="shared" si="377"/>
        <v>1.1794080973978482</v>
      </c>
      <c r="AT278" s="5">
        <f t="shared" si="378"/>
        <v>1.677734759745009</v>
      </c>
      <c r="AU278" s="177">
        <f t="shared" si="379"/>
        <v>0.41279283408924689</v>
      </c>
      <c r="AW278" s="5">
        <f t="shared" si="396"/>
        <v>10.014141569481827</v>
      </c>
      <c r="AX278" s="5">
        <f t="shared" si="397"/>
        <v>14.090082835273151</v>
      </c>
      <c r="AY278" s="5">
        <f t="shared" si="398"/>
        <v>0.70947993256842168</v>
      </c>
      <c r="AZ278" s="5">
        <f t="shared" si="399"/>
        <v>0.85633850683464152</v>
      </c>
      <c r="BA278" s="5">
        <f t="shared" si="400"/>
        <v>1.3920523703147445</v>
      </c>
      <c r="BB278" s="5"/>
      <c r="CE278" s="576">
        <f t="shared" si="401"/>
        <v>-50</v>
      </c>
    </row>
    <row r="279" spans="5:83" x14ac:dyDescent="0.25">
      <c r="E279" s="174">
        <v>61</v>
      </c>
      <c r="F279" s="221">
        <f t="shared" si="402"/>
        <v>0.61</v>
      </c>
      <c r="G279" s="221">
        <f t="shared" si="380"/>
        <v>0.1525</v>
      </c>
      <c r="H279" s="221">
        <f t="shared" si="381"/>
        <v>9.15</v>
      </c>
      <c r="I279" s="221">
        <f t="shared" si="382"/>
        <v>1.0674999999999999</v>
      </c>
      <c r="J279" s="555">
        <f t="shared" si="343"/>
        <v>17</v>
      </c>
      <c r="K279" s="451">
        <f t="shared" si="344"/>
        <v>23.85</v>
      </c>
      <c r="L279" s="451">
        <f t="shared" si="345"/>
        <v>40.85</v>
      </c>
      <c r="M279" s="451"/>
      <c r="N279" s="221">
        <f t="shared" si="346"/>
        <v>0.58384332925336602</v>
      </c>
      <c r="O279" s="176">
        <f t="shared" si="383"/>
        <v>17.310083304408188</v>
      </c>
      <c r="P279" s="176">
        <f t="shared" si="384"/>
        <v>2.0195097188476221</v>
      </c>
      <c r="Q279" s="221">
        <f t="shared" si="349"/>
        <v>1.1540055536272125</v>
      </c>
      <c r="R279" s="221">
        <f t="shared" si="385"/>
        <v>2.4728690434868841</v>
      </c>
      <c r="S279" s="221">
        <f t="shared" si="386"/>
        <v>15</v>
      </c>
      <c r="T279" s="221">
        <f t="shared" si="387"/>
        <v>2.1672339376001979</v>
      </c>
      <c r="U279" s="221">
        <f t="shared" si="353"/>
        <v>0.89239044489419916</v>
      </c>
      <c r="V279" s="221">
        <f t="shared" si="354"/>
        <v>0.63608543241934523</v>
      </c>
      <c r="W279" s="201">
        <f t="shared" si="355"/>
        <v>350</v>
      </c>
      <c r="X279" s="451">
        <f t="shared" si="356"/>
        <v>350</v>
      </c>
      <c r="Z279" s="221">
        <f t="shared" si="357"/>
        <v>4.0511577948192743</v>
      </c>
      <c r="AA279" s="177">
        <f t="shared" si="358"/>
        <v>1.1890190592760972</v>
      </c>
      <c r="AB279" s="177">
        <f t="shared" si="388"/>
        <v>1.1323318705262224</v>
      </c>
      <c r="AC279" s="177"/>
      <c r="AD279" s="177">
        <f t="shared" si="360"/>
        <v>0.24067085953878403</v>
      </c>
      <c r="AE279" s="559">
        <f t="shared" si="389"/>
        <v>4602.0863431630842</v>
      </c>
      <c r="AF279" s="542">
        <f t="shared" si="390"/>
        <v>4.6392002252886505E-2</v>
      </c>
      <c r="AH279" s="177">
        <f t="shared" si="391"/>
        <v>2.8880471475602008</v>
      </c>
      <c r="AI279" s="177">
        <f t="shared" si="392"/>
        <v>2.8880471475602008</v>
      </c>
      <c r="AJ279" s="177">
        <f t="shared" si="393"/>
        <v>2.7318867759705192</v>
      </c>
      <c r="AL279" s="559">
        <f t="shared" si="394"/>
        <v>610</v>
      </c>
      <c r="AM279" s="469">
        <f t="shared" si="395"/>
        <v>350</v>
      </c>
      <c r="AO279">
        <f t="shared" si="368"/>
        <v>610</v>
      </c>
      <c r="AP279">
        <f t="shared" si="369"/>
        <v>350</v>
      </c>
      <c r="AR279" s="5">
        <f t="shared" si="403"/>
        <v>2.8571428571428572</v>
      </c>
      <c r="AS279" s="5">
        <f t="shared" si="377"/>
        <v>1.1891958842894945</v>
      </c>
      <c r="AT279" s="5">
        <f t="shared" si="378"/>
        <v>1.6679469728533627</v>
      </c>
      <c r="AU279" s="177">
        <f t="shared" si="379"/>
        <v>0.41621855950132308</v>
      </c>
      <c r="AW279" s="5">
        <f t="shared" si="396"/>
        <v>10.014141569481827</v>
      </c>
      <c r="AX279" s="5">
        <f t="shared" si="397"/>
        <v>14.533166175014275</v>
      </c>
      <c r="AY279" s="5">
        <f t="shared" si="398"/>
        <v>0.70947993256842168</v>
      </c>
      <c r="AZ279" s="5">
        <f t="shared" si="399"/>
        <v>0.87749599553658364</v>
      </c>
      <c r="BA279" s="5">
        <f t="shared" si="400"/>
        <v>1.4069967550158295</v>
      </c>
      <c r="BB279" s="5"/>
      <c r="CE279" s="576">
        <f t="shared" si="401"/>
        <v>-50</v>
      </c>
    </row>
    <row r="280" spans="5:83" x14ac:dyDescent="0.25">
      <c r="E280" s="174">
        <v>62</v>
      </c>
      <c r="F280" s="221">
        <f t="shared" si="402"/>
        <v>0.62</v>
      </c>
      <c r="G280" s="221">
        <f t="shared" si="380"/>
        <v>0.155</v>
      </c>
      <c r="H280" s="221">
        <f t="shared" si="381"/>
        <v>9.3000000000000007</v>
      </c>
      <c r="I280" s="221">
        <f t="shared" si="382"/>
        <v>1.085</v>
      </c>
      <c r="J280" s="555">
        <f t="shared" si="343"/>
        <v>17</v>
      </c>
      <c r="K280" s="451">
        <f t="shared" si="344"/>
        <v>23.85</v>
      </c>
      <c r="L280" s="451">
        <f t="shared" si="345"/>
        <v>40.85</v>
      </c>
      <c r="M280" s="451"/>
      <c r="N280" s="221">
        <f t="shared" si="346"/>
        <v>0.58384332925336602</v>
      </c>
      <c r="O280" s="176">
        <f t="shared" si="383"/>
        <v>17.310083304408188</v>
      </c>
      <c r="P280" s="176">
        <f t="shared" si="384"/>
        <v>2.0195097188476221</v>
      </c>
      <c r="Q280" s="221">
        <f t="shared" si="349"/>
        <v>1.1540055536272125</v>
      </c>
      <c r="R280" s="221">
        <f t="shared" si="385"/>
        <v>2.4728690434868841</v>
      </c>
      <c r="S280" s="221">
        <f t="shared" si="386"/>
        <v>15</v>
      </c>
      <c r="T280" s="221">
        <f t="shared" si="387"/>
        <v>2.2027623628067583</v>
      </c>
      <c r="U280" s="221">
        <f t="shared" si="353"/>
        <v>0.90701979644984165</v>
      </c>
      <c r="V280" s="221">
        <f t="shared" si="354"/>
        <v>0.64651306245900653</v>
      </c>
      <c r="W280" s="201">
        <f t="shared" si="355"/>
        <v>350</v>
      </c>
      <c r="X280" s="451">
        <f t="shared" si="356"/>
        <v>350</v>
      </c>
      <c r="Z280" s="221">
        <f t="shared" si="357"/>
        <v>4.0511577948192743</v>
      </c>
      <c r="AA280" s="177">
        <f t="shared" si="358"/>
        <v>1.1890190592760972</v>
      </c>
      <c r="AB280" s="177">
        <f t="shared" si="388"/>
        <v>1.1323318705262224</v>
      </c>
      <c r="AC280" s="177"/>
      <c r="AD280" s="177">
        <f t="shared" si="360"/>
        <v>0.24067085953878403</v>
      </c>
      <c r="AE280" s="559">
        <f t="shared" si="389"/>
        <v>4677.5303815755933</v>
      </c>
      <c r="AF280" s="542">
        <f t="shared" si="390"/>
        <v>4.6392002252886505E-2</v>
      </c>
      <c r="AH280" s="177">
        <f t="shared" si="391"/>
        <v>2.9116234338265934</v>
      </c>
      <c r="AI280" s="177">
        <f t="shared" si="392"/>
        <v>2.9116234338265934</v>
      </c>
      <c r="AJ280" s="177">
        <f t="shared" si="393"/>
        <v>2.7493506917234027</v>
      </c>
      <c r="AL280" s="559">
        <f t="shared" si="394"/>
        <v>620</v>
      </c>
      <c r="AM280" s="469">
        <f t="shared" si="395"/>
        <v>350</v>
      </c>
      <c r="AO280">
        <f t="shared" si="368"/>
        <v>620</v>
      </c>
      <c r="AP280">
        <f t="shared" si="369"/>
        <v>350</v>
      </c>
      <c r="AR280" s="5">
        <f t="shared" si="403"/>
        <v>2.8571428571428572</v>
      </c>
      <c r="AS280" s="5">
        <f t="shared" si="377"/>
        <v>1.1989037668697737</v>
      </c>
      <c r="AT280" s="5">
        <f t="shared" si="378"/>
        <v>1.6582390902730835</v>
      </c>
      <c r="AU280" s="177">
        <f t="shared" si="379"/>
        <v>0.41961631840442082</v>
      </c>
      <c r="AW280" s="5">
        <f t="shared" si="396"/>
        <v>10.014141569481827</v>
      </c>
      <c r="AX280" s="5">
        <f t="shared" si="397"/>
        <v>14.983077338552777</v>
      </c>
      <c r="AY280" s="5">
        <f t="shared" si="398"/>
        <v>0.70947993256842168</v>
      </c>
      <c r="AZ280" s="5">
        <f t="shared" si="399"/>
        <v>0.89887922785343388</v>
      </c>
      <c r="BA280" s="5">
        <f t="shared" si="400"/>
        <v>1.4217389434456946</v>
      </c>
      <c r="BB280" s="5"/>
      <c r="CE280" s="576">
        <f t="shared" si="401"/>
        <v>-50</v>
      </c>
    </row>
    <row r="281" spans="5:83" x14ac:dyDescent="0.25">
      <c r="E281" s="174">
        <v>63</v>
      </c>
      <c r="F281" s="221">
        <f t="shared" si="402"/>
        <v>0.63</v>
      </c>
      <c r="G281" s="221">
        <f t="shared" si="380"/>
        <v>0.1575</v>
      </c>
      <c r="H281" s="221">
        <f t="shared" si="381"/>
        <v>9.4499999999999993</v>
      </c>
      <c r="I281" s="221">
        <f t="shared" si="382"/>
        <v>1.1025</v>
      </c>
      <c r="J281" s="555">
        <f t="shared" si="343"/>
        <v>17</v>
      </c>
      <c r="K281" s="451">
        <f t="shared" si="344"/>
        <v>23.85</v>
      </c>
      <c r="L281" s="451">
        <f t="shared" si="345"/>
        <v>40.85</v>
      </c>
      <c r="M281" s="451"/>
      <c r="N281" s="221">
        <f t="shared" si="346"/>
        <v>0.58384332925336602</v>
      </c>
      <c r="O281" s="176">
        <f t="shared" si="383"/>
        <v>17.310083304408188</v>
      </c>
      <c r="P281" s="176">
        <f t="shared" si="384"/>
        <v>2.0195097188476221</v>
      </c>
      <c r="Q281" s="221">
        <f t="shared" si="349"/>
        <v>1.1540055536272125</v>
      </c>
      <c r="R281" s="221">
        <f t="shared" si="385"/>
        <v>2.4728690434868841</v>
      </c>
      <c r="S281" s="221">
        <f t="shared" si="386"/>
        <v>15</v>
      </c>
      <c r="T281" s="221">
        <f t="shared" si="387"/>
        <v>2.2382907880133183</v>
      </c>
      <c r="U281" s="221">
        <f t="shared" si="353"/>
        <v>0.92164914800548392</v>
      </c>
      <c r="V281" s="221">
        <f t="shared" si="354"/>
        <v>0.65694069249866771</v>
      </c>
      <c r="W281" s="201">
        <f t="shared" si="355"/>
        <v>350</v>
      </c>
      <c r="X281" s="451">
        <f t="shared" si="356"/>
        <v>350</v>
      </c>
      <c r="Z281" s="221">
        <f t="shared" si="357"/>
        <v>4.0511577948192743</v>
      </c>
      <c r="AA281" s="177">
        <f t="shared" si="358"/>
        <v>1.1890190592760972</v>
      </c>
      <c r="AB281" s="177">
        <f t="shared" si="388"/>
        <v>1.1323318705262224</v>
      </c>
      <c r="AC281" s="177"/>
      <c r="AD281" s="177">
        <f t="shared" si="360"/>
        <v>0.24067085953878403</v>
      </c>
      <c r="AE281" s="559">
        <f t="shared" si="389"/>
        <v>4752.9744199881043</v>
      </c>
      <c r="AF281" s="542">
        <f t="shared" si="390"/>
        <v>4.6392002252886505E-2</v>
      </c>
      <c r="AH281" s="177">
        <f t="shared" si="391"/>
        <v>2.9350103431309593</v>
      </c>
      <c r="AI281" s="177">
        <f t="shared" si="392"/>
        <v>2.9350103431309593</v>
      </c>
      <c r="AJ281" s="177">
        <f t="shared" si="393"/>
        <v>2.7666743282451551</v>
      </c>
      <c r="AL281" s="559">
        <f t="shared" si="394"/>
        <v>630</v>
      </c>
      <c r="AM281" s="469">
        <f t="shared" si="395"/>
        <v>350</v>
      </c>
      <c r="AO281">
        <f t="shared" si="368"/>
        <v>630</v>
      </c>
      <c r="AP281">
        <f t="shared" si="369"/>
        <v>350</v>
      </c>
      <c r="AR281" s="5">
        <f t="shared" si="403"/>
        <v>2.8571428571428572</v>
      </c>
      <c r="AS281" s="5">
        <f t="shared" si="377"/>
        <v>1.2085336707009833</v>
      </c>
      <c r="AT281" s="5">
        <f t="shared" si="378"/>
        <v>1.6486091864418739</v>
      </c>
      <c r="AU281" s="177">
        <f t="shared" si="379"/>
        <v>0.42298678474534412</v>
      </c>
      <c r="AW281" s="5">
        <f t="shared" si="396"/>
        <v>10.014141569481827</v>
      </c>
      <c r="AX281" s="5">
        <f t="shared" si="397"/>
        <v>15.43981632588865</v>
      </c>
      <c r="AY281" s="5">
        <f t="shared" si="398"/>
        <v>0.70947993256842168</v>
      </c>
      <c r="AZ281" s="5">
        <f t="shared" si="399"/>
        <v>0.92048820378519236</v>
      </c>
      <c r="BA281" s="5">
        <f t="shared" si="400"/>
        <v>1.4362805729558614</v>
      </c>
      <c r="BB281" s="5"/>
      <c r="CE281" s="576">
        <f t="shared" si="401"/>
        <v>-50</v>
      </c>
    </row>
    <row r="282" spans="5:83" x14ac:dyDescent="0.25">
      <c r="E282" s="174">
        <v>64</v>
      </c>
      <c r="F282" s="221">
        <f t="shared" si="402"/>
        <v>0.64</v>
      </c>
      <c r="G282" s="221">
        <f t="shared" ref="G282:G318" si="404">IF(PLOT_TYPE=1, E282/100*Iout2, min_I*EXP(Q282*rr/100))</f>
        <v>0.16</v>
      </c>
      <c r="H282" s="221">
        <f t="shared" ref="H282:H318" si="405">F282*Vout</f>
        <v>9.6</v>
      </c>
      <c r="I282" s="221">
        <f t="shared" ref="I282:I318" si="406">Vout2*G282</f>
        <v>1.1200000000000001</v>
      </c>
      <c r="J282" s="555">
        <f t="shared" ref="J282:J318" si="407">VIN_max</f>
        <v>17</v>
      </c>
      <c r="K282" s="451">
        <f t="shared" ref="K282:K318" si="408">(S282+Vfwd1)*Nps</f>
        <v>23.85</v>
      </c>
      <c r="L282" s="451">
        <f t="shared" ref="L282:L318" si="409">(Vout+Vfwd1)*Nps+J282</f>
        <v>40.85</v>
      </c>
      <c r="M282" s="451"/>
      <c r="N282" s="221">
        <f t="shared" ref="N282:N318" si="410">(Vout+Vfwd1)*Nps/((Vout+Vfwd1)*Nps+J282)</f>
        <v>0.58384332925336602</v>
      </c>
      <c r="O282" s="176">
        <f t="shared" ref="O282:O313" si="411">N282*J282*Isw_max*0.5*Efficiency*Pout/(Pout+Pout2)</f>
        <v>17.310083304408188</v>
      </c>
      <c r="P282" s="176">
        <f t="shared" ref="P282:P318" si="412">N282*J282*Isw_max*0.5*Efficiency*(Pout2/Pout_total)</f>
        <v>2.0195097188476221</v>
      </c>
      <c r="Q282" s="221">
        <f t="shared" ref="Q282:Q318" si="413">O282/Vout</f>
        <v>1.1540055536272125</v>
      </c>
      <c r="R282" s="221">
        <f t="shared" ref="R282:R318" si="414">O282/Vout2</f>
        <v>2.4728690434868841</v>
      </c>
      <c r="S282" s="221">
        <f t="shared" ref="S282:S318" si="415">MIN(Vout,O282/F282)</f>
        <v>15</v>
      </c>
      <c r="T282" s="221">
        <f t="shared" ref="T282:T318" si="416">MIN(2*(Vout*F282+Vout2*G282)/(Efficiency*J282*N282), Isw_max)</f>
        <v>2.2738192132198791</v>
      </c>
      <c r="U282" s="221">
        <f t="shared" ref="U282:U318" si="417">L*T282/J282*1000000</f>
        <v>0.93627849956112674</v>
      </c>
      <c r="V282" s="221">
        <f t="shared" ref="V282:V318" si="418">L*T282/K282*1000000</f>
        <v>0.66736832253832923</v>
      </c>
      <c r="W282" s="201">
        <f t="shared" ref="W282:W318" si="419">IF(1/((350000*L)*(1/J282+1/K282))&gt;Isw_min, 350, 0.001/((Isw_min*L)*(1/J282+1/K282)))</f>
        <v>350</v>
      </c>
      <c r="X282" s="451">
        <f t="shared" ref="X282:X318" si="420">MIN(1/(U282+V282)*1000, 350)</f>
        <v>350</v>
      </c>
      <c r="Z282" s="221">
        <f t="shared" ref="Z282:Z318" si="421">1/((W282*1000*L)*(1/J282+1/K282))</f>
        <v>4.0511577948192743</v>
      </c>
      <c r="AA282" s="177">
        <f t="shared" ref="AA282:AA318" si="422">L*Z282/K282*1000000</f>
        <v>1.1890190592760972</v>
      </c>
      <c r="AB282" s="177">
        <f t="shared" ref="AB282:AB313" si="423">0.5*AA282*Z282*Nps*W282/1000*(Pout/(Pout+Pout2))</f>
        <v>1.1323318705262224</v>
      </c>
      <c r="AC282" s="177"/>
      <c r="AD282" s="177">
        <f t="shared" ref="AD282:AD318" si="424">L*Isw_min/K282*1000000</f>
        <v>0.24067085953878403</v>
      </c>
      <c r="AE282" s="559">
        <f t="shared" ref="AE282:AE313" si="425">MAX(10, F282/(0.5*AD282/1000000*Isw_min*Nps)/1000*Pout_total/Pout)</f>
        <v>4828.4184584006134</v>
      </c>
      <c r="AF282" s="542">
        <f t="shared" ref="AF282:AF318" si="426">0.5*AD282/1000000*Isw_min*Nps*W282*1000*(Pout/Pout_total)</f>
        <v>4.6392002252886505E-2</v>
      </c>
      <c r="AH282" s="177">
        <f t="shared" ref="AH282:AH318" si="427">SQRT((H282+I282)/(0.5*L*Fsw_DCM))</f>
        <v>2.9582123669816647</v>
      </c>
      <c r="AI282" s="177">
        <f t="shared" ref="AI282:AI313" si="428">MAX(IF(F282&gt;AB282,T282,AH282),Isw_min)</f>
        <v>2.9582123669816647</v>
      </c>
      <c r="AJ282" s="177">
        <f t="shared" ref="AJ282:AJ313" si="429">IF(F282&gt;AF282, (AI282-Isw_min)/1.08*0.8+1.2, AE282*0.2/350+1)</f>
        <v>2.7838610125790106</v>
      </c>
      <c r="AL282" s="559">
        <f t="shared" ref="AL282:AL318" si="430">F282*1000</f>
        <v>640</v>
      </c>
      <c r="AM282" s="469">
        <f t="shared" ref="AM282:AM318" si="431">IF(F282&gt;AF282, X282, AE282)</f>
        <v>350</v>
      </c>
      <c r="AO282">
        <f t="shared" ref="AO282:AO318" si="432">IF(H282&gt;O282, "",AL282)</f>
        <v>640</v>
      </c>
      <c r="AP282">
        <f t="shared" ref="AP282:AP318" si="433">IF(H282&gt;O282, "",AM282)</f>
        <v>350</v>
      </c>
      <c r="AR282" s="5">
        <f t="shared" si="403"/>
        <v>2.8571428571428572</v>
      </c>
      <c r="AS282" s="5">
        <f t="shared" si="377"/>
        <v>1.2180874452277444</v>
      </c>
      <c r="AT282" s="5">
        <f t="shared" si="378"/>
        <v>1.6390554119151128</v>
      </c>
      <c r="AU282" s="177">
        <f t="shared" si="379"/>
        <v>0.4263306058297105</v>
      </c>
      <c r="AW282" s="5">
        <f t="shared" ref="AW282:AW318" si="434">L*Iout^2/(2*Vripple1_spec*Vout*Npri_sec1^2)*1000000000*((1+N282)/(1-N282))^2</f>
        <v>10.014141569481827</v>
      </c>
      <c r="AX282" s="5">
        <f t="shared" ref="AX282:AX318" si="435">L*F282^2/(2*Cout*Vout*Nps^2)*1000000000*((1+N282)/(1-N282))^2+F282*RCoutEsr</f>
        <v>15.903383137021898</v>
      </c>
      <c r="AY282" s="5">
        <f t="shared" ref="AY282:AY318" si="436">L*Iout2^2/(2*Vout_ripple2*Vout2*Npri_sec2^2)*1000000000*((1+N282)/(1-N282))^2</f>
        <v>0.70947993256842168</v>
      </c>
      <c r="AZ282" s="5">
        <f t="shared" ref="AZ282:AZ318" si="437">L*G282^2/(2*Cout2*Vout2*Npri_sec2^2)*1000000000*((1+N282)/(1-N282))^2+G282*CoutEsr2</f>
        <v>0.94232292333185885</v>
      </c>
      <c r="BA282" s="5">
        <f t="shared" ref="BA282:BA318" si="438">(H282+I282)/Efficiency/J282*AT282/Vinripple1</f>
        <v>1.4506232417527356</v>
      </c>
      <c r="BB282" s="5"/>
      <c r="CE282" s="576">
        <f t="shared" ref="CE282:CE318" si="439">IF(ABS(F282-Ioutmax_Vinmax)&lt;Iout/200, AM282, -50)</f>
        <v>-50</v>
      </c>
    </row>
    <row r="283" spans="5:83" x14ac:dyDescent="0.25">
      <c r="E283" s="174">
        <v>65</v>
      </c>
      <c r="F283" s="221">
        <f t="shared" ref="F283:F314" si="440">IF(PLOT_TYPE=1, E283/100*Iout_max, min_I*EXP(O283*rr/100))</f>
        <v>0.65</v>
      </c>
      <c r="G283" s="221">
        <f t="shared" si="404"/>
        <v>0.16250000000000001</v>
      </c>
      <c r="H283" s="221">
        <f t="shared" si="405"/>
        <v>9.75</v>
      </c>
      <c r="I283" s="221">
        <f t="shared" si="406"/>
        <v>1.1375</v>
      </c>
      <c r="J283" s="555">
        <f t="shared" si="407"/>
        <v>17</v>
      </c>
      <c r="K283" s="451">
        <f t="shared" si="408"/>
        <v>23.85</v>
      </c>
      <c r="L283" s="451">
        <f t="shared" si="409"/>
        <v>40.85</v>
      </c>
      <c r="M283" s="451"/>
      <c r="N283" s="221">
        <f t="shared" si="410"/>
        <v>0.58384332925336602</v>
      </c>
      <c r="O283" s="176">
        <f t="shared" si="411"/>
        <v>17.310083304408188</v>
      </c>
      <c r="P283" s="176">
        <f t="shared" si="412"/>
        <v>2.0195097188476221</v>
      </c>
      <c r="Q283" s="221">
        <f t="shared" si="413"/>
        <v>1.1540055536272125</v>
      </c>
      <c r="R283" s="221">
        <f t="shared" si="414"/>
        <v>2.4728690434868841</v>
      </c>
      <c r="S283" s="221">
        <f t="shared" si="415"/>
        <v>15</v>
      </c>
      <c r="T283" s="221">
        <f t="shared" si="416"/>
        <v>2.30934763842644</v>
      </c>
      <c r="U283" s="221">
        <f t="shared" si="417"/>
        <v>0.95090785111676934</v>
      </c>
      <c r="V283" s="221">
        <f t="shared" si="418"/>
        <v>0.67779595257799075</v>
      </c>
      <c r="W283" s="201">
        <f t="shared" si="419"/>
        <v>350</v>
      </c>
      <c r="X283" s="451">
        <f t="shared" si="420"/>
        <v>350</v>
      </c>
      <c r="Z283" s="221">
        <f t="shared" si="421"/>
        <v>4.0511577948192743</v>
      </c>
      <c r="AA283" s="177">
        <f t="shared" si="422"/>
        <v>1.1890190592760972</v>
      </c>
      <c r="AB283" s="177">
        <f t="shared" si="423"/>
        <v>1.1323318705262224</v>
      </c>
      <c r="AC283" s="177"/>
      <c r="AD283" s="177">
        <f t="shared" si="424"/>
        <v>0.24067085953878403</v>
      </c>
      <c r="AE283" s="559">
        <f t="shared" si="425"/>
        <v>4903.8624968131217</v>
      </c>
      <c r="AF283" s="542">
        <f t="shared" si="426"/>
        <v>4.6392002252886505E-2</v>
      </c>
      <c r="AH283" s="177">
        <f t="shared" si="427"/>
        <v>2.981233822101315</v>
      </c>
      <c r="AI283" s="177">
        <f t="shared" si="428"/>
        <v>2.981233822101315</v>
      </c>
      <c r="AJ283" s="177">
        <f t="shared" si="429"/>
        <v>2.8009139422972709</v>
      </c>
      <c r="AL283" s="559">
        <f t="shared" si="430"/>
        <v>650</v>
      </c>
      <c r="AM283" s="469">
        <f t="shared" si="431"/>
        <v>350</v>
      </c>
      <c r="AO283">
        <f t="shared" si="432"/>
        <v>650</v>
      </c>
      <c r="AP283">
        <f t="shared" si="433"/>
        <v>350</v>
      </c>
      <c r="AR283" s="5">
        <f t="shared" si="403"/>
        <v>2.8571428571428572</v>
      </c>
      <c r="AS283" s="5">
        <f t="shared" si="377"/>
        <v>1.227566867924071</v>
      </c>
      <c r="AT283" s="5">
        <f t="shared" si="378"/>
        <v>1.6295759892187862</v>
      </c>
      <c r="AU283" s="177">
        <f t="shared" si="379"/>
        <v>0.42964840377342484</v>
      </c>
      <c r="AW283" s="5">
        <f t="shared" si="434"/>
        <v>10.014141569481827</v>
      </c>
      <c r="AX283" s="5">
        <f t="shared" si="435"/>
        <v>16.373777771952518</v>
      </c>
      <c r="AY283" s="5">
        <f t="shared" si="436"/>
        <v>0.70947993256842168</v>
      </c>
      <c r="AZ283" s="5">
        <f t="shared" si="437"/>
        <v>0.96438338649343347</v>
      </c>
      <c r="BA283" s="5">
        <f t="shared" si="438"/>
        <v>1.4647685104329853</v>
      </c>
      <c r="BB283" s="5"/>
      <c r="CE283" s="576">
        <f t="shared" si="439"/>
        <v>-50</v>
      </c>
    </row>
    <row r="284" spans="5:83" x14ac:dyDescent="0.25">
      <c r="E284" s="174">
        <v>66</v>
      </c>
      <c r="F284" s="221">
        <f t="shared" si="440"/>
        <v>0.66</v>
      </c>
      <c r="G284" s="221">
        <f t="shared" si="404"/>
        <v>0.16500000000000001</v>
      </c>
      <c r="H284" s="221">
        <f t="shared" si="405"/>
        <v>9.9</v>
      </c>
      <c r="I284" s="221">
        <f t="shared" si="406"/>
        <v>1.155</v>
      </c>
      <c r="J284" s="555">
        <f t="shared" si="407"/>
        <v>17</v>
      </c>
      <c r="K284" s="451">
        <f t="shared" si="408"/>
        <v>23.85</v>
      </c>
      <c r="L284" s="451">
        <f t="shared" si="409"/>
        <v>40.85</v>
      </c>
      <c r="M284" s="451"/>
      <c r="N284" s="221">
        <f t="shared" si="410"/>
        <v>0.58384332925336602</v>
      </c>
      <c r="O284" s="176">
        <f t="shared" si="411"/>
        <v>17.310083304408188</v>
      </c>
      <c r="P284" s="176">
        <f t="shared" si="412"/>
        <v>2.0195097188476221</v>
      </c>
      <c r="Q284" s="221">
        <f t="shared" si="413"/>
        <v>1.1540055536272125</v>
      </c>
      <c r="R284" s="221">
        <f t="shared" si="414"/>
        <v>2.4728690434868841</v>
      </c>
      <c r="S284" s="221">
        <f t="shared" si="415"/>
        <v>15</v>
      </c>
      <c r="T284" s="221">
        <f t="shared" si="416"/>
        <v>2.3448760636330004</v>
      </c>
      <c r="U284" s="221">
        <f t="shared" si="417"/>
        <v>0.96553720267241172</v>
      </c>
      <c r="V284" s="221">
        <f t="shared" si="418"/>
        <v>0.68822358261765204</v>
      </c>
      <c r="W284" s="201">
        <f t="shared" si="419"/>
        <v>350</v>
      </c>
      <c r="X284" s="451">
        <f t="shared" si="420"/>
        <v>350</v>
      </c>
      <c r="Z284" s="221">
        <f t="shared" si="421"/>
        <v>4.0511577948192743</v>
      </c>
      <c r="AA284" s="177">
        <f t="shared" si="422"/>
        <v>1.1890190592760972</v>
      </c>
      <c r="AB284" s="177">
        <f t="shared" si="423"/>
        <v>1.1323318705262224</v>
      </c>
      <c r="AC284" s="177"/>
      <c r="AD284" s="177">
        <f t="shared" si="424"/>
        <v>0.24067085953878403</v>
      </c>
      <c r="AE284" s="559">
        <f t="shared" si="425"/>
        <v>4979.3065352256317</v>
      </c>
      <c r="AF284" s="542">
        <f t="shared" si="426"/>
        <v>4.6392002252886505E-2</v>
      </c>
      <c r="AH284" s="177">
        <f t="shared" si="427"/>
        <v>3.0040788598035117</v>
      </c>
      <c r="AI284" s="177">
        <f t="shared" si="428"/>
        <v>3.0040788598035117</v>
      </c>
      <c r="AJ284" s="177">
        <f t="shared" si="429"/>
        <v>2.8178361924470456</v>
      </c>
      <c r="AL284" s="559">
        <f t="shared" si="430"/>
        <v>660</v>
      </c>
      <c r="AM284" s="469">
        <f t="shared" si="431"/>
        <v>350</v>
      </c>
      <c r="AO284">
        <f t="shared" si="432"/>
        <v>660</v>
      </c>
      <c r="AP284">
        <f t="shared" si="433"/>
        <v>350</v>
      </c>
      <c r="AR284" s="5">
        <f t="shared" si="403"/>
        <v>2.8571428571428572</v>
      </c>
      <c r="AS284" s="5">
        <f t="shared" si="377"/>
        <v>1.2369736481543874</v>
      </c>
      <c r="AT284" s="5">
        <f t="shared" si="378"/>
        <v>1.6201692089884698</v>
      </c>
      <c r="AU284" s="177">
        <f t="shared" si="379"/>
        <v>0.43294077685403559</v>
      </c>
      <c r="AW284" s="5">
        <f t="shared" si="434"/>
        <v>10.014141569481827</v>
      </c>
      <c r="AX284" s="5">
        <f t="shared" si="435"/>
        <v>16.851000230680516</v>
      </c>
      <c r="AY284" s="5">
        <f t="shared" si="436"/>
        <v>0.70947993256842168</v>
      </c>
      <c r="AZ284" s="5">
        <f t="shared" si="437"/>
        <v>0.98666959326991632</v>
      </c>
      <c r="BA284" s="5">
        <f t="shared" si="438"/>
        <v>1.4787179034359161</v>
      </c>
      <c r="BB284" s="5"/>
      <c r="CE284" s="576">
        <f t="shared" si="439"/>
        <v>-50</v>
      </c>
    </row>
    <row r="285" spans="5:83" x14ac:dyDescent="0.25">
      <c r="E285" s="174">
        <v>67</v>
      </c>
      <c r="F285" s="221">
        <f t="shared" si="440"/>
        <v>0.67</v>
      </c>
      <c r="G285" s="221">
        <f t="shared" si="404"/>
        <v>0.16750000000000001</v>
      </c>
      <c r="H285" s="221">
        <f t="shared" si="405"/>
        <v>10.050000000000001</v>
      </c>
      <c r="I285" s="221">
        <f t="shared" si="406"/>
        <v>1.1725000000000001</v>
      </c>
      <c r="J285" s="555">
        <f t="shared" si="407"/>
        <v>17</v>
      </c>
      <c r="K285" s="451">
        <f t="shared" si="408"/>
        <v>23.85</v>
      </c>
      <c r="L285" s="451">
        <f t="shared" si="409"/>
        <v>40.85</v>
      </c>
      <c r="M285" s="451"/>
      <c r="N285" s="221">
        <f t="shared" si="410"/>
        <v>0.58384332925336602</v>
      </c>
      <c r="O285" s="176">
        <f t="shared" si="411"/>
        <v>17.310083304408188</v>
      </c>
      <c r="P285" s="176">
        <f t="shared" si="412"/>
        <v>2.0195097188476221</v>
      </c>
      <c r="Q285" s="221">
        <f t="shared" si="413"/>
        <v>1.1540055536272125</v>
      </c>
      <c r="R285" s="221">
        <f t="shared" si="414"/>
        <v>2.4728690434868841</v>
      </c>
      <c r="S285" s="221">
        <f t="shared" si="415"/>
        <v>15</v>
      </c>
      <c r="T285" s="221">
        <f t="shared" si="416"/>
        <v>2.3804044888395612</v>
      </c>
      <c r="U285" s="221">
        <f t="shared" si="417"/>
        <v>0.98016655422805443</v>
      </c>
      <c r="V285" s="221">
        <f t="shared" si="418"/>
        <v>0.69865121265731345</v>
      </c>
      <c r="W285" s="201">
        <f t="shared" si="419"/>
        <v>350</v>
      </c>
      <c r="X285" s="451">
        <f t="shared" si="420"/>
        <v>350</v>
      </c>
      <c r="Z285" s="221">
        <f t="shared" si="421"/>
        <v>4.0511577948192743</v>
      </c>
      <c r="AA285" s="177">
        <f t="shared" si="422"/>
        <v>1.1890190592760972</v>
      </c>
      <c r="AB285" s="177">
        <f t="shared" si="423"/>
        <v>1.1323318705262224</v>
      </c>
      <c r="AC285" s="177"/>
      <c r="AD285" s="177">
        <f t="shared" si="424"/>
        <v>0.24067085953878403</v>
      </c>
      <c r="AE285" s="559">
        <f t="shared" si="425"/>
        <v>5054.7505736381418</v>
      </c>
      <c r="AF285" s="542">
        <f t="shared" si="426"/>
        <v>4.6392002252886505E-2</v>
      </c>
      <c r="AH285" s="177">
        <f t="shared" si="427"/>
        <v>3.0267514747325914</v>
      </c>
      <c r="AI285" s="177">
        <f t="shared" si="428"/>
        <v>3.0267514747325914</v>
      </c>
      <c r="AJ285" s="177">
        <f t="shared" si="429"/>
        <v>2.8346307220241416</v>
      </c>
      <c r="AL285" s="559">
        <f t="shared" si="430"/>
        <v>670</v>
      </c>
      <c r="AM285" s="469">
        <f t="shared" si="431"/>
        <v>350</v>
      </c>
      <c r="AO285">
        <f t="shared" si="432"/>
        <v>670</v>
      </c>
      <c r="AP285">
        <f t="shared" si="433"/>
        <v>350</v>
      </c>
      <c r="AR285" s="5">
        <f t="shared" si="403"/>
        <v>2.8571428571428572</v>
      </c>
      <c r="AS285" s="5">
        <f t="shared" si="377"/>
        <v>1.2463094307722435</v>
      </c>
      <c r="AT285" s="5">
        <f t="shared" si="378"/>
        <v>1.6108334263706137</v>
      </c>
      <c r="AU285" s="177">
        <f t="shared" si="379"/>
        <v>0.43620830077028522</v>
      </c>
      <c r="AW285" s="5">
        <f t="shared" si="434"/>
        <v>10.014141569481827</v>
      </c>
      <c r="AX285" s="5">
        <f t="shared" si="435"/>
        <v>17.335050513205886</v>
      </c>
      <c r="AY285" s="5">
        <f t="shared" si="436"/>
        <v>0.70947993256842168</v>
      </c>
      <c r="AZ285" s="5">
        <f t="shared" si="437"/>
        <v>1.0091815436613072</v>
      </c>
      <c r="BA285" s="5">
        <f t="shared" si="438"/>
        <v>1.4924729104185108</v>
      </c>
      <c r="BB285" s="5"/>
      <c r="CE285" s="576">
        <f t="shared" si="439"/>
        <v>-50</v>
      </c>
    </row>
    <row r="286" spans="5:83" x14ac:dyDescent="0.25">
      <c r="E286" s="174">
        <v>68</v>
      </c>
      <c r="F286" s="221">
        <f t="shared" si="440"/>
        <v>0.68</v>
      </c>
      <c r="G286" s="221">
        <f t="shared" si="404"/>
        <v>0.17</v>
      </c>
      <c r="H286" s="221">
        <f t="shared" si="405"/>
        <v>10.200000000000001</v>
      </c>
      <c r="I286" s="221">
        <f t="shared" si="406"/>
        <v>1.1900000000000002</v>
      </c>
      <c r="J286" s="555">
        <f t="shared" si="407"/>
        <v>17</v>
      </c>
      <c r="K286" s="451">
        <f t="shared" si="408"/>
        <v>23.85</v>
      </c>
      <c r="L286" s="451">
        <f t="shared" si="409"/>
        <v>40.85</v>
      </c>
      <c r="M286" s="451"/>
      <c r="N286" s="221">
        <f t="shared" si="410"/>
        <v>0.58384332925336602</v>
      </c>
      <c r="O286" s="176">
        <f t="shared" si="411"/>
        <v>17.310083304408188</v>
      </c>
      <c r="P286" s="176">
        <f t="shared" si="412"/>
        <v>2.0195097188476221</v>
      </c>
      <c r="Q286" s="221">
        <f t="shared" si="413"/>
        <v>1.1540055536272125</v>
      </c>
      <c r="R286" s="221">
        <f t="shared" si="414"/>
        <v>2.4728690434868841</v>
      </c>
      <c r="S286" s="221">
        <f t="shared" si="415"/>
        <v>15</v>
      </c>
      <c r="T286" s="221">
        <f t="shared" si="416"/>
        <v>2.4159329140461221</v>
      </c>
      <c r="U286" s="221">
        <f t="shared" si="417"/>
        <v>0.99479590578369737</v>
      </c>
      <c r="V286" s="221">
        <f t="shared" si="418"/>
        <v>0.70907884269697508</v>
      </c>
      <c r="W286" s="201">
        <f t="shared" si="419"/>
        <v>350</v>
      </c>
      <c r="X286" s="451">
        <f t="shared" si="420"/>
        <v>350</v>
      </c>
      <c r="Z286" s="221">
        <f t="shared" si="421"/>
        <v>4.0511577948192743</v>
      </c>
      <c r="AA286" s="177">
        <f t="shared" si="422"/>
        <v>1.1890190592760972</v>
      </c>
      <c r="AB286" s="177">
        <f t="shared" si="423"/>
        <v>1.1323318705262224</v>
      </c>
      <c r="AC286" s="177"/>
      <c r="AD286" s="177">
        <f t="shared" si="424"/>
        <v>0.24067085953878403</v>
      </c>
      <c r="AE286" s="559">
        <f t="shared" si="425"/>
        <v>5130.1946120506509</v>
      </c>
      <c r="AF286" s="542">
        <f t="shared" si="426"/>
        <v>4.6392002252886505E-2</v>
      </c>
      <c r="AH286" s="177">
        <f t="shared" si="427"/>
        <v>3.0492555130184598</v>
      </c>
      <c r="AI286" s="177">
        <f t="shared" si="428"/>
        <v>3.0492555130184598</v>
      </c>
      <c r="AJ286" s="177">
        <f t="shared" si="429"/>
        <v>2.851300380013674</v>
      </c>
      <c r="AL286" s="559">
        <f t="shared" si="430"/>
        <v>680</v>
      </c>
      <c r="AM286" s="469">
        <f t="shared" si="431"/>
        <v>350</v>
      </c>
      <c r="AO286">
        <f t="shared" si="432"/>
        <v>680</v>
      </c>
      <c r="AP286">
        <f t="shared" si="433"/>
        <v>350</v>
      </c>
      <c r="AR286" s="5">
        <f t="shared" si="403"/>
        <v>2.8571428571428572</v>
      </c>
      <c r="AS286" s="5">
        <f t="shared" si="377"/>
        <v>1.2555757994781891</v>
      </c>
      <c r="AT286" s="5">
        <f t="shared" si="378"/>
        <v>1.6015670576646681</v>
      </c>
      <c r="AU286" s="177">
        <f t="shared" si="379"/>
        <v>0.43945152981736618</v>
      </c>
      <c r="AW286" s="5">
        <f t="shared" si="434"/>
        <v>10.014141569481827</v>
      </c>
      <c r="AX286" s="5">
        <f t="shared" si="435"/>
        <v>17.825928619528629</v>
      </c>
      <c r="AY286" s="5">
        <f t="shared" si="436"/>
        <v>0.70947993256842168</v>
      </c>
      <c r="AZ286" s="5">
        <f t="shared" si="437"/>
        <v>1.0319192376676063</v>
      </c>
      <c r="BA286" s="5">
        <f t="shared" si="438"/>
        <v>1.5060349875583545</v>
      </c>
      <c r="BB286" s="5"/>
      <c r="CE286" s="576">
        <f t="shared" si="439"/>
        <v>-50</v>
      </c>
    </row>
    <row r="287" spans="5:83" x14ac:dyDescent="0.25">
      <c r="E287" s="174">
        <v>69</v>
      </c>
      <c r="F287" s="221">
        <f t="shared" si="440"/>
        <v>0.69</v>
      </c>
      <c r="G287" s="221">
        <f t="shared" si="404"/>
        <v>0.17249999999999999</v>
      </c>
      <c r="H287" s="221">
        <f t="shared" si="405"/>
        <v>10.35</v>
      </c>
      <c r="I287" s="221">
        <f t="shared" si="406"/>
        <v>1.2075</v>
      </c>
      <c r="J287" s="555">
        <f t="shared" si="407"/>
        <v>17</v>
      </c>
      <c r="K287" s="451">
        <f t="shared" si="408"/>
        <v>23.85</v>
      </c>
      <c r="L287" s="451">
        <f t="shared" si="409"/>
        <v>40.85</v>
      </c>
      <c r="M287" s="451"/>
      <c r="N287" s="221">
        <f t="shared" si="410"/>
        <v>0.58384332925336602</v>
      </c>
      <c r="O287" s="176">
        <f t="shared" si="411"/>
        <v>17.310083304408188</v>
      </c>
      <c r="P287" s="176">
        <f t="shared" si="412"/>
        <v>2.0195097188476221</v>
      </c>
      <c r="Q287" s="221">
        <f t="shared" si="413"/>
        <v>1.1540055536272125</v>
      </c>
      <c r="R287" s="221">
        <f t="shared" si="414"/>
        <v>2.4728690434868841</v>
      </c>
      <c r="S287" s="221">
        <f t="shared" si="415"/>
        <v>15</v>
      </c>
      <c r="T287" s="221">
        <f t="shared" si="416"/>
        <v>2.4514613392526821</v>
      </c>
      <c r="U287" s="221">
        <f t="shared" si="417"/>
        <v>1.0094252573393396</v>
      </c>
      <c r="V287" s="221">
        <f t="shared" si="418"/>
        <v>0.71950647273663626</v>
      </c>
      <c r="W287" s="201">
        <f t="shared" si="419"/>
        <v>350</v>
      </c>
      <c r="X287" s="451">
        <f t="shared" si="420"/>
        <v>350</v>
      </c>
      <c r="Z287" s="221">
        <f t="shared" si="421"/>
        <v>4.0511577948192743</v>
      </c>
      <c r="AA287" s="177">
        <f t="shared" si="422"/>
        <v>1.1890190592760972</v>
      </c>
      <c r="AB287" s="177">
        <f t="shared" si="423"/>
        <v>1.1323318705262224</v>
      </c>
      <c r="AC287" s="177"/>
      <c r="AD287" s="177">
        <f t="shared" si="424"/>
        <v>0.24067085953878403</v>
      </c>
      <c r="AE287" s="559">
        <f t="shared" si="425"/>
        <v>5205.63865046316</v>
      </c>
      <c r="AF287" s="542">
        <f t="shared" si="426"/>
        <v>4.6392002252886505E-2</v>
      </c>
      <c r="AH287" s="177">
        <f t="shared" si="427"/>
        <v>3.0715946798936575</v>
      </c>
      <c r="AI287" s="177">
        <f t="shared" si="428"/>
        <v>3.0715946798936575</v>
      </c>
      <c r="AJ287" s="177">
        <f t="shared" si="429"/>
        <v>2.8678479110323392</v>
      </c>
      <c r="AL287" s="559">
        <f t="shared" si="430"/>
        <v>690</v>
      </c>
      <c r="AM287" s="469">
        <f t="shared" si="431"/>
        <v>350</v>
      </c>
      <c r="AO287">
        <f t="shared" si="432"/>
        <v>690</v>
      </c>
      <c r="AP287">
        <f t="shared" si="433"/>
        <v>350</v>
      </c>
      <c r="AR287" s="5">
        <f t="shared" si="403"/>
        <v>2.8571428571428572</v>
      </c>
      <c r="AS287" s="5">
        <f t="shared" si="377"/>
        <v>1.2647742799562121</v>
      </c>
      <c r="AT287" s="5">
        <f t="shared" si="378"/>
        <v>1.5923685771866452</v>
      </c>
      <c r="AU287" s="177">
        <f t="shared" si="379"/>
        <v>0.44267099798467419</v>
      </c>
      <c r="AW287" s="5">
        <f t="shared" si="434"/>
        <v>10.014141569481827</v>
      </c>
      <c r="AX287" s="5">
        <f t="shared" si="435"/>
        <v>18.323634549648741</v>
      </c>
      <c r="AY287" s="5">
        <f t="shared" si="436"/>
        <v>0.70947993256842168</v>
      </c>
      <c r="AZ287" s="5">
        <f t="shared" si="437"/>
        <v>1.0548826752888134</v>
      </c>
      <c r="BA287" s="5">
        <f t="shared" si="438"/>
        <v>1.5194055587892386</v>
      </c>
      <c r="BB287" s="5"/>
      <c r="CE287" s="576">
        <f t="shared" si="439"/>
        <v>-50</v>
      </c>
    </row>
    <row r="288" spans="5:83" x14ac:dyDescent="0.25">
      <c r="E288" s="174">
        <v>70</v>
      </c>
      <c r="F288" s="221">
        <f t="shared" si="440"/>
        <v>0.7</v>
      </c>
      <c r="G288" s="221">
        <f t="shared" si="404"/>
        <v>0.17499999999999999</v>
      </c>
      <c r="H288" s="221">
        <f t="shared" si="405"/>
        <v>10.5</v>
      </c>
      <c r="I288" s="221">
        <f t="shared" si="406"/>
        <v>1.2249999999999999</v>
      </c>
      <c r="J288" s="555">
        <f t="shared" si="407"/>
        <v>17</v>
      </c>
      <c r="K288" s="451">
        <f t="shared" si="408"/>
        <v>23.85</v>
      </c>
      <c r="L288" s="451">
        <f t="shared" si="409"/>
        <v>40.85</v>
      </c>
      <c r="M288" s="451"/>
      <c r="N288" s="221">
        <f t="shared" si="410"/>
        <v>0.58384332925336602</v>
      </c>
      <c r="O288" s="176">
        <f t="shared" si="411"/>
        <v>17.310083304408188</v>
      </c>
      <c r="P288" s="176">
        <f t="shared" si="412"/>
        <v>2.0195097188476221</v>
      </c>
      <c r="Q288" s="221">
        <f t="shared" si="413"/>
        <v>1.1540055536272125</v>
      </c>
      <c r="R288" s="221">
        <f t="shared" si="414"/>
        <v>2.4728690434868841</v>
      </c>
      <c r="S288" s="221">
        <f t="shared" si="415"/>
        <v>15</v>
      </c>
      <c r="T288" s="221">
        <f t="shared" si="416"/>
        <v>2.4869897644592429</v>
      </c>
      <c r="U288" s="221">
        <f t="shared" si="417"/>
        <v>1.0240546088949825</v>
      </c>
      <c r="V288" s="221">
        <f t="shared" si="418"/>
        <v>0.72993410277629756</v>
      </c>
      <c r="W288" s="201">
        <f t="shared" si="419"/>
        <v>350</v>
      </c>
      <c r="X288" s="451">
        <f t="shared" si="420"/>
        <v>350</v>
      </c>
      <c r="Z288" s="221">
        <f t="shared" si="421"/>
        <v>4.0511577948192743</v>
      </c>
      <c r="AA288" s="177">
        <f t="shared" si="422"/>
        <v>1.1890190592760972</v>
      </c>
      <c r="AB288" s="177">
        <f t="shared" si="423"/>
        <v>1.1323318705262224</v>
      </c>
      <c r="AC288" s="177"/>
      <c r="AD288" s="177">
        <f t="shared" si="424"/>
        <v>0.24067085953878403</v>
      </c>
      <c r="AE288" s="559">
        <f t="shared" si="425"/>
        <v>5281.0826888756701</v>
      </c>
      <c r="AF288" s="542">
        <f t="shared" si="426"/>
        <v>4.6392002252886505E-2</v>
      </c>
      <c r="AH288" s="177">
        <f t="shared" si="427"/>
        <v>3.093772546815388</v>
      </c>
      <c r="AI288" s="177">
        <f t="shared" si="428"/>
        <v>3.093772546815388</v>
      </c>
      <c r="AJ288" s="177">
        <f t="shared" si="429"/>
        <v>2.8842759606039916</v>
      </c>
      <c r="AL288" s="559">
        <f t="shared" si="430"/>
        <v>700</v>
      </c>
      <c r="AM288" s="469">
        <f t="shared" si="431"/>
        <v>350</v>
      </c>
      <c r="AO288">
        <f t="shared" si="432"/>
        <v>700</v>
      </c>
      <c r="AP288">
        <f t="shared" si="433"/>
        <v>350</v>
      </c>
      <c r="AR288" s="5">
        <f t="shared" si="403"/>
        <v>2.8571428571428572</v>
      </c>
      <c r="AS288" s="5">
        <f t="shared" si="377"/>
        <v>1.2739063428063362</v>
      </c>
      <c r="AT288" s="5">
        <f t="shared" si="378"/>
        <v>1.583236514336521</v>
      </c>
      <c r="AU288" s="177">
        <f t="shared" si="379"/>
        <v>0.44586721998221768</v>
      </c>
      <c r="AW288" s="5">
        <f t="shared" si="434"/>
        <v>10.014141569481827</v>
      </c>
      <c r="AX288" s="5">
        <f t="shared" si="435"/>
        <v>18.82816830356623</v>
      </c>
      <c r="AY288" s="5">
        <f t="shared" si="436"/>
        <v>0.70947993256842168</v>
      </c>
      <c r="AZ288" s="5">
        <f t="shared" si="437"/>
        <v>1.0780718565249285</v>
      </c>
      <c r="BA288" s="5">
        <f t="shared" si="438"/>
        <v>1.5325860169738459</v>
      </c>
      <c r="BB288" s="5"/>
      <c r="CE288" s="576">
        <f t="shared" si="439"/>
        <v>-50</v>
      </c>
    </row>
    <row r="289" spans="5:83" x14ac:dyDescent="0.25">
      <c r="E289" s="174">
        <v>71</v>
      </c>
      <c r="F289" s="221">
        <f t="shared" si="440"/>
        <v>0.71</v>
      </c>
      <c r="G289" s="221">
        <f t="shared" si="404"/>
        <v>0.17749999999999999</v>
      </c>
      <c r="H289" s="221">
        <f t="shared" si="405"/>
        <v>10.649999999999999</v>
      </c>
      <c r="I289" s="221">
        <f t="shared" si="406"/>
        <v>1.2424999999999999</v>
      </c>
      <c r="J289" s="555">
        <f t="shared" si="407"/>
        <v>17</v>
      </c>
      <c r="K289" s="451">
        <f t="shared" si="408"/>
        <v>23.85</v>
      </c>
      <c r="L289" s="451">
        <f t="shared" si="409"/>
        <v>40.85</v>
      </c>
      <c r="M289" s="451"/>
      <c r="N289" s="221">
        <f t="shared" si="410"/>
        <v>0.58384332925336602</v>
      </c>
      <c r="O289" s="176">
        <f t="shared" si="411"/>
        <v>17.310083304408188</v>
      </c>
      <c r="P289" s="176">
        <f t="shared" si="412"/>
        <v>2.0195097188476221</v>
      </c>
      <c r="Q289" s="221">
        <f t="shared" si="413"/>
        <v>1.1540055536272125</v>
      </c>
      <c r="R289" s="221">
        <f t="shared" si="414"/>
        <v>2.4728690434868841</v>
      </c>
      <c r="S289" s="221">
        <f t="shared" si="415"/>
        <v>15</v>
      </c>
      <c r="T289" s="221">
        <f t="shared" si="416"/>
        <v>2.5225181896658033</v>
      </c>
      <c r="U289" s="221">
        <f t="shared" si="417"/>
        <v>1.0386839604506248</v>
      </c>
      <c r="V289" s="221">
        <f t="shared" si="418"/>
        <v>0.74036173281595907</v>
      </c>
      <c r="W289" s="201">
        <f t="shared" si="419"/>
        <v>350</v>
      </c>
      <c r="X289" s="451">
        <f t="shared" si="420"/>
        <v>350</v>
      </c>
      <c r="Z289" s="221">
        <f t="shared" si="421"/>
        <v>4.0511577948192743</v>
      </c>
      <c r="AA289" s="177">
        <f t="shared" si="422"/>
        <v>1.1890190592760972</v>
      </c>
      <c r="AB289" s="177">
        <f t="shared" si="423"/>
        <v>1.1323318705262224</v>
      </c>
      <c r="AC289" s="177"/>
      <c r="AD289" s="177">
        <f t="shared" si="424"/>
        <v>0.24067085953878403</v>
      </c>
      <c r="AE289" s="559">
        <f t="shared" si="425"/>
        <v>5356.5267272881792</v>
      </c>
      <c r="AF289" s="542">
        <f t="shared" si="426"/>
        <v>4.6392002252886505E-2</v>
      </c>
      <c r="AH289" s="177">
        <f t="shared" si="427"/>
        <v>3.1157925581312567</v>
      </c>
      <c r="AI289" s="177">
        <f t="shared" si="428"/>
        <v>3.1157925581312567</v>
      </c>
      <c r="AJ289" s="177">
        <f t="shared" si="429"/>
        <v>2.9005870800972273</v>
      </c>
      <c r="AL289" s="559">
        <f t="shared" si="430"/>
        <v>710</v>
      </c>
      <c r="AM289" s="469">
        <f t="shared" si="431"/>
        <v>350</v>
      </c>
      <c r="AO289">
        <f t="shared" si="432"/>
        <v>710</v>
      </c>
      <c r="AP289">
        <f t="shared" si="433"/>
        <v>350</v>
      </c>
      <c r="AR289" s="5">
        <f t="shared" si="403"/>
        <v>2.8571428571428572</v>
      </c>
      <c r="AS289" s="5">
        <f t="shared" si="377"/>
        <v>1.282973406289341</v>
      </c>
      <c r="AT289" s="5">
        <f t="shared" si="378"/>
        <v>1.5741694508535162</v>
      </c>
      <c r="AU289" s="177">
        <f t="shared" si="379"/>
        <v>0.44904069220126935</v>
      </c>
      <c r="AW289" s="5">
        <f t="shared" si="434"/>
        <v>10.014141569481827</v>
      </c>
      <c r="AX289" s="5">
        <f t="shared" si="435"/>
        <v>19.339529881281099</v>
      </c>
      <c r="AY289" s="5">
        <f t="shared" si="436"/>
        <v>0.70947993256842168</v>
      </c>
      <c r="AZ289" s="5">
        <f t="shared" si="437"/>
        <v>1.1014867813759521</v>
      </c>
      <c r="BA289" s="5">
        <f t="shared" si="438"/>
        <v>1.5455777250175802</v>
      </c>
      <c r="BB289" s="5"/>
      <c r="CE289" s="576">
        <f t="shared" si="439"/>
        <v>-50</v>
      </c>
    </row>
    <row r="290" spans="5:83" x14ac:dyDescent="0.25">
      <c r="E290" s="174">
        <v>72</v>
      </c>
      <c r="F290" s="221">
        <f t="shared" si="440"/>
        <v>0.72</v>
      </c>
      <c r="G290" s="221">
        <f t="shared" si="404"/>
        <v>0.18</v>
      </c>
      <c r="H290" s="221">
        <f t="shared" si="405"/>
        <v>10.799999999999999</v>
      </c>
      <c r="I290" s="221">
        <f t="shared" si="406"/>
        <v>1.26</v>
      </c>
      <c r="J290" s="555">
        <f t="shared" si="407"/>
        <v>17</v>
      </c>
      <c r="K290" s="451">
        <f t="shared" si="408"/>
        <v>23.85</v>
      </c>
      <c r="L290" s="451">
        <f t="shared" si="409"/>
        <v>40.85</v>
      </c>
      <c r="M290" s="451"/>
      <c r="N290" s="221">
        <f t="shared" si="410"/>
        <v>0.58384332925336602</v>
      </c>
      <c r="O290" s="176">
        <f t="shared" si="411"/>
        <v>17.310083304408188</v>
      </c>
      <c r="P290" s="176">
        <f t="shared" si="412"/>
        <v>2.0195097188476221</v>
      </c>
      <c r="Q290" s="221">
        <f t="shared" si="413"/>
        <v>1.1540055536272125</v>
      </c>
      <c r="R290" s="221">
        <f t="shared" si="414"/>
        <v>2.4728690434868841</v>
      </c>
      <c r="S290" s="221">
        <f t="shared" si="415"/>
        <v>15</v>
      </c>
      <c r="T290" s="221">
        <f t="shared" si="416"/>
        <v>2.5580466148723642</v>
      </c>
      <c r="U290" s="221">
        <f t="shared" si="417"/>
        <v>1.0533133120062677</v>
      </c>
      <c r="V290" s="221">
        <f t="shared" si="418"/>
        <v>0.75078936285562037</v>
      </c>
      <c r="W290" s="201">
        <f t="shared" si="419"/>
        <v>350</v>
      </c>
      <c r="X290" s="451">
        <f t="shared" si="420"/>
        <v>350</v>
      </c>
      <c r="Z290" s="221">
        <f t="shared" si="421"/>
        <v>4.0511577948192743</v>
      </c>
      <c r="AA290" s="177">
        <f t="shared" si="422"/>
        <v>1.1890190592760972</v>
      </c>
      <c r="AB290" s="177">
        <f t="shared" si="423"/>
        <v>1.1323318705262224</v>
      </c>
      <c r="AC290" s="177"/>
      <c r="AD290" s="177">
        <f t="shared" si="424"/>
        <v>0.24067085953878403</v>
      </c>
      <c r="AE290" s="559">
        <f t="shared" si="425"/>
        <v>5431.9707657006902</v>
      </c>
      <c r="AF290" s="542">
        <f t="shared" si="426"/>
        <v>4.6392002252886505E-2</v>
      </c>
      <c r="AH290" s="177">
        <f t="shared" si="427"/>
        <v>3.1376580373239644</v>
      </c>
      <c r="AI290" s="177">
        <f t="shared" si="428"/>
        <v>3.1376580373239644</v>
      </c>
      <c r="AJ290" s="177">
        <f t="shared" si="429"/>
        <v>2.9167837313510852</v>
      </c>
      <c r="AL290" s="559">
        <f t="shared" si="430"/>
        <v>720</v>
      </c>
      <c r="AM290" s="469">
        <f t="shared" si="431"/>
        <v>350</v>
      </c>
      <c r="AO290">
        <f t="shared" si="432"/>
        <v>720</v>
      </c>
      <c r="AP290">
        <f t="shared" si="433"/>
        <v>350</v>
      </c>
      <c r="AR290" s="5">
        <f t="shared" si="403"/>
        <v>2.8571428571428572</v>
      </c>
      <c r="AS290" s="5">
        <f t="shared" si="377"/>
        <v>1.291976838898103</v>
      </c>
      <c r="AT290" s="5">
        <f t="shared" si="378"/>
        <v>1.5651660182447542</v>
      </c>
      <c r="AU290" s="177">
        <f t="shared" si="379"/>
        <v>0.45219189361433604</v>
      </c>
      <c r="AW290" s="5">
        <f t="shared" si="434"/>
        <v>10.014141569481827</v>
      </c>
      <c r="AX290" s="5">
        <f t="shared" si="435"/>
        <v>19.85771928279334</v>
      </c>
      <c r="AY290" s="5">
        <f t="shared" si="436"/>
        <v>0.70947993256842168</v>
      </c>
      <c r="AZ290" s="5">
        <f t="shared" si="437"/>
        <v>1.1251274498418837</v>
      </c>
      <c r="BA290" s="5">
        <f t="shared" si="438"/>
        <v>1.5583820169272844</v>
      </c>
      <c r="BB290" s="5"/>
      <c r="CE290" s="576">
        <f t="shared" si="439"/>
        <v>-50</v>
      </c>
    </row>
    <row r="291" spans="5:83" x14ac:dyDescent="0.25">
      <c r="E291" s="174">
        <v>73</v>
      </c>
      <c r="F291" s="221">
        <f t="shared" si="440"/>
        <v>0.73</v>
      </c>
      <c r="G291" s="221">
        <f t="shared" si="404"/>
        <v>0.1825</v>
      </c>
      <c r="H291" s="221">
        <f t="shared" si="405"/>
        <v>10.95</v>
      </c>
      <c r="I291" s="221">
        <f t="shared" si="406"/>
        <v>1.2774999999999999</v>
      </c>
      <c r="J291" s="555">
        <f t="shared" si="407"/>
        <v>17</v>
      </c>
      <c r="K291" s="451">
        <f t="shared" si="408"/>
        <v>23.85</v>
      </c>
      <c r="L291" s="451">
        <f t="shared" si="409"/>
        <v>40.85</v>
      </c>
      <c r="M291" s="451"/>
      <c r="N291" s="221">
        <f t="shared" si="410"/>
        <v>0.58384332925336602</v>
      </c>
      <c r="O291" s="176">
        <f t="shared" si="411"/>
        <v>17.310083304408188</v>
      </c>
      <c r="P291" s="176">
        <f t="shared" si="412"/>
        <v>2.0195097188476221</v>
      </c>
      <c r="Q291" s="221">
        <f t="shared" si="413"/>
        <v>1.1540055536272125</v>
      </c>
      <c r="R291" s="221">
        <f t="shared" si="414"/>
        <v>2.4728690434868841</v>
      </c>
      <c r="S291" s="221">
        <f t="shared" si="415"/>
        <v>15</v>
      </c>
      <c r="T291" s="221">
        <f t="shared" si="416"/>
        <v>2.5935750400789246</v>
      </c>
      <c r="U291" s="221">
        <f t="shared" si="417"/>
        <v>1.06794266356191</v>
      </c>
      <c r="V291" s="221">
        <f t="shared" si="418"/>
        <v>0.76121699289528177</v>
      </c>
      <c r="W291" s="201">
        <f t="shared" si="419"/>
        <v>350</v>
      </c>
      <c r="X291" s="451">
        <f t="shared" si="420"/>
        <v>350</v>
      </c>
      <c r="Z291" s="221">
        <f t="shared" si="421"/>
        <v>4.0511577948192743</v>
      </c>
      <c r="AA291" s="177">
        <f t="shared" si="422"/>
        <v>1.1890190592760972</v>
      </c>
      <c r="AB291" s="177">
        <f t="shared" si="423"/>
        <v>1.1323318705262224</v>
      </c>
      <c r="AC291" s="177"/>
      <c r="AD291" s="177">
        <f t="shared" si="424"/>
        <v>0.24067085953878403</v>
      </c>
      <c r="AE291" s="559">
        <f t="shared" si="425"/>
        <v>5507.4148041131984</v>
      </c>
      <c r="AF291" s="542">
        <f t="shared" si="426"/>
        <v>4.6392002252886505E-2</v>
      </c>
      <c r="AH291" s="177">
        <f t="shared" si="427"/>
        <v>3.1593721928669978</v>
      </c>
      <c r="AI291" s="177">
        <f t="shared" si="428"/>
        <v>3.1593721928669978</v>
      </c>
      <c r="AJ291" s="177">
        <f t="shared" si="429"/>
        <v>2.9328682910125909</v>
      </c>
      <c r="AL291" s="559">
        <f t="shared" si="430"/>
        <v>730</v>
      </c>
      <c r="AM291" s="469">
        <f t="shared" si="431"/>
        <v>350</v>
      </c>
      <c r="AO291">
        <f t="shared" si="432"/>
        <v>730</v>
      </c>
      <c r="AP291">
        <f t="shared" si="433"/>
        <v>350</v>
      </c>
      <c r="AR291" s="5">
        <f t="shared" si="403"/>
        <v>2.8571428571428572</v>
      </c>
      <c r="AS291" s="5">
        <f t="shared" si="377"/>
        <v>1.3009179617687638</v>
      </c>
      <c r="AT291" s="5">
        <f t="shared" si="378"/>
        <v>1.5562248953740934</v>
      </c>
      <c r="AU291" s="177">
        <f t="shared" si="379"/>
        <v>0.45532128661906734</v>
      </c>
      <c r="AW291" s="5">
        <f t="shared" si="434"/>
        <v>10.014141569481827</v>
      </c>
      <c r="AX291" s="5">
        <f t="shared" si="435"/>
        <v>20.382736508102948</v>
      </c>
      <c r="AY291" s="5">
        <f t="shared" si="436"/>
        <v>0.70947993256842168</v>
      </c>
      <c r="AZ291" s="5">
        <f t="shared" si="437"/>
        <v>1.1489938619227233</v>
      </c>
      <c r="BA291" s="5">
        <f t="shared" si="438"/>
        <v>1.5710001988183055</v>
      </c>
      <c r="BB291" s="5"/>
      <c r="CE291" s="576">
        <f t="shared" si="439"/>
        <v>-50</v>
      </c>
    </row>
    <row r="292" spans="5:83" x14ac:dyDescent="0.25">
      <c r="E292" s="174">
        <v>74</v>
      </c>
      <c r="F292" s="221">
        <f t="shared" si="440"/>
        <v>0.74</v>
      </c>
      <c r="G292" s="221">
        <f t="shared" si="404"/>
        <v>0.185</v>
      </c>
      <c r="H292" s="221">
        <f t="shared" si="405"/>
        <v>11.1</v>
      </c>
      <c r="I292" s="221">
        <f t="shared" si="406"/>
        <v>1.2949999999999999</v>
      </c>
      <c r="J292" s="555">
        <f t="shared" si="407"/>
        <v>17</v>
      </c>
      <c r="K292" s="451">
        <f t="shared" si="408"/>
        <v>23.85</v>
      </c>
      <c r="L292" s="451">
        <f t="shared" si="409"/>
        <v>40.85</v>
      </c>
      <c r="M292" s="451"/>
      <c r="N292" s="221">
        <f t="shared" si="410"/>
        <v>0.58384332925336602</v>
      </c>
      <c r="O292" s="176">
        <f t="shared" si="411"/>
        <v>17.310083304408188</v>
      </c>
      <c r="P292" s="176">
        <f t="shared" si="412"/>
        <v>2.0195097188476221</v>
      </c>
      <c r="Q292" s="221">
        <f t="shared" si="413"/>
        <v>1.1540055536272125</v>
      </c>
      <c r="R292" s="221">
        <f t="shared" si="414"/>
        <v>2.4728690434868841</v>
      </c>
      <c r="S292" s="221">
        <f t="shared" si="415"/>
        <v>15</v>
      </c>
      <c r="T292" s="221">
        <f t="shared" si="416"/>
        <v>2.6291034652854854</v>
      </c>
      <c r="U292" s="221">
        <f t="shared" si="417"/>
        <v>1.0825720151175531</v>
      </c>
      <c r="V292" s="221">
        <f t="shared" si="418"/>
        <v>0.7716446229349434</v>
      </c>
      <c r="W292" s="201">
        <f t="shared" si="419"/>
        <v>350</v>
      </c>
      <c r="X292" s="451">
        <f t="shared" si="420"/>
        <v>350</v>
      </c>
      <c r="Z292" s="221">
        <f t="shared" si="421"/>
        <v>4.0511577948192743</v>
      </c>
      <c r="AA292" s="177">
        <f t="shared" si="422"/>
        <v>1.1890190592760972</v>
      </c>
      <c r="AB292" s="177">
        <f t="shared" si="423"/>
        <v>1.1323318705262224</v>
      </c>
      <c r="AC292" s="177"/>
      <c r="AD292" s="177">
        <f t="shared" si="424"/>
        <v>0.24067085953878403</v>
      </c>
      <c r="AE292" s="559">
        <f t="shared" si="425"/>
        <v>5582.8588425257085</v>
      </c>
      <c r="AF292" s="542">
        <f t="shared" si="426"/>
        <v>4.6392002252886505E-2</v>
      </c>
      <c r="AH292" s="177">
        <f t="shared" si="427"/>
        <v>3.1809381237205439</v>
      </c>
      <c r="AI292" s="177">
        <f t="shared" si="428"/>
        <v>3.1809381237205439</v>
      </c>
      <c r="AJ292" s="177">
        <f t="shared" si="429"/>
        <v>2.9488430546078104</v>
      </c>
      <c r="AL292" s="559">
        <f t="shared" si="430"/>
        <v>740</v>
      </c>
      <c r="AM292" s="469">
        <f t="shared" si="431"/>
        <v>350</v>
      </c>
      <c r="AO292">
        <f t="shared" si="432"/>
        <v>740</v>
      </c>
      <c r="AP292">
        <f t="shared" si="433"/>
        <v>350</v>
      </c>
      <c r="AR292" s="5">
        <f t="shared" si="403"/>
        <v>2.8571428571428572</v>
      </c>
      <c r="AS292" s="5">
        <f t="shared" si="377"/>
        <v>1.3097980509437535</v>
      </c>
      <c r="AT292" s="5">
        <f t="shared" si="378"/>
        <v>1.5473448061991038</v>
      </c>
      <c r="AU292" s="177">
        <f t="shared" si="379"/>
        <v>0.45842931783031371</v>
      </c>
      <c r="AW292" s="5">
        <f t="shared" si="434"/>
        <v>10.014141569481827</v>
      </c>
      <c r="AX292" s="5">
        <f t="shared" si="435"/>
        <v>20.914581557209935</v>
      </c>
      <c r="AY292" s="5">
        <f t="shared" si="436"/>
        <v>0.70947993256842168</v>
      </c>
      <c r="AZ292" s="5">
        <f t="shared" si="437"/>
        <v>1.1730860176184712</v>
      </c>
      <c r="BA292" s="5">
        <f t="shared" si="438"/>
        <v>1.5834335498730974</v>
      </c>
      <c r="BB292" s="5"/>
      <c r="CE292" s="576">
        <f t="shared" si="439"/>
        <v>-50</v>
      </c>
    </row>
    <row r="293" spans="5:83" x14ac:dyDescent="0.25">
      <c r="E293" s="174">
        <v>75</v>
      </c>
      <c r="F293" s="221">
        <f t="shared" si="440"/>
        <v>0.75</v>
      </c>
      <c r="G293" s="221">
        <f t="shared" si="404"/>
        <v>0.1875</v>
      </c>
      <c r="H293" s="221">
        <f t="shared" si="405"/>
        <v>11.25</v>
      </c>
      <c r="I293" s="221">
        <f t="shared" si="406"/>
        <v>1.3125</v>
      </c>
      <c r="J293" s="555">
        <f t="shared" si="407"/>
        <v>17</v>
      </c>
      <c r="K293" s="451">
        <f t="shared" si="408"/>
        <v>23.85</v>
      </c>
      <c r="L293" s="451">
        <f t="shared" si="409"/>
        <v>40.85</v>
      </c>
      <c r="M293" s="451"/>
      <c r="N293" s="221">
        <f t="shared" si="410"/>
        <v>0.58384332925336602</v>
      </c>
      <c r="O293" s="176">
        <f t="shared" si="411"/>
        <v>17.310083304408188</v>
      </c>
      <c r="P293" s="176">
        <f t="shared" si="412"/>
        <v>2.0195097188476221</v>
      </c>
      <c r="Q293" s="221">
        <f t="shared" si="413"/>
        <v>1.1540055536272125</v>
      </c>
      <c r="R293" s="221">
        <f t="shared" si="414"/>
        <v>2.4728690434868841</v>
      </c>
      <c r="S293" s="221">
        <f t="shared" si="415"/>
        <v>15</v>
      </c>
      <c r="T293" s="221">
        <f t="shared" si="416"/>
        <v>2.6646318904920463</v>
      </c>
      <c r="U293" s="221">
        <f t="shared" si="417"/>
        <v>1.0972013666731955</v>
      </c>
      <c r="V293" s="221">
        <f t="shared" si="418"/>
        <v>0.7820722529746047</v>
      </c>
      <c r="W293" s="201">
        <f t="shared" si="419"/>
        <v>350</v>
      </c>
      <c r="X293" s="451">
        <f t="shared" si="420"/>
        <v>350</v>
      </c>
      <c r="Z293" s="221">
        <f t="shared" si="421"/>
        <v>4.0511577948192743</v>
      </c>
      <c r="AA293" s="177">
        <f t="shared" si="422"/>
        <v>1.1890190592760972</v>
      </c>
      <c r="AB293" s="177">
        <f t="shared" si="423"/>
        <v>1.1323318705262224</v>
      </c>
      <c r="AC293" s="177"/>
      <c r="AD293" s="177">
        <f t="shared" si="424"/>
        <v>0.24067085953878403</v>
      </c>
      <c r="AE293" s="559">
        <f t="shared" si="425"/>
        <v>5658.3028809382185</v>
      </c>
      <c r="AF293" s="542">
        <f t="shared" si="426"/>
        <v>4.6392002252886505E-2</v>
      </c>
      <c r="AH293" s="177">
        <f t="shared" si="427"/>
        <v>3.2023588244942705</v>
      </c>
      <c r="AI293" s="177">
        <f t="shared" si="428"/>
        <v>3.2023588244942705</v>
      </c>
      <c r="AJ293" s="177">
        <f t="shared" si="429"/>
        <v>2.9647102403661263</v>
      </c>
      <c r="AL293" s="559">
        <f t="shared" si="430"/>
        <v>750</v>
      </c>
      <c r="AM293" s="469">
        <f t="shared" si="431"/>
        <v>350</v>
      </c>
      <c r="AO293">
        <f t="shared" si="432"/>
        <v>750</v>
      </c>
      <c r="AP293">
        <f t="shared" si="433"/>
        <v>350</v>
      </c>
      <c r="AR293" s="5">
        <f t="shared" si="403"/>
        <v>2.8571428571428572</v>
      </c>
      <c r="AS293" s="5">
        <f t="shared" si="377"/>
        <v>1.318618339497641</v>
      </c>
      <c r="AT293" s="5">
        <f t="shared" si="378"/>
        <v>1.5385245176452162</v>
      </c>
      <c r="AU293" s="177">
        <f t="shared" si="379"/>
        <v>0.46151641882417432</v>
      </c>
      <c r="AW293" s="5">
        <f t="shared" si="434"/>
        <v>10.014141569481827</v>
      </c>
      <c r="AX293" s="5">
        <f t="shared" si="435"/>
        <v>21.453254430114299</v>
      </c>
      <c r="AY293" s="5">
        <f t="shared" si="436"/>
        <v>0.70947993256842168</v>
      </c>
      <c r="AZ293" s="5">
        <f t="shared" si="437"/>
        <v>1.1974039169291273</v>
      </c>
      <c r="BA293" s="5">
        <f t="shared" si="438"/>
        <v>1.5956833232543266</v>
      </c>
      <c r="BB293" s="5"/>
      <c r="CE293" s="576">
        <f t="shared" si="439"/>
        <v>-50</v>
      </c>
    </row>
    <row r="294" spans="5:83" x14ac:dyDescent="0.25">
      <c r="E294" s="174">
        <v>76</v>
      </c>
      <c r="F294" s="221">
        <f t="shared" si="440"/>
        <v>0.76</v>
      </c>
      <c r="G294" s="221">
        <f t="shared" si="404"/>
        <v>0.19</v>
      </c>
      <c r="H294" s="221">
        <f t="shared" si="405"/>
        <v>11.4</v>
      </c>
      <c r="I294" s="221">
        <f t="shared" si="406"/>
        <v>1.33</v>
      </c>
      <c r="J294" s="555">
        <f t="shared" si="407"/>
        <v>17</v>
      </c>
      <c r="K294" s="451">
        <f t="shared" si="408"/>
        <v>23.85</v>
      </c>
      <c r="L294" s="451">
        <f t="shared" si="409"/>
        <v>40.85</v>
      </c>
      <c r="M294" s="451"/>
      <c r="N294" s="221">
        <f t="shared" si="410"/>
        <v>0.58384332925336602</v>
      </c>
      <c r="O294" s="176">
        <f t="shared" si="411"/>
        <v>17.310083304408188</v>
      </c>
      <c r="P294" s="176">
        <f t="shared" si="412"/>
        <v>2.0195097188476221</v>
      </c>
      <c r="Q294" s="221">
        <f t="shared" si="413"/>
        <v>1.1540055536272125</v>
      </c>
      <c r="R294" s="221">
        <f t="shared" si="414"/>
        <v>2.4728690434868841</v>
      </c>
      <c r="S294" s="221">
        <f t="shared" si="415"/>
        <v>15</v>
      </c>
      <c r="T294" s="221">
        <f t="shared" si="416"/>
        <v>2.7001603156986067</v>
      </c>
      <c r="U294" s="221">
        <f t="shared" si="417"/>
        <v>1.1118307182288381</v>
      </c>
      <c r="V294" s="221">
        <f t="shared" si="418"/>
        <v>0.79249988301426599</v>
      </c>
      <c r="W294" s="201">
        <f t="shared" si="419"/>
        <v>350</v>
      </c>
      <c r="X294" s="451">
        <f t="shared" si="420"/>
        <v>350</v>
      </c>
      <c r="Z294" s="221">
        <f t="shared" si="421"/>
        <v>4.0511577948192743</v>
      </c>
      <c r="AA294" s="177">
        <f t="shared" si="422"/>
        <v>1.1890190592760972</v>
      </c>
      <c r="AB294" s="177">
        <f t="shared" si="423"/>
        <v>1.1323318705262224</v>
      </c>
      <c r="AC294" s="177"/>
      <c r="AD294" s="177">
        <f t="shared" si="424"/>
        <v>0.24067085953878403</v>
      </c>
      <c r="AE294" s="559">
        <f t="shared" si="425"/>
        <v>5733.7469193507286</v>
      </c>
      <c r="AF294" s="542">
        <f t="shared" si="426"/>
        <v>4.6392002252886505E-2</v>
      </c>
      <c r="AH294" s="177">
        <f t="shared" si="427"/>
        <v>3.2236371903013334</v>
      </c>
      <c r="AI294" s="177">
        <f t="shared" si="428"/>
        <v>3.2236371903013334</v>
      </c>
      <c r="AJ294" s="177">
        <f t="shared" si="429"/>
        <v>2.9804719928158026</v>
      </c>
      <c r="AL294" s="559">
        <f t="shared" si="430"/>
        <v>760</v>
      </c>
      <c r="AM294" s="469">
        <f t="shared" si="431"/>
        <v>350</v>
      </c>
      <c r="AO294">
        <f t="shared" si="432"/>
        <v>760</v>
      </c>
      <c r="AP294">
        <f t="shared" si="433"/>
        <v>350</v>
      </c>
      <c r="AR294" s="5">
        <f t="shared" si="403"/>
        <v>2.8571428571428572</v>
      </c>
      <c r="AS294" s="5">
        <f t="shared" si="377"/>
        <v>1.3273800195358429</v>
      </c>
      <c r="AT294" s="5">
        <f t="shared" si="378"/>
        <v>1.5297628376070143</v>
      </c>
      <c r="AU294" s="177">
        <f t="shared" si="379"/>
        <v>0.464583006837545</v>
      </c>
      <c r="AW294" s="5">
        <f t="shared" si="434"/>
        <v>10.014141569481827</v>
      </c>
      <c r="AX294" s="5">
        <f t="shared" si="435"/>
        <v>21.998755126816036</v>
      </c>
      <c r="AY294" s="5">
        <f t="shared" si="436"/>
        <v>0.70947993256842168</v>
      </c>
      <c r="AZ294" s="5">
        <f t="shared" si="437"/>
        <v>1.2219475598546916</v>
      </c>
      <c r="BA294" s="5">
        <f t="shared" si="438"/>
        <v>1.607750746975215</v>
      </c>
      <c r="BB294" s="5"/>
      <c r="CE294" s="576">
        <f t="shared" si="439"/>
        <v>-50</v>
      </c>
    </row>
    <row r="295" spans="5:83" x14ac:dyDescent="0.25">
      <c r="E295" s="174">
        <v>77</v>
      </c>
      <c r="F295" s="221">
        <f t="shared" si="440"/>
        <v>0.77</v>
      </c>
      <c r="G295" s="221">
        <f t="shared" si="404"/>
        <v>0.1925</v>
      </c>
      <c r="H295" s="221">
        <f t="shared" si="405"/>
        <v>11.55</v>
      </c>
      <c r="I295" s="221">
        <f t="shared" si="406"/>
        <v>1.3475000000000001</v>
      </c>
      <c r="J295" s="555">
        <f t="shared" si="407"/>
        <v>17</v>
      </c>
      <c r="K295" s="451">
        <f t="shared" si="408"/>
        <v>23.85</v>
      </c>
      <c r="L295" s="451">
        <f t="shared" si="409"/>
        <v>40.85</v>
      </c>
      <c r="M295" s="451"/>
      <c r="N295" s="221">
        <f t="shared" si="410"/>
        <v>0.58384332925336602</v>
      </c>
      <c r="O295" s="176">
        <f t="shared" si="411"/>
        <v>17.310083304408188</v>
      </c>
      <c r="P295" s="176">
        <f t="shared" si="412"/>
        <v>2.0195097188476221</v>
      </c>
      <c r="Q295" s="221">
        <f t="shared" si="413"/>
        <v>1.1540055536272125</v>
      </c>
      <c r="R295" s="221">
        <f t="shared" si="414"/>
        <v>2.4728690434868841</v>
      </c>
      <c r="S295" s="221">
        <f t="shared" si="415"/>
        <v>15</v>
      </c>
      <c r="T295" s="221">
        <f t="shared" si="416"/>
        <v>2.7356887409051676</v>
      </c>
      <c r="U295" s="221">
        <f t="shared" si="417"/>
        <v>1.1264600697844809</v>
      </c>
      <c r="V295" s="221">
        <f t="shared" si="418"/>
        <v>0.80292751305392751</v>
      </c>
      <c r="W295" s="201">
        <f t="shared" si="419"/>
        <v>350</v>
      </c>
      <c r="X295" s="451">
        <f t="shared" si="420"/>
        <v>350</v>
      </c>
      <c r="Z295" s="221">
        <f t="shared" si="421"/>
        <v>4.0511577948192743</v>
      </c>
      <c r="AA295" s="177">
        <f t="shared" si="422"/>
        <v>1.1890190592760972</v>
      </c>
      <c r="AB295" s="177">
        <f t="shared" si="423"/>
        <v>1.1323318705262224</v>
      </c>
      <c r="AC295" s="177"/>
      <c r="AD295" s="177">
        <f t="shared" si="424"/>
        <v>0.24067085953878403</v>
      </c>
      <c r="AE295" s="559">
        <f t="shared" si="425"/>
        <v>5809.1909577632368</v>
      </c>
      <c r="AF295" s="542">
        <f t="shared" si="426"/>
        <v>4.6392002252886505E-2</v>
      </c>
      <c r="AH295" s="177">
        <f t="shared" si="427"/>
        <v>3.2447760213258832</v>
      </c>
      <c r="AI295" s="177">
        <f t="shared" si="428"/>
        <v>3.2447760213258832</v>
      </c>
      <c r="AJ295" s="177">
        <f t="shared" si="429"/>
        <v>2.9961303861673212</v>
      </c>
      <c r="AL295" s="559">
        <f t="shared" si="430"/>
        <v>770</v>
      </c>
      <c r="AM295" s="469">
        <f t="shared" si="431"/>
        <v>350</v>
      </c>
      <c r="AO295">
        <f t="shared" si="432"/>
        <v>770</v>
      </c>
      <c r="AP295">
        <f t="shared" si="433"/>
        <v>350</v>
      </c>
      <c r="AR295" s="5">
        <f t="shared" si="403"/>
        <v>2.8571428571428572</v>
      </c>
      <c r="AS295" s="5">
        <f t="shared" si="377"/>
        <v>1.3360842440753635</v>
      </c>
      <c r="AT295" s="5">
        <f t="shared" si="378"/>
        <v>1.5210586130674937</v>
      </c>
      <c r="AU295" s="177">
        <f t="shared" si="379"/>
        <v>0.46762948542637722</v>
      </c>
      <c r="AW295" s="5">
        <f t="shared" si="434"/>
        <v>10.014141569481827</v>
      </c>
      <c r="AX295" s="5">
        <f t="shared" si="435"/>
        <v>22.551083647315142</v>
      </c>
      <c r="AY295" s="5">
        <f t="shared" si="436"/>
        <v>0.70947993256842168</v>
      </c>
      <c r="AZ295" s="5">
        <f t="shared" si="437"/>
        <v>1.2467169463951637</v>
      </c>
      <c r="BA295" s="5">
        <f t="shared" si="438"/>
        <v>1.6196370247296594</v>
      </c>
      <c r="BB295" s="5"/>
      <c r="CE295" s="576">
        <f t="shared" si="439"/>
        <v>-50</v>
      </c>
    </row>
    <row r="296" spans="5:83" x14ac:dyDescent="0.25">
      <c r="E296" s="174">
        <v>78</v>
      </c>
      <c r="F296" s="221">
        <f t="shared" si="440"/>
        <v>0.78</v>
      </c>
      <c r="G296" s="221">
        <f t="shared" si="404"/>
        <v>0.19500000000000001</v>
      </c>
      <c r="H296" s="221">
        <f t="shared" si="405"/>
        <v>11.700000000000001</v>
      </c>
      <c r="I296" s="221">
        <f t="shared" si="406"/>
        <v>1.365</v>
      </c>
      <c r="J296" s="555">
        <f t="shared" si="407"/>
        <v>17</v>
      </c>
      <c r="K296" s="451">
        <f t="shared" si="408"/>
        <v>23.85</v>
      </c>
      <c r="L296" s="451">
        <f t="shared" si="409"/>
        <v>40.85</v>
      </c>
      <c r="M296" s="451"/>
      <c r="N296" s="221">
        <f t="shared" si="410"/>
        <v>0.58384332925336602</v>
      </c>
      <c r="O296" s="176">
        <f t="shared" si="411"/>
        <v>17.310083304408188</v>
      </c>
      <c r="P296" s="176">
        <f t="shared" si="412"/>
        <v>2.0195097188476221</v>
      </c>
      <c r="Q296" s="221">
        <f t="shared" si="413"/>
        <v>1.1540055536272125</v>
      </c>
      <c r="R296" s="221">
        <f t="shared" si="414"/>
        <v>2.4728690434868841</v>
      </c>
      <c r="S296" s="221">
        <f t="shared" si="415"/>
        <v>15</v>
      </c>
      <c r="T296" s="221">
        <f t="shared" si="416"/>
        <v>2.7712171661117284</v>
      </c>
      <c r="U296" s="221">
        <f t="shared" si="417"/>
        <v>1.1410894213401235</v>
      </c>
      <c r="V296" s="221">
        <f t="shared" si="418"/>
        <v>0.81335514309358903</v>
      </c>
      <c r="W296" s="201">
        <f t="shared" si="419"/>
        <v>350</v>
      </c>
      <c r="X296" s="451">
        <f t="shared" si="420"/>
        <v>350</v>
      </c>
      <c r="Z296" s="221">
        <f t="shared" si="421"/>
        <v>4.0511577948192743</v>
      </c>
      <c r="AA296" s="177">
        <f t="shared" si="422"/>
        <v>1.1890190592760972</v>
      </c>
      <c r="AB296" s="177">
        <f t="shared" si="423"/>
        <v>1.1323318705262224</v>
      </c>
      <c r="AC296" s="177"/>
      <c r="AD296" s="177">
        <f t="shared" si="424"/>
        <v>0.24067085953878403</v>
      </c>
      <c r="AE296" s="559">
        <f t="shared" si="425"/>
        <v>5884.6349961757478</v>
      </c>
      <c r="AF296" s="542">
        <f t="shared" si="426"/>
        <v>4.6392002252886505E-2</v>
      </c>
      <c r="AH296" s="177">
        <f t="shared" si="427"/>
        <v>3.2657780271244676</v>
      </c>
      <c r="AI296" s="177">
        <f t="shared" si="428"/>
        <v>3.2657780271244676</v>
      </c>
      <c r="AJ296" s="177">
        <f t="shared" si="429"/>
        <v>3.0116874274996057</v>
      </c>
      <c r="AL296" s="559">
        <f t="shared" si="430"/>
        <v>780</v>
      </c>
      <c r="AM296" s="469">
        <f t="shared" si="431"/>
        <v>350</v>
      </c>
      <c r="AO296">
        <f t="shared" si="432"/>
        <v>780</v>
      </c>
      <c r="AP296">
        <f t="shared" si="433"/>
        <v>350</v>
      </c>
      <c r="AR296" s="5">
        <f t="shared" si="403"/>
        <v>2.8571428571428572</v>
      </c>
      <c r="AS296" s="5">
        <f t="shared" si="377"/>
        <v>1.3447321288159573</v>
      </c>
      <c r="AT296" s="5">
        <f t="shared" si="378"/>
        <v>1.5124107283268999</v>
      </c>
      <c r="AU296" s="177">
        <f t="shared" si="379"/>
        <v>0.47065624508558501</v>
      </c>
      <c r="AW296" s="5">
        <f t="shared" si="434"/>
        <v>10.014141569481827</v>
      </c>
      <c r="AX296" s="5">
        <f t="shared" si="435"/>
        <v>23.110239991611632</v>
      </c>
      <c r="AY296" s="5">
        <f t="shared" si="436"/>
        <v>0.70947993256842168</v>
      </c>
      <c r="AZ296" s="5">
        <f t="shared" si="437"/>
        <v>1.2717120765505441</v>
      </c>
      <c r="BA296" s="5">
        <f t="shared" si="438"/>
        <v>1.6313433366844956</v>
      </c>
      <c r="BB296" s="5"/>
      <c r="CE296" s="576">
        <f t="shared" si="439"/>
        <v>-50</v>
      </c>
    </row>
    <row r="297" spans="5:83" x14ac:dyDescent="0.25">
      <c r="E297" s="174">
        <v>79</v>
      </c>
      <c r="F297" s="221">
        <f t="shared" si="440"/>
        <v>0.79</v>
      </c>
      <c r="G297" s="221">
        <f t="shared" si="404"/>
        <v>0.19750000000000001</v>
      </c>
      <c r="H297" s="221">
        <f t="shared" si="405"/>
        <v>11.850000000000001</v>
      </c>
      <c r="I297" s="221">
        <f t="shared" si="406"/>
        <v>1.3825000000000001</v>
      </c>
      <c r="J297" s="555">
        <f t="shared" si="407"/>
        <v>17</v>
      </c>
      <c r="K297" s="451">
        <f t="shared" si="408"/>
        <v>23.85</v>
      </c>
      <c r="L297" s="451">
        <f t="shared" si="409"/>
        <v>40.85</v>
      </c>
      <c r="M297" s="451"/>
      <c r="N297" s="221">
        <f t="shared" si="410"/>
        <v>0.58384332925336602</v>
      </c>
      <c r="O297" s="176">
        <f t="shared" si="411"/>
        <v>17.310083304408188</v>
      </c>
      <c r="P297" s="176">
        <f t="shared" si="412"/>
        <v>2.0195097188476221</v>
      </c>
      <c r="Q297" s="221">
        <f t="shared" si="413"/>
        <v>1.1540055536272125</v>
      </c>
      <c r="R297" s="221">
        <f t="shared" si="414"/>
        <v>2.4728690434868841</v>
      </c>
      <c r="S297" s="221">
        <f t="shared" si="415"/>
        <v>15</v>
      </c>
      <c r="T297" s="221">
        <f t="shared" si="416"/>
        <v>2.8067455913182888</v>
      </c>
      <c r="U297" s="221">
        <f t="shared" si="417"/>
        <v>1.1557187728957659</v>
      </c>
      <c r="V297" s="221">
        <f t="shared" si="418"/>
        <v>0.82378277313325032</v>
      </c>
      <c r="W297" s="201">
        <f t="shared" si="419"/>
        <v>350</v>
      </c>
      <c r="X297" s="451">
        <f t="shared" si="420"/>
        <v>350</v>
      </c>
      <c r="Z297" s="221">
        <f t="shared" si="421"/>
        <v>4.0511577948192743</v>
      </c>
      <c r="AA297" s="177">
        <f t="shared" si="422"/>
        <v>1.1890190592760972</v>
      </c>
      <c r="AB297" s="177">
        <f t="shared" si="423"/>
        <v>1.1323318705262224</v>
      </c>
      <c r="AC297" s="177"/>
      <c r="AD297" s="177">
        <f t="shared" si="424"/>
        <v>0.24067085953878403</v>
      </c>
      <c r="AE297" s="559">
        <f t="shared" si="425"/>
        <v>5960.0790345882569</v>
      </c>
      <c r="AF297" s="542">
        <f t="shared" si="426"/>
        <v>4.6392002252886505E-2</v>
      </c>
      <c r="AH297" s="177">
        <f t="shared" si="427"/>
        <v>3.2866458306800461</v>
      </c>
      <c r="AI297" s="177">
        <f t="shared" si="428"/>
        <v>3.2866458306800461</v>
      </c>
      <c r="AJ297" s="177">
        <f t="shared" si="429"/>
        <v>3.0271450597629972</v>
      </c>
      <c r="AL297" s="559">
        <f t="shared" si="430"/>
        <v>790</v>
      </c>
      <c r="AM297" s="469">
        <f t="shared" si="431"/>
        <v>350</v>
      </c>
      <c r="AO297">
        <f t="shared" si="432"/>
        <v>790</v>
      </c>
      <c r="AP297">
        <f t="shared" si="433"/>
        <v>350</v>
      </c>
      <c r="AR297" s="5">
        <f t="shared" si="403"/>
        <v>2.8571428571428572</v>
      </c>
      <c r="AS297" s="5">
        <f t="shared" si="377"/>
        <v>1.3533247538094308</v>
      </c>
      <c r="AT297" s="5">
        <f t="shared" si="378"/>
        <v>1.5038181033334264</v>
      </c>
      <c r="AU297" s="177">
        <f t="shared" si="379"/>
        <v>0.47366366383330077</v>
      </c>
      <c r="AW297" s="5">
        <f t="shared" si="434"/>
        <v>10.014141569481827</v>
      </c>
      <c r="AX297" s="5">
        <f t="shared" si="435"/>
        <v>23.676224159705487</v>
      </c>
      <c r="AY297" s="5">
        <f t="shared" si="436"/>
        <v>0.70947993256842168</v>
      </c>
      <c r="AZ297" s="5">
        <f t="shared" si="437"/>
        <v>1.2969329503208329</v>
      </c>
      <c r="BA297" s="5">
        <f t="shared" si="438"/>
        <v>1.6428708402360839</v>
      </c>
      <c r="BB297" s="5"/>
      <c r="CE297" s="576">
        <f t="shared" si="439"/>
        <v>-50</v>
      </c>
    </row>
    <row r="298" spans="5:83" x14ac:dyDescent="0.25">
      <c r="E298" s="174">
        <v>80</v>
      </c>
      <c r="F298" s="221">
        <f t="shared" si="440"/>
        <v>0.8</v>
      </c>
      <c r="G298" s="221">
        <f t="shared" si="404"/>
        <v>0.2</v>
      </c>
      <c r="H298" s="221">
        <f t="shared" si="405"/>
        <v>12</v>
      </c>
      <c r="I298" s="221">
        <f t="shared" si="406"/>
        <v>1.4000000000000001</v>
      </c>
      <c r="J298" s="555">
        <f t="shared" si="407"/>
        <v>17</v>
      </c>
      <c r="K298" s="451">
        <f t="shared" si="408"/>
        <v>23.85</v>
      </c>
      <c r="L298" s="451">
        <f t="shared" si="409"/>
        <v>40.85</v>
      </c>
      <c r="M298" s="451"/>
      <c r="N298" s="221">
        <f t="shared" si="410"/>
        <v>0.58384332925336602</v>
      </c>
      <c r="O298" s="176">
        <f t="shared" si="411"/>
        <v>17.310083304408188</v>
      </c>
      <c r="P298" s="176">
        <f t="shared" si="412"/>
        <v>2.0195097188476221</v>
      </c>
      <c r="Q298" s="221">
        <f t="shared" si="413"/>
        <v>1.1540055536272125</v>
      </c>
      <c r="R298" s="221">
        <f t="shared" si="414"/>
        <v>2.4728690434868841</v>
      </c>
      <c r="S298" s="221">
        <f t="shared" si="415"/>
        <v>15</v>
      </c>
      <c r="T298" s="221">
        <f t="shared" si="416"/>
        <v>2.8422740165248492</v>
      </c>
      <c r="U298" s="221">
        <f t="shared" si="417"/>
        <v>1.1703481244514082</v>
      </c>
      <c r="V298" s="221">
        <f t="shared" si="418"/>
        <v>0.83421040317291162</v>
      </c>
      <c r="W298" s="201">
        <f t="shared" si="419"/>
        <v>350</v>
      </c>
      <c r="X298" s="451">
        <f t="shared" si="420"/>
        <v>350</v>
      </c>
      <c r="Z298" s="221">
        <f t="shared" si="421"/>
        <v>4.0511577948192743</v>
      </c>
      <c r="AA298" s="177">
        <f t="shared" si="422"/>
        <v>1.1890190592760972</v>
      </c>
      <c r="AB298" s="177">
        <f t="shared" si="423"/>
        <v>1.1323318705262224</v>
      </c>
      <c r="AC298" s="177"/>
      <c r="AD298" s="177">
        <f t="shared" si="424"/>
        <v>0.24067085953878403</v>
      </c>
      <c r="AE298" s="559">
        <f t="shared" si="425"/>
        <v>6035.523073000767</v>
      </c>
      <c r="AF298" s="542">
        <f t="shared" si="426"/>
        <v>4.6392002252886505E-2</v>
      </c>
      <c r="AH298" s="177">
        <f t="shared" si="427"/>
        <v>3.3073819722257785</v>
      </c>
      <c r="AI298" s="177">
        <f t="shared" si="428"/>
        <v>3.3073819722257785</v>
      </c>
      <c r="AJ298" s="177">
        <f t="shared" si="429"/>
        <v>3.0425051646116881</v>
      </c>
      <c r="AL298" s="559">
        <f t="shared" si="430"/>
        <v>800</v>
      </c>
      <c r="AM298" s="469">
        <f t="shared" si="431"/>
        <v>350</v>
      </c>
      <c r="AO298">
        <f t="shared" si="432"/>
        <v>800</v>
      </c>
      <c r="AP298">
        <f t="shared" si="433"/>
        <v>350</v>
      </c>
      <c r="AR298" s="5">
        <f t="shared" si="403"/>
        <v>2.8571428571428572</v>
      </c>
      <c r="AS298" s="5">
        <f t="shared" si="377"/>
        <v>1.361863165034144</v>
      </c>
      <c r="AT298" s="5">
        <f t="shared" si="378"/>
        <v>1.4952796921087133</v>
      </c>
      <c r="AU298" s="177">
        <f t="shared" si="379"/>
        <v>0.47665210776195038</v>
      </c>
      <c r="AW298" s="5">
        <f t="shared" si="434"/>
        <v>10.014141569481827</v>
      </c>
      <c r="AX298" s="5">
        <f t="shared" si="435"/>
        <v>24.249036151596719</v>
      </c>
      <c r="AY298" s="5">
        <f t="shared" si="436"/>
        <v>0.70947993256842168</v>
      </c>
      <c r="AZ298" s="5">
        <f t="shared" si="437"/>
        <v>1.3223795677060297</v>
      </c>
      <c r="BA298" s="5">
        <f t="shared" si="438"/>
        <v>1.6542206707332721</v>
      </c>
      <c r="BB298" s="5"/>
      <c r="CE298" s="576">
        <f t="shared" si="439"/>
        <v>-50</v>
      </c>
    </row>
    <row r="299" spans="5:83" x14ac:dyDescent="0.25">
      <c r="E299" s="174">
        <v>81</v>
      </c>
      <c r="F299" s="221">
        <f t="shared" si="440"/>
        <v>0.81</v>
      </c>
      <c r="G299" s="221">
        <f t="shared" si="404"/>
        <v>0.20250000000000001</v>
      </c>
      <c r="H299" s="221">
        <f t="shared" si="405"/>
        <v>12.15</v>
      </c>
      <c r="I299" s="221">
        <f t="shared" si="406"/>
        <v>1.4175</v>
      </c>
      <c r="J299" s="555">
        <f t="shared" si="407"/>
        <v>17</v>
      </c>
      <c r="K299" s="451">
        <f t="shared" si="408"/>
        <v>23.85</v>
      </c>
      <c r="L299" s="451">
        <f t="shared" si="409"/>
        <v>40.85</v>
      </c>
      <c r="M299" s="451"/>
      <c r="N299" s="221">
        <f t="shared" si="410"/>
        <v>0.58384332925336602</v>
      </c>
      <c r="O299" s="176">
        <f t="shared" si="411"/>
        <v>17.310083304408188</v>
      </c>
      <c r="P299" s="176">
        <f t="shared" si="412"/>
        <v>2.0195097188476221</v>
      </c>
      <c r="Q299" s="221">
        <f t="shared" si="413"/>
        <v>1.1540055536272125</v>
      </c>
      <c r="R299" s="221">
        <f t="shared" si="414"/>
        <v>2.4728690434868841</v>
      </c>
      <c r="S299" s="221">
        <f t="shared" si="415"/>
        <v>15</v>
      </c>
      <c r="T299" s="221">
        <f t="shared" si="416"/>
        <v>2.8778024417314101</v>
      </c>
      <c r="U299" s="221">
        <f t="shared" si="417"/>
        <v>1.1849774760070513</v>
      </c>
      <c r="V299" s="221">
        <f t="shared" si="418"/>
        <v>0.84463803321257314</v>
      </c>
      <c r="W299" s="201">
        <f t="shared" si="419"/>
        <v>350</v>
      </c>
      <c r="X299" s="451">
        <f t="shared" si="420"/>
        <v>350</v>
      </c>
      <c r="Z299" s="221">
        <f t="shared" si="421"/>
        <v>4.0511577948192743</v>
      </c>
      <c r="AA299" s="177">
        <f t="shared" si="422"/>
        <v>1.1890190592760972</v>
      </c>
      <c r="AB299" s="177">
        <f t="shared" si="423"/>
        <v>1.1323318705262224</v>
      </c>
      <c r="AC299" s="177"/>
      <c r="AD299" s="177">
        <f t="shared" si="424"/>
        <v>0.24067085953878403</v>
      </c>
      <c r="AE299" s="559">
        <f t="shared" si="425"/>
        <v>6110.9671114132761</v>
      </c>
      <c r="AF299" s="542">
        <f t="shared" si="426"/>
        <v>4.6392002252886505E-2</v>
      </c>
      <c r="AH299" s="177">
        <f t="shared" si="427"/>
        <v>3.3279889128543734</v>
      </c>
      <c r="AI299" s="177">
        <f t="shared" si="428"/>
        <v>3.3279889128543734</v>
      </c>
      <c r="AJ299" s="177">
        <f t="shared" si="429"/>
        <v>3.0577695650773138</v>
      </c>
      <c r="AL299" s="559">
        <f t="shared" si="430"/>
        <v>810</v>
      </c>
      <c r="AM299" s="469">
        <f t="shared" si="431"/>
        <v>350</v>
      </c>
      <c r="AO299">
        <f t="shared" si="432"/>
        <v>810</v>
      </c>
      <c r="AP299">
        <f t="shared" si="433"/>
        <v>350</v>
      </c>
      <c r="AR299" s="5">
        <f t="shared" si="403"/>
        <v>2.8571428571428572</v>
      </c>
      <c r="AS299" s="5">
        <f t="shared" si="377"/>
        <v>1.3703483758812127</v>
      </c>
      <c r="AT299" s="5">
        <f t="shared" si="378"/>
        <v>1.4867944812616445</v>
      </c>
      <c r="AU299" s="177">
        <f t="shared" si="379"/>
        <v>0.47962193155842442</v>
      </c>
      <c r="AW299" s="5">
        <f t="shared" si="434"/>
        <v>10.014141569481827</v>
      </c>
      <c r="AX299" s="5">
        <f t="shared" si="435"/>
        <v>24.828675967285321</v>
      </c>
      <c r="AY299" s="5">
        <f t="shared" si="436"/>
        <v>0.70947993256842168</v>
      </c>
      <c r="AZ299" s="5">
        <f t="shared" si="437"/>
        <v>1.3480519287061343</v>
      </c>
      <c r="BA299" s="5">
        <f t="shared" si="438"/>
        <v>1.6653939421686161</v>
      </c>
      <c r="BB299" s="5"/>
      <c r="CE299" s="576">
        <f t="shared" si="439"/>
        <v>-50</v>
      </c>
    </row>
    <row r="300" spans="5:83" x14ac:dyDescent="0.25">
      <c r="E300" s="174">
        <v>82</v>
      </c>
      <c r="F300" s="221">
        <f t="shared" si="440"/>
        <v>0.82</v>
      </c>
      <c r="G300" s="221">
        <f t="shared" si="404"/>
        <v>0.20499999999999999</v>
      </c>
      <c r="H300" s="221">
        <f t="shared" si="405"/>
        <v>12.299999999999999</v>
      </c>
      <c r="I300" s="221">
        <f t="shared" si="406"/>
        <v>1.4349999999999998</v>
      </c>
      <c r="J300" s="555">
        <f t="shared" si="407"/>
        <v>17</v>
      </c>
      <c r="K300" s="451">
        <f t="shared" si="408"/>
        <v>23.85</v>
      </c>
      <c r="L300" s="451">
        <f t="shared" si="409"/>
        <v>40.85</v>
      </c>
      <c r="M300" s="451"/>
      <c r="N300" s="221">
        <f t="shared" si="410"/>
        <v>0.58384332925336602</v>
      </c>
      <c r="O300" s="176">
        <f t="shared" si="411"/>
        <v>17.310083304408188</v>
      </c>
      <c r="P300" s="176">
        <f t="shared" si="412"/>
        <v>2.0195097188476221</v>
      </c>
      <c r="Q300" s="221">
        <f t="shared" si="413"/>
        <v>1.1540055536272125</v>
      </c>
      <c r="R300" s="221">
        <f t="shared" si="414"/>
        <v>2.4728690434868841</v>
      </c>
      <c r="S300" s="221">
        <f t="shared" si="415"/>
        <v>15</v>
      </c>
      <c r="T300" s="221">
        <f t="shared" si="416"/>
        <v>2.9133308669379705</v>
      </c>
      <c r="U300" s="221">
        <f t="shared" si="417"/>
        <v>1.1996068275626937</v>
      </c>
      <c r="V300" s="221">
        <f t="shared" si="418"/>
        <v>0.85506566325223443</v>
      </c>
      <c r="W300" s="201">
        <f t="shared" si="419"/>
        <v>350</v>
      </c>
      <c r="X300" s="451">
        <f t="shared" si="420"/>
        <v>350</v>
      </c>
      <c r="Z300" s="221">
        <f t="shared" si="421"/>
        <v>4.0511577948192743</v>
      </c>
      <c r="AA300" s="177">
        <f t="shared" si="422"/>
        <v>1.1890190592760972</v>
      </c>
      <c r="AB300" s="177">
        <f t="shared" si="423"/>
        <v>1.1323318705262224</v>
      </c>
      <c r="AC300" s="177"/>
      <c r="AD300" s="177">
        <f t="shared" si="424"/>
        <v>0.24067085953878403</v>
      </c>
      <c r="AE300" s="559">
        <f t="shared" si="425"/>
        <v>6186.4111498257844</v>
      </c>
      <c r="AF300" s="542">
        <f t="shared" si="426"/>
        <v>4.6392002252886505E-2</v>
      </c>
      <c r="AH300" s="177">
        <f t="shared" si="427"/>
        <v>3.3484690379275097</v>
      </c>
      <c r="AI300" s="177">
        <f t="shared" si="428"/>
        <v>3.3484690379275097</v>
      </c>
      <c r="AJ300" s="177">
        <f t="shared" si="429"/>
        <v>3.0729400280944521</v>
      </c>
      <c r="AL300" s="559">
        <f t="shared" si="430"/>
        <v>820</v>
      </c>
      <c r="AM300" s="469">
        <f t="shared" si="431"/>
        <v>350</v>
      </c>
      <c r="AO300">
        <f t="shared" si="432"/>
        <v>820</v>
      </c>
      <c r="AP300">
        <f t="shared" si="433"/>
        <v>350</v>
      </c>
      <c r="AR300" s="5">
        <f t="shared" si="403"/>
        <v>2.8571428571428572</v>
      </c>
      <c r="AS300" s="5">
        <f t="shared" si="377"/>
        <v>1.3787813685583863</v>
      </c>
      <c r="AT300" s="5">
        <f t="shared" si="378"/>
        <v>1.4783614885844709</v>
      </c>
      <c r="AU300" s="177">
        <f t="shared" si="379"/>
        <v>0.48257347899543518</v>
      </c>
      <c r="AW300" s="5">
        <f t="shared" si="434"/>
        <v>10.014141569481827</v>
      </c>
      <c r="AX300" s="5">
        <f t="shared" si="435"/>
        <v>25.415143606771295</v>
      </c>
      <c r="AY300" s="5">
        <f t="shared" si="436"/>
        <v>0.70947993256842168</v>
      </c>
      <c r="AZ300" s="5">
        <f t="shared" si="437"/>
        <v>1.373950033321147</v>
      </c>
      <c r="BA300" s="5">
        <f t="shared" si="438"/>
        <v>1.6763917478396457</v>
      </c>
      <c r="BB300" s="5"/>
      <c r="CE300" s="576">
        <f t="shared" si="439"/>
        <v>-50</v>
      </c>
    </row>
    <row r="301" spans="5:83" x14ac:dyDescent="0.25">
      <c r="E301" s="174">
        <v>83</v>
      </c>
      <c r="F301" s="221">
        <f t="shared" si="440"/>
        <v>0.83</v>
      </c>
      <c r="G301" s="221">
        <f t="shared" si="404"/>
        <v>0.20749999999999999</v>
      </c>
      <c r="H301" s="221">
        <f t="shared" si="405"/>
        <v>12.45</v>
      </c>
      <c r="I301" s="221">
        <f t="shared" si="406"/>
        <v>1.4524999999999999</v>
      </c>
      <c r="J301" s="555">
        <f t="shared" si="407"/>
        <v>17</v>
      </c>
      <c r="K301" s="451">
        <f t="shared" si="408"/>
        <v>23.85</v>
      </c>
      <c r="L301" s="451">
        <f t="shared" si="409"/>
        <v>40.85</v>
      </c>
      <c r="M301" s="451"/>
      <c r="N301" s="221">
        <f t="shared" si="410"/>
        <v>0.58384332925336602</v>
      </c>
      <c r="O301" s="176">
        <f t="shared" si="411"/>
        <v>17.310083304408188</v>
      </c>
      <c r="P301" s="176">
        <f t="shared" si="412"/>
        <v>2.0195097188476221</v>
      </c>
      <c r="Q301" s="221">
        <f t="shared" si="413"/>
        <v>1.1540055536272125</v>
      </c>
      <c r="R301" s="221">
        <f t="shared" si="414"/>
        <v>2.4728690434868841</v>
      </c>
      <c r="S301" s="221">
        <f t="shared" si="415"/>
        <v>15</v>
      </c>
      <c r="T301" s="221">
        <f t="shared" si="416"/>
        <v>2.9488592921445309</v>
      </c>
      <c r="U301" s="221">
        <f t="shared" si="417"/>
        <v>1.2142361791183363</v>
      </c>
      <c r="V301" s="221">
        <f t="shared" si="418"/>
        <v>0.86549329329189573</v>
      </c>
      <c r="W301" s="201">
        <f t="shared" si="419"/>
        <v>350</v>
      </c>
      <c r="X301" s="451">
        <f t="shared" si="420"/>
        <v>350</v>
      </c>
      <c r="Z301" s="221">
        <f t="shared" si="421"/>
        <v>4.0511577948192743</v>
      </c>
      <c r="AA301" s="177">
        <f t="shared" si="422"/>
        <v>1.1890190592760972</v>
      </c>
      <c r="AB301" s="177">
        <f t="shared" si="423"/>
        <v>1.1323318705262224</v>
      </c>
      <c r="AC301" s="177"/>
      <c r="AD301" s="177">
        <f t="shared" si="424"/>
        <v>0.24067085953878403</v>
      </c>
      <c r="AE301" s="559">
        <f t="shared" si="425"/>
        <v>6261.8551882382935</v>
      </c>
      <c r="AF301" s="542">
        <f t="shared" si="426"/>
        <v>4.6392002252886505E-2</v>
      </c>
      <c r="AH301" s="177">
        <f t="shared" si="427"/>
        <v>3.3688246602987122</v>
      </c>
      <c r="AI301" s="177">
        <f t="shared" si="428"/>
        <v>3.3688246602987122</v>
      </c>
      <c r="AJ301" s="177">
        <f t="shared" si="429"/>
        <v>3.0880182668879348</v>
      </c>
      <c r="AL301" s="559">
        <f t="shared" si="430"/>
        <v>830</v>
      </c>
      <c r="AM301" s="469">
        <f t="shared" si="431"/>
        <v>350</v>
      </c>
      <c r="AO301">
        <f t="shared" si="432"/>
        <v>830</v>
      </c>
      <c r="AP301">
        <f t="shared" si="433"/>
        <v>350</v>
      </c>
      <c r="AR301" s="5">
        <f t="shared" si="403"/>
        <v>2.8571428571428572</v>
      </c>
      <c r="AS301" s="5">
        <f t="shared" si="377"/>
        <v>1.3871630954171166</v>
      </c>
      <c r="AT301" s="5">
        <f t="shared" si="378"/>
        <v>1.4699797617257406</v>
      </c>
      <c r="AU301" s="177">
        <f t="shared" si="379"/>
        <v>0.4855070833959908</v>
      </c>
      <c r="AW301" s="5">
        <f t="shared" si="434"/>
        <v>10.014141569481827</v>
      </c>
      <c r="AX301" s="5">
        <f t="shared" si="435"/>
        <v>26.008439070054646</v>
      </c>
      <c r="AY301" s="5">
        <f t="shared" si="436"/>
        <v>0.70947993256842168</v>
      </c>
      <c r="AZ301" s="5">
        <f t="shared" si="437"/>
        <v>1.400073881551068</v>
      </c>
      <c r="BA301" s="5">
        <f t="shared" si="438"/>
        <v>1.6872151609818049</v>
      </c>
      <c r="BB301" s="5"/>
      <c r="CE301" s="576">
        <f t="shared" si="439"/>
        <v>-50</v>
      </c>
    </row>
    <row r="302" spans="5:83" x14ac:dyDescent="0.25">
      <c r="E302" s="174">
        <v>84</v>
      </c>
      <c r="F302" s="221">
        <f t="shared" si="440"/>
        <v>0.84</v>
      </c>
      <c r="G302" s="221">
        <f t="shared" si="404"/>
        <v>0.21</v>
      </c>
      <c r="H302" s="221">
        <f t="shared" si="405"/>
        <v>12.6</v>
      </c>
      <c r="I302" s="221">
        <f t="shared" si="406"/>
        <v>1.47</v>
      </c>
      <c r="J302" s="555">
        <f t="shared" si="407"/>
        <v>17</v>
      </c>
      <c r="K302" s="451">
        <f t="shared" si="408"/>
        <v>23.85</v>
      </c>
      <c r="L302" s="451">
        <f t="shared" si="409"/>
        <v>40.85</v>
      </c>
      <c r="M302" s="451"/>
      <c r="N302" s="221">
        <f t="shared" si="410"/>
        <v>0.58384332925336602</v>
      </c>
      <c r="O302" s="176">
        <f t="shared" si="411"/>
        <v>17.310083304408188</v>
      </c>
      <c r="P302" s="176">
        <f t="shared" si="412"/>
        <v>2.0195097188476221</v>
      </c>
      <c r="Q302" s="221">
        <f t="shared" si="413"/>
        <v>1.1540055536272125</v>
      </c>
      <c r="R302" s="221">
        <f t="shared" si="414"/>
        <v>2.4728690434868841</v>
      </c>
      <c r="S302" s="221">
        <f t="shared" si="415"/>
        <v>15</v>
      </c>
      <c r="T302" s="221">
        <f t="shared" si="416"/>
        <v>2.9843877173510918</v>
      </c>
      <c r="U302" s="221">
        <f t="shared" si="417"/>
        <v>1.2288655306739789</v>
      </c>
      <c r="V302" s="221">
        <f t="shared" si="418"/>
        <v>0.87592092333155736</v>
      </c>
      <c r="W302" s="201">
        <f t="shared" si="419"/>
        <v>350</v>
      </c>
      <c r="X302" s="451">
        <f t="shared" si="420"/>
        <v>350</v>
      </c>
      <c r="Z302" s="221">
        <f t="shared" si="421"/>
        <v>4.0511577948192743</v>
      </c>
      <c r="AA302" s="177">
        <f t="shared" si="422"/>
        <v>1.1890190592760972</v>
      </c>
      <c r="AB302" s="177">
        <f t="shared" si="423"/>
        <v>1.1323318705262224</v>
      </c>
      <c r="AC302" s="177"/>
      <c r="AD302" s="177">
        <f t="shared" si="424"/>
        <v>0.24067085953878403</v>
      </c>
      <c r="AE302" s="559">
        <f t="shared" si="425"/>
        <v>6337.2992266508045</v>
      </c>
      <c r="AF302" s="542">
        <f t="shared" si="426"/>
        <v>4.6392002252886505E-2</v>
      </c>
      <c r="AH302" s="177">
        <f t="shared" si="427"/>
        <v>3.3890580233619909</v>
      </c>
      <c r="AI302" s="177">
        <f t="shared" si="428"/>
        <v>3.3890580233619909</v>
      </c>
      <c r="AJ302" s="177">
        <f t="shared" si="429"/>
        <v>3.1030059432311043</v>
      </c>
      <c r="AL302" s="559">
        <f t="shared" si="430"/>
        <v>840</v>
      </c>
      <c r="AM302" s="469">
        <f t="shared" si="431"/>
        <v>350</v>
      </c>
      <c r="AO302">
        <f t="shared" si="432"/>
        <v>840</v>
      </c>
      <c r="AP302">
        <f t="shared" si="433"/>
        <v>350</v>
      </c>
      <c r="AR302" s="5">
        <f t="shared" si="403"/>
        <v>2.8571428571428572</v>
      </c>
      <c r="AS302" s="5">
        <f t="shared" si="377"/>
        <v>1.3954944802078788</v>
      </c>
      <c r="AT302" s="5">
        <f t="shared" si="378"/>
        <v>1.4616483769349784</v>
      </c>
      <c r="AU302" s="177">
        <f t="shared" si="379"/>
        <v>0.48842306807275759</v>
      </c>
      <c r="AW302" s="5">
        <f t="shared" si="434"/>
        <v>10.014141569481827</v>
      </c>
      <c r="AX302" s="5">
        <f t="shared" si="435"/>
        <v>26.608562357135373</v>
      </c>
      <c r="AY302" s="5">
        <f t="shared" si="436"/>
        <v>0.70947993256842168</v>
      </c>
      <c r="AZ302" s="5">
        <f t="shared" si="437"/>
        <v>1.4264234733958974</v>
      </c>
      <c r="BA302" s="5">
        <f t="shared" si="438"/>
        <v>1.6978652353746251</v>
      </c>
      <c r="BB302" s="5"/>
      <c r="CE302" s="576">
        <f t="shared" si="439"/>
        <v>-50</v>
      </c>
    </row>
    <row r="303" spans="5:83" x14ac:dyDescent="0.25">
      <c r="E303" s="174">
        <v>85</v>
      </c>
      <c r="F303" s="221">
        <f t="shared" si="440"/>
        <v>0.85</v>
      </c>
      <c r="G303" s="221">
        <f t="shared" si="404"/>
        <v>0.21249999999999999</v>
      </c>
      <c r="H303" s="221">
        <f t="shared" si="405"/>
        <v>12.75</v>
      </c>
      <c r="I303" s="221">
        <f t="shared" si="406"/>
        <v>1.4875</v>
      </c>
      <c r="J303" s="555">
        <f t="shared" si="407"/>
        <v>17</v>
      </c>
      <c r="K303" s="451">
        <f t="shared" si="408"/>
        <v>23.85</v>
      </c>
      <c r="L303" s="451">
        <f t="shared" si="409"/>
        <v>40.85</v>
      </c>
      <c r="M303" s="451"/>
      <c r="N303" s="221">
        <f t="shared" si="410"/>
        <v>0.58384332925336602</v>
      </c>
      <c r="O303" s="176">
        <f t="shared" si="411"/>
        <v>17.310083304408188</v>
      </c>
      <c r="P303" s="176">
        <f t="shared" si="412"/>
        <v>2.0195097188476221</v>
      </c>
      <c r="Q303" s="221">
        <f t="shared" si="413"/>
        <v>1.1540055536272125</v>
      </c>
      <c r="R303" s="221">
        <f t="shared" si="414"/>
        <v>2.4728690434868841</v>
      </c>
      <c r="S303" s="221">
        <f t="shared" si="415"/>
        <v>15</v>
      </c>
      <c r="T303" s="221">
        <f t="shared" si="416"/>
        <v>3.0199161425576526</v>
      </c>
      <c r="U303" s="221">
        <f t="shared" si="417"/>
        <v>1.2434948822296217</v>
      </c>
      <c r="V303" s="221">
        <f t="shared" si="418"/>
        <v>0.88634855337121876</v>
      </c>
      <c r="W303" s="201">
        <f t="shared" si="419"/>
        <v>350</v>
      </c>
      <c r="X303" s="451">
        <f t="shared" si="420"/>
        <v>350</v>
      </c>
      <c r="Z303" s="221">
        <f t="shared" si="421"/>
        <v>4.0511577948192743</v>
      </c>
      <c r="AA303" s="177">
        <f t="shared" si="422"/>
        <v>1.1890190592760972</v>
      </c>
      <c r="AB303" s="177">
        <f t="shared" si="423"/>
        <v>1.1323318705262224</v>
      </c>
      <c r="AC303" s="177"/>
      <c r="AD303" s="177">
        <f t="shared" si="424"/>
        <v>0.24067085953878403</v>
      </c>
      <c r="AE303" s="559">
        <f t="shared" si="425"/>
        <v>6412.7432650633136</v>
      </c>
      <c r="AF303" s="542">
        <f t="shared" si="426"/>
        <v>4.6392002252886505E-2</v>
      </c>
      <c r="AH303" s="177">
        <f t="shared" si="427"/>
        <v>3.4091713039376352</v>
      </c>
      <c r="AI303" s="177">
        <f t="shared" si="428"/>
        <v>3.4091713039376352</v>
      </c>
      <c r="AJ303" s="177">
        <f t="shared" si="429"/>
        <v>3.1179046695834334</v>
      </c>
      <c r="AL303" s="559">
        <f t="shared" si="430"/>
        <v>850</v>
      </c>
      <c r="AM303" s="469">
        <f t="shared" si="431"/>
        <v>350</v>
      </c>
      <c r="AO303">
        <f t="shared" si="432"/>
        <v>850</v>
      </c>
      <c r="AP303">
        <f t="shared" si="433"/>
        <v>350</v>
      </c>
      <c r="AR303" s="5">
        <f t="shared" si="403"/>
        <v>2.8571428571428572</v>
      </c>
      <c r="AS303" s="5">
        <f t="shared" si="377"/>
        <v>1.4037764192684381</v>
      </c>
      <c r="AT303" s="5">
        <f t="shared" si="378"/>
        <v>1.4533664378744191</v>
      </c>
      <c r="AU303" s="177">
        <f t="shared" si="379"/>
        <v>0.49132174674395335</v>
      </c>
      <c r="AW303" s="5">
        <f t="shared" si="434"/>
        <v>10.014141569481827</v>
      </c>
      <c r="AX303" s="5">
        <f t="shared" si="435"/>
        <v>27.215513468013476</v>
      </c>
      <c r="AY303" s="5">
        <f t="shared" si="436"/>
        <v>0.70947993256842168</v>
      </c>
      <c r="AZ303" s="5">
        <f t="shared" si="437"/>
        <v>1.4529988088556345</v>
      </c>
      <c r="BA303" s="5">
        <f t="shared" si="438"/>
        <v>1.7083430059225631</v>
      </c>
      <c r="BB303" s="5"/>
      <c r="CE303" s="576">
        <f t="shared" si="439"/>
        <v>-50</v>
      </c>
    </row>
    <row r="304" spans="5:83" x14ac:dyDescent="0.25">
      <c r="E304" s="174">
        <v>86</v>
      </c>
      <c r="F304" s="221">
        <f t="shared" si="440"/>
        <v>0.86</v>
      </c>
      <c r="G304" s="221">
        <f t="shared" si="404"/>
        <v>0.215</v>
      </c>
      <c r="H304" s="221">
        <f t="shared" si="405"/>
        <v>12.9</v>
      </c>
      <c r="I304" s="221">
        <f t="shared" si="406"/>
        <v>1.5049999999999999</v>
      </c>
      <c r="J304" s="555">
        <f t="shared" si="407"/>
        <v>17</v>
      </c>
      <c r="K304" s="451">
        <f t="shared" si="408"/>
        <v>23.85</v>
      </c>
      <c r="L304" s="451">
        <f t="shared" si="409"/>
        <v>40.85</v>
      </c>
      <c r="M304" s="451"/>
      <c r="N304" s="221">
        <f t="shared" si="410"/>
        <v>0.58384332925336602</v>
      </c>
      <c r="O304" s="176">
        <f t="shared" si="411"/>
        <v>17.310083304408188</v>
      </c>
      <c r="P304" s="176">
        <f t="shared" si="412"/>
        <v>2.0195097188476221</v>
      </c>
      <c r="Q304" s="221">
        <f t="shared" si="413"/>
        <v>1.1540055536272125</v>
      </c>
      <c r="R304" s="221">
        <f t="shared" si="414"/>
        <v>2.4728690434868841</v>
      </c>
      <c r="S304" s="221">
        <f t="shared" si="415"/>
        <v>15</v>
      </c>
      <c r="T304" s="221">
        <f t="shared" si="416"/>
        <v>3.055444567764213</v>
      </c>
      <c r="U304" s="221">
        <f t="shared" si="417"/>
        <v>1.2581242337852641</v>
      </c>
      <c r="V304" s="221">
        <f t="shared" si="418"/>
        <v>0.89677618341088006</v>
      </c>
      <c r="W304" s="201">
        <f t="shared" si="419"/>
        <v>350</v>
      </c>
      <c r="X304" s="451">
        <f t="shared" si="420"/>
        <v>350</v>
      </c>
      <c r="Z304" s="221">
        <f t="shared" si="421"/>
        <v>4.0511577948192743</v>
      </c>
      <c r="AA304" s="177">
        <f t="shared" si="422"/>
        <v>1.1890190592760972</v>
      </c>
      <c r="AB304" s="177">
        <f t="shared" si="423"/>
        <v>1.1323318705262224</v>
      </c>
      <c r="AC304" s="177"/>
      <c r="AD304" s="177">
        <f t="shared" si="424"/>
        <v>0.24067085953878403</v>
      </c>
      <c r="AE304" s="559">
        <f t="shared" si="425"/>
        <v>6488.1873034758228</v>
      </c>
      <c r="AF304" s="542">
        <f t="shared" si="426"/>
        <v>4.6392002252886505E-2</v>
      </c>
      <c r="AH304" s="177">
        <f t="shared" si="427"/>
        <v>3.4291666150056614</v>
      </c>
      <c r="AI304" s="177">
        <f t="shared" si="428"/>
        <v>3.4291666150056614</v>
      </c>
      <c r="AJ304" s="177">
        <f t="shared" si="429"/>
        <v>3.132716011115305</v>
      </c>
      <c r="AL304" s="559">
        <f t="shared" si="430"/>
        <v>860</v>
      </c>
      <c r="AM304" s="469">
        <f t="shared" si="431"/>
        <v>350</v>
      </c>
      <c r="AO304">
        <f t="shared" si="432"/>
        <v>860</v>
      </c>
      <c r="AP304">
        <f t="shared" si="433"/>
        <v>350</v>
      </c>
      <c r="AR304" s="5">
        <f t="shared" si="403"/>
        <v>2.8571428571428572</v>
      </c>
      <c r="AS304" s="5">
        <f t="shared" si="377"/>
        <v>1.41200978264939</v>
      </c>
      <c r="AT304" s="5">
        <f t="shared" si="378"/>
        <v>1.4451330744934672</v>
      </c>
      <c r="AU304" s="177">
        <f t="shared" si="379"/>
        <v>0.4942034239272865</v>
      </c>
      <c r="AW304" s="5">
        <f t="shared" si="434"/>
        <v>10.014141569481827</v>
      </c>
      <c r="AX304" s="5">
        <f t="shared" si="435"/>
        <v>27.829292402688949</v>
      </c>
      <c r="AY304" s="5">
        <f t="shared" si="436"/>
        <v>0.70947993256842168</v>
      </c>
      <c r="AZ304" s="5">
        <f t="shared" si="437"/>
        <v>1.4797998879302801</v>
      </c>
      <c r="BA304" s="5">
        <f t="shared" si="438"/>
        <v>1.7186494892118389</v>
      </c>
      <c r="BB304" s="5"/>
      <c r="CE304" s="576">
        <f t="shared" si="439"/>
        <v>-50</v>
      </c>
    </row>
    <row r="305" spans="5:83" x14ac:dyDescent="0.25">
      <c r="E305" s="174">
        <v>87</v>
      </c>
      <c r="F305" s="221">
        <f t="shared" si="440"/>
        <v>0.87</v>
      </c>
      <c r="G305" s="221">
        <f t="shared" si="404"/>
        <v>0.2175</v>
      </c>
      <c r="H305" s="221">
        <f t="shared" si="405"/>
        <v>13.05</v>
      </c>
      <c r="I305" s="221">
        <f t="shared" si="406"/>
        <v>1.5225</v>
      </c>
      <c r="J305" s="555">
        <f t="shared" si="407"/>
        <v>17</v>
      </c>
      <c r="K305" s="451">
        <f t="shared" si="408"/>
        <v>23.85</v>
      </c>
      <c r="L305" s="451">
        <f t="shared" si="409"/>
        <v>40.85</v>
      </c>
      <c r="M305" s="451"/>
      <c r="N305" s="221">
        <f t="shared" si="410"/>
        <v>0.58384332925336602</v>
      </c>
      <c r="O305" s="176">
        <f t="shared" si="411"/>
        <v>17.310083304408188</v>
      </c>
      <c r="P305" s="176">
        <f t="shared" si="412"/>
        <v>2.0195097188476221</v>
      </c>
      <c r="Q305" s="221">
        <f t="shared" si="413"/>
        <v>1.1540055536272125</v>
      </c>
      <c r="R305" s="221">
        <f t="shared" si="414"/>
        <v>2.4728690434868841</v>
      </c>
      <c r="S305" s="221">
        <f t="shared" si="415"/>
        <v>15</v>
      </c>
      <c r="T305" s="221">
        <f t="shared" si="416"/>
        <v>3.0909729929707739</v>
      </c>
      <c r="U305" s="221">
        <f t="shared" si="417"/>
        <v>1.2727535853409071</v>
      </c>
      <c r="V305" s="221">
        <f t="shared" si="418"/>
        <v>0.90720381345054157</v>
      </c>
      <c r="W305" s="201">
        <f t="shared" si="419"/>
        <v>350</v>
      </c>
      <c r="X305" s="451">
        <f t="shared" si="420"/>
        <v>350</v>
      </c>
      <c r="Z305" s="221">
        <f t="shared" si="421"/>
        <v>4.0511577948192743</v>
      </c>
      <c r="AA305" s="177">
        <f t="shared" si="422"/>
        <v>1.1890190592760972</v>
      </c>
      <c r="AB305" s="177">
        <f t="shared" si="423"/>
        <v>1.1323318705262224</v>
      </c>
      <c r="AC305" s="177"/>
      <c r="AD305" s="177">
        <f t="shared" si="424"/>
        <v>0.24067085953878403</v>
      </c>
      <c r="AE305" s="559">
        <f t="shared" si="425"/>
        <v>6563.6313418883328</v>
      </c>
      <c r="AF305" s="542">
        <f t="shared" si="426"/>
        <v>4.6392002252886505E-2</v>
      </c>
      <c r="AH305" s="177">
        <f t="shared" si="427"/>
        <v>3.4490460082966332</v>
      </c>
      <c r="AI305" s="177">
        <f t="shared" si="428"/>
        <v>3.4490460082966332</v>
      </c>
      <c r="AJ305" s="177">
        <f t="shared" si="429"/>
        <v>3.1474414876271357</v>
      </c>
      <c r="AL305" s="559">
        <f t="shared" si="430"/>
        <v>870</v>
      </c>
      <c r="AM305" s="469">
        <f t="shared" si="431"/>
        <v>350</v>
      </c>
      <c r="AO305">
        <f t="shared" si="432"/>
        <v>870</v>
      </c>
      <c r="AP305">
        <f t="shared" si="433"/>
        <v>350</v>
      </c>
      <c r="AR305" s="5">
        <f t="shared" si="403"/>
        <v>2.8571428571428572</v>
      </c>
      <c r="AS305" s="5">
        <f t="shared" si="377"/>
        <v>1.4201954151809664</v>
      </c>
      <c r="AT305" s="5">
        <f t="shared" si="378"/>
        <v>1.4369474419618908</v>
      </c>
      <c r="AU305" s="177">
        <f t="shared" si="379"/>
        <v>0.49706839531333824</v>
      </c>
      <c r="AW305" s="5">
        <f t="shared" si="434"/>
        <v>10.014141569481827</v>
      </c>
      <c r="AX305" s="5">
        <f t="shared" si="435"/>
        <v>28.449899161161799</v>
      </c>
      <c r="AY305" s="5">
        <f t="shared" si="436"/>
        <v>0.70947993256842168</v>
      </c>
      <c r="AZ305" s="5">
        <f t="shared" si="437"/>
        <v>1.5068267106198336</v>
      </c>
      <c r="BA305" s="5">
        <f t="shared" si="438"/>
        <v>1.7287856840445537</v>
      </c>
      <c r="BB305" s="5"/>
      <c r="CE305" s="576">
        <f t="shared" si="439"/>
        <v>-50</v>
      </c>
    </row>
    <row r="306" spans="5:83" x14ac:dyDescent="0.25">
      <c r="E306" s="174">
        <v>88</v>
      </c>
      <c r="F306" s="221">
        <f t="shared" si="440"/>
        <v>0.88</v>
      </c>
      <c r="G306" s="221">
        <f t="shared" si="404"/>
        <v>0.22</v>
      </c>
      <c r="H306" s="221">
        <f t="shared" si="405"/>
        <v>13.2</v>
      </c>
      <c r="I306" s="221">
        <f t="shared" si="406"/>
        <v>1.54</v>
      </c>
      <c r="J306" s="555">
        <f t="shared" si="407"/>
        <v>17</v>
      </c>
      <c r="K306" s="451">
        <f t="shared" si="408"/>
        <v>23.85</v>
      </c>
      <c r="L306" s="451">
        <f t="shared" si="409"/>
        <v>40.85</v>
      </c>
      <c r="M306" s="451"/>
      <c r="N306" s="221">
        <f t="shared" si="410"/>
        <v>0.58384332925336602</v>
      </c>
      <c r="O306" s="176">
        <f t="shared" si="411"/>
        <v>17.310083304408188</v>
      </c>
      <c r="P306" s="176">
        <f t="shared" si="412"/>
        <v>2.0195097188476221</v>
      </c>
      <c r="Q306" s="221">
        <f t="shared" si="413"/>
        <v>1.1540055536272125</v>
      </c>
      <c r="R306" s="221">
        <f t="shared" si="414"/>
        <v>2.4728690434868841</v>
      </c>
      <c r="S306" s="221">
        <f t="shared" si="415"/>
        <v>15</v>
      </c>
      <c r="T306" s="221">
        <f t="shared" si="416"/>
        <v>3.1265014181773338</v>
      </c>
      <c r="U306" s="221">
        <f t="shared" si="417"/>
        <v>1.2873829368965493</v>
      </c>
      <c r="V306" s="221">
        <f t="shared" si="418"/>
        <v>0.91763144349020276</v>
      </c>
      <c r="W306" s="201">
        <f t="shared" si="419"/>
        <v>350</v>
      </c>
      <c r="X306" s="451">
        <f t="shared" si="420"/>
        <v>350</v>
      </c>
      <c r="Z306" s="221">
        <f t="shared" si="421"/>
        <v>4.0511577948192743</v>
      </c>
      <c r="AA306" s="177">
        <f t="shared" si="422"/>
        <v>1.1890190592760972</v>
      </c>
      <c r="AB306" s="177">
        <f t="shared" si="423"/>
        <v>1.1323318705262224</v>
      </c>
      <c r="AC306" s="177"/>
      <c r="AD306" s="177">
        <f t="shared" si="424"/>
        <v>0.24067085953878403</v>
      </c>
      <c r="AE306" s="559">
        <f t="shared" si="425"/>
        <v>6639.0753803008429</v>
      </c>
      <c r="AF306" s="542">
        <f t="shared" si="426"/>
        <v>4.6392002252886505E-2</v>
      </c>
      <c r="AH306" s="177">
        <f t="shared" si="427"/>
        <v>3.4688114767488427</v>
      </c>
      <c r="AI306" s="177">
        <f t="shared" si="428"/>
        <v>3.4688114767488427</v>
      </c>
      <c r="AJ306" s="177">
        <f t="shared" si="429"/>
        <v>3.1620825753695128</v>
      </c>
      <c r="AL306" s="559">
        <f t="shared" si="430"/>
        <v>880</v>
      </c>
      <c r="AM306" s="469">
        <f t="shared" si="431"/>
        <v>350</v>
      </c>
      <c r="AO306">
        <f t="shared" si="432"/>
        <v>880</v>
      </c>
      <c r="AP306">
        <f t="shared" si="433"/>
        <v>350</v>
      </c>
      <c r="AR306" s="5">
        <f t="shared" si="403"/>
        <v>2.8571428571428572</v>
      </c>
      <c r="AS306" s="5">
        <f t="shared" si="377"/>
        <v>1.4283341374848175</v>
      </c>
      <c r="AT306" s="5">
        <f t="shared" si="378"/>
        <v>1.4288087196580397</v>
      </c>
      <c r="AU306" s="177">
        <f t="shared" si="379"/>
        <v>0.49991694811968612</v>
      </c>
      <c r="AW306" s="5">
        <f t="shared" si="434"/>
        <v>10.014141569481827</v>
      </c>
      <c r="AX306" s="5">
        <f t="shared" si="435"/>
        <v>29.077333743432025</v>
      </c>
      <c r="AY306" s="5">
        <f t="shared" si="436"/>
        <v>0.70947993256842168</v>
      </c>
      <c r="AZ306" s="5">
        <f t="shared" si="437"/>
        <v>1.5340792769242957</v>
      </c>
      <c r="BA306" s="5">
        <f t="shared" si="438"/>
        <v>1.7387525719512489</v>
      </c>
      <c r="BB306" s="5"/>
      <c r="CE306" s="576">
        <f t="shared" si="439"/>
        <v>-50</v>
      </c>
    </row>
    <row r="307" spans="5:83" x14ac:dyDescent="0.25">
      <c r="E307" s="174">
        <v>89</v>
      </c>
      <c r="F307" s="221">
        <f t="shared" si="440"/>
        <v>0.89</v>
      </c>
      <c r="G307" s="221">
        <f t="shared" si="404"/>
        <v>0.2225</v>
      </c>
      <c r="H307" s="221">
        <f t="shared" si="405"/>
        <v>13.35</v>
      </c>
      <c r="I307" s="221">
        <f t="shared" si="406"/>
        <v>1.5575000000000001</v>
      </c>
      <c r="J307" s="555">
        <f t="shared" si="407"/>
        <v>17</v>
      </c>
      <c r="K307" s="451">
        <f t="shared" si="408"/>
        <v>23.85</v>
      </c>
      <c r="L307" s="451">
        <f t="shared" si="409"/>
        <v>40.85</v>
      </c>
      <c r="M307" s="451"/>
      <c r="N307" s="221">
        <f t="shared" si="410"/>
        <v>0.58384332925336602</v>
      </c>
      <c r="O307" s="176">
        <f t="shared" si="411"/>
        <v>17.310083304408188</v>
      </c>
      <c r="P307" s="176">
        <f t="shared" si="412"/>
        <v>2.0195097188476221</v>
      </c>
      <c r="Q307" s="221">
        <f t="shared" si="413"/>
        <v>1.1540055536272125</v>
      </c>
      <c r="R307" s="221">
        <f t="shared" si="414"/>
        <v>2.4728690434868841</v>
      </c>
      <c r="S307" s="221">
        <f t="shared" si="415"/>
        <v>15</v>
      </c>
      <c r="T307" s="221">
        <f t="shared" si="416"/>
        <v>3.1620298433838947</v>
      </c>
      <c r="U307" s="221">
        <f t="shared" si="417"/>
        <v>1.3020122884521919</v>
      </c>
      <c r="V307" s="221">
        <f t="shared" si="418"/>
        <v>0.92805907352986416</v>
      </c>
      <c r="W307" s="201">
        <f t="shared" si="419"/>
        <v>350</v>
      </c>
      <c r="X307" s="451">
        <f t="shared" si="420"/>
        <v>350</v>
      </c>
      <c r="Z307" s="221">
        <f t="shared" si="421"/>
        <v>4.0511577948192743</v>
      </c>
      <c r="AA307" s="177">
        <f t="shared" si="422"/>
        <v>1.1890190592760972</v>
      </c>
      <c r="AB307" s="177">
        <f t="shared" si="423"/>
        <v>1.1323318705262224</v>
      </c>
      <c r="AC307" s="177"/>
      <c r="AD307" s="177">
        <f t="shared" si="424"/>
        <v>0.24067085953878403</v>
      </c>
      <c r="AE307" s="559">
        <f t="shared" si="425"/>
        <v>6714.519418713352</v>
      </c>
      <c r="AF307" s="542">
        <f t="shared" si="426"/>
        <v>4.6392002252886505E-2</v>
      </c>
      <c r="AH307" s="177">
        <f t="shared" si="427"/>
        <v>3.4884649568401915</v>
      </c>
      <c r="AI307" s="177">
        <f t="shared" si="428"/>
        <v>3.4884649568401915</v>
      </c>
      <c r="AJ307" s="177">
        <f t="shared" si="429"/>
        <v>3.1766407087705124</v>
      </c>
      <c r="AL307" s="559">
        <f t="shared" si="430"/>
        <v>890</v>
      </c>
      <c r="AM307" s="469">
        <f t="shared" si="431"/>
        <v>350</v>
      </c>
      <c r="AO307">
        <f t="shared" si="432"/>
        <v>890</v>
      </c>
      <c r="AP307">
        <f t="shared" si="433"/>
        <v>350</v>
      </c>
      <c r="AR307" s="5">
        <f t="shared" si="403"/>
        <v>2.8571428571428572</v>
      </c>
      <c r="AS307" s="5">
        <f t="shared" si="377"/>
        <v>1.4364267469341967</v>
      </c>
      <c r="AT307" s="5">
        <f t="shared" si="378"/>
        <v>1.4207161102086605</v>
      </c>
      <c r="AU307" s="177">
        <f t="shared" si="379"/>
        <v>0.5027493614269688</v>
      </c>
      <c r="AW307" s="5">
        <f t="shared" si="434"/>
        <v>10.014141569481827</v>
      </c>
      <c r="AX307" s="5">
        <f t="shared" si="435"/>
        <v>29.71159614949962</v>
      </c>
      <c r="AY307" s="5">
        <f t="shared" si="436"/>
        <v>0.70947993256842168</v>
      </c>
      <c r="AZ307" s="5">
        <f t="shared" si="437"/>
        <v>1.5615575868436655</v>
      </c>
      <c r="BA307" s="5">
        <f t="shared" si="438"/>
        <v>1.7485511176830222</v>
      </c>
      <c r="BB307" s="5"/>
      <c r="CE307" s="576">
        <f t="shared" si="439"/>
        <v>-50</v>
      </c>
    </row>
    <row r="308" spans="5:83" x14ac:dyDescent="0.25">
      <c r="E308" s="174">
        <v>90</v>
      </c>
      <c r="F308" s="221">
        <f t="shared" si="440"/>
        <v>0.9</v>
      </c>
      <c r="G308" s="221">
        <f t="shared" si="404"/>
        <v>0.22500000000000001</v>
      </c>
      <c r="H308" s="221">
        <f t="shared" si="405"/>
        <v>13.5</v>
      </c>
      <c r="I308" s="221">
        <f t="shared" si="406"/>
        <v>1.575</v>
      </c>
      <c r="J308" s="555">
        <f t="shared" si="407"/>
        <v>17</v>
      </c>
      <c r="K308" s="451">
        <f t="shared" si="408"/>
        <v>23.85</v>
      </c>
      <c r="L308" s="451">
        <f t="shared" si="409"/>
        <v>40.85</v>
      </c>
      <c r="M308" s="451"/>
      <c r="N308" s="221">
        <f t="shared" si="410"/>
        <v>0.58384332925336602</v>
      </c>
      <c r="O308" s="176">
        <f t="shared" si="411"/>
        <v>17.310083304408188</v>
      </c>
      <c r="P308" s="176">
        <f t="shared" si="412"/>
        <v>2.0195097188476221</v>
      </c>
      <c r="Q308" s="221">
        <f t="shared" si="413"/>
        <v>1.1540055536272125</v>
      </c>
      <c r="R308" s="221">
        <f t="shared" si="414"/>
        <v>2.4728690434868841</v>
      </c>
      <c r="S308" s="221">
        <f t="shared" si="415"/>
        <v>15</v>
      </c>
      <c r="T308" s="221">
        <f t="shared" si="416"/>
        <v>3.1975582685904551</v>
      </c>
      <c r="U308" s="221">
        <f t="shared" si="417"/>
        <v>1.3166416400078345</v>
      </c>
      <c r="V308" s="221">
        <f t="shared" si="418"/>
        <v>0.93848670356952557</v>
      </c>
      <c r="W308" s="201">
        <f t="shared" si="419"/>
        <v>350</v>
      </c>
      <c r="X308" s="451">
        <f t="shared" si="420"/>
        <v>350</v>
      </c>
      <c r="Z308" s="221">
        <f t="shared" si="421"/>
        <v>4.0511577948192743</v>
      </c>
      <c r="AA308" s="177">
        <f t="shared" si="422"/>
        <v>1.1890190592760972</v>
      </c>
      <c r="AB308" s="177">
        <f t="shared" si="423"/>
        <v>1.1323318705262224</v>
      </c>
      <c r="AC308" s="177"/>
      <c r="AD308" s="177">
        <f t="shared" si="424"/>
        <v>0.24067085953878403</v>
      </c>
      <c r="AE308" s="559">
        <f t="shared" si="425"/>
        <v>6789.9634571258621</v>
      </c>
      <c r="AF308" s="542">
        <f t="shared" si="426"/>
        <v>4.6392002252886505E-2</v>
      </c>
      <c r="AH308" s="177">
        <f t="shared" si="427"/>
        <v>3.5080083308024781</v>
      </c>
      <c r="AI308" s="177">
        <f t="shared" si="428"/>
        <v>3.5080083308024781</v>
      </c>
      <c r="AJ308" s="177">
        <f t="shared" si="429"/>
        <v>3.1911172820759099</v>
      </c>
      <c r="AL308" s="559">
        <f t="shared" si="430"/>
        <v>900</v>
      </c>
      <c r="AM308" s="469">
        <f t="shared" si="431"/>
        <v>350</v>
      </c>
      <c r="AO308">
        <f t="shared" si="432"/>
        <v>900</v>
      </c>
      <c r="AP308">
        <f t="shared" si="433"/>
        <v>350</v>
      </c>
      <c r="AR308" s="5">
        <f t="shared" si="403"/>
        <v>2.8571428571428572</v>
      </c>
      <c r="AS308" s="5">
        <f t="shared" si="377"/>
        <v>1.4444740185657261</v>
      </c>
      <c r="AT308" s="5">
        <f t="shared" si="378"/>
        <v>1.4126688385771311</v>
      </c>
      <c r="AU308" s="177">
        <f t="shared" si="379"/>
        <v>0.50556590649800415</v>
      </c>
      <c r="AW308" s="5">
        <f t="shared" si="434"/>
        <v>10.014141569481827</v>
      </c>
      <c r="AX308" s="5">
        <f t="shared" si="435"/>
        <v>30.352686379364592</v>
      </c>
      <c r="AY308" s="5">
        <f t="shared" si="436"/>
        <v>0.70947993256842168</v>
      </c>
      <c r="AZ308" s="5">
        <f t="shared" si="437"/>
        <v>1.5892616403779436</v>
      </c>
      <c r="BA308" s="5">
        <f t="shared" si="438"/>
        <v>1.7581822696842313</v>
      </c>
      <c r="BB308" s="5"/>
      <c r="CE308" s="576">
        <f t="shared" si="439"/>
        <v>-50</v>
      </c>
    </row>
    <row r="309" spans="5:83" x14ac:dyDescent="0.25">
      <c r="E309" s="174">
        <v>91</v>
      </c>
      <c r="F309" s="221">
        <f t="shared" si="440"/>
        <v>0.91</v>
      </c>
      <c r="G309" s="221">
        <f t="shared" si="404"/>
        <v>0.22750000000000001</v>
      </c>
      <c r="H309" s="221">
        <f t="shared" si="405"/>
        <v>13.65</v>
      </c>
      <c r="I309" s="221">
        <f t="shared" si="406"/>
        <v>1.5925</v>
      </c>
      <c r="J309" s="555">
        <f t="shared" si="407"/>
        <v>17</v>
      </c>
      <c r="K309" s="451">
        <f t="shared" si="408"/>
        <v>23.85</v>
      </c>
      <c r="L309" s="451">
        <f t="shared" si="409"/>
        <v>40.85</v>
      </c>
      <c r="M309" s="451"/>
      <c r="N309" s="221">
        <f t="shared" si="410"/>
        <v>0.58384332925336602</v>
      </c>
      <c r="O309" s="176">
        <f t="shared" si="411"/>
        <v>17.310083304408188</v>
      </c>
      <c r="P309" s="176">
        <f t="shared" si="412"/>
        <v>2.0195097188476221</v>
      </c>
      <c r="Q309" s="221">
        <f t="shared" si="413"/>
        <v>1.1540055536272125</v>
      </c>
      <c r="R309" s="221">
        <f t="shared" si="414"/>
        <v>2.4728690434868841</v>
      </c>
      <c r="S309" s="221">
        <f t="shared" si="415"/>
        <v>15</v>
      </c>
      <c r="T309" s="221">
        <f t="shared" si="416"/>
        <v>3.233086693797016</v>
      </c>
      <c r="U309" s="221">
        <f t="shared" si="417"/>
        <v>1.3312709915634773</v>
      </c>
      <c r="V309" s="221">
        <f t="shared" si="418"/>
        <v>0.94891433360918698</v>
      </c>
      <c r="W309" s="201">
        <f t="shared" si="419"/>
        <v>350</v>
      </c>
      <c r="X309" s="451">
        <f t="shared" si="420"/>
        <v>350</v>
      </c>
      <c r="Z309" s="221">
        <f t="shared" si="421"/>
        <v>4.0511577948192743</v>
      </c>
      <c r="AA309" s="177">
        <f t="shared" si="422"/>
        <v>1.1890190592760972</v>
      </c>
      <c r="AB309" s="177">
        <f t="shared" si="423"/>
        <v>1.1323318705262224</v>
      </c>
      <c r="AC309" s="177"/>
      <c r="AD309" s="177">
        <f t="shared" si="424"/>
        <v>0.24067085953878403</v>
      </c>
      <c r="AE309" s="559">
        <f t="shared" si="425"/>
        <v>6865.4074955383712</v>
      </c>
      <c r="AF309" s="542">
        <f t="shared" si="426"/>
        <v>4.6392002252886505E-2</v>
      </c>
      <c r="AH309" s="177">
        <f t="shared" si="427"/>
        <v>3.5274434287252774</v>
      </c>
      <c r="AI309" s="177">
        <f t="shared" si="428"/>
        <v>3.5274434287252774</v>
      </c>
      <c r="AJ309" s="177">
        <f t="shared" si="429"/>
        <v>3.205513650907613</v>
      </c>
      <c r="AL309" s="559">
        <f t="shared" si="430"/>
        <v>910</v>
      </c>
      <c r="AM309" s="469">
        <f t="shared" si="431"/>
        <v>350</v>
      </c>
      <c r="AO309">
        <f t="shared" si="432"/>
        <v>910</v>
      </c>
      <c r="AP309">
        <f t="shared" si="433"/>
        <v>350</v>
      </c>
      <c r="AR309" s="5">
        <f t="shared" si="403"/>
        <v>2.8571428571428572</v>
      </c>
      <c r="AS309" s="5">
        <f t="shared" ref="AS309:AS318" si="441">L*AI309/J309*1000000</f>
        <v>1.4524767059457024</v>
      </c>
      <c r="AT309" s="5">
        <f t="shared" ref="AT309:AT318" si="442">AR309-AS309</f>
        <v>1.4046661511971548</v>
      </c>
      <c r="AU309" s="177">
        <f t="shared" ref="AU309:AU318" si="443">AS309/AR309</f>
        <v>0.50836684708099589</v>
      </c>
      <c r="AW309" s="5">
        <f t="shared" si="434"/>
        <v>10.014141569481827</v>
      </c>
      <c r="AX309" s="5">
        <f t="shared" si="435"/>
        <v>31.000604433026933</v>
      </c>
      <c r="AY309" s="5">
        <f t="shared" si="436"/>
        <v>0.70947993256842168</v>
      </c>
      <c r="AZ309" s="5">
        <f t="shared" si="437"/>
        <v>1.6171914375271297</v>
      </c>
      <c r="BA309" s="5">
        <f t="shared" si="438"/>
        <v>1.7676469605467602</v>
      </c>
      <c r="BB309" s="5"/>
      <c r="CE309" s="576">
        <f t="shared" si="439"/>
        <v>-50</v>
      </c>
    </row>
    <row r="310" spans="5:83" x14ac:dyDescent="0.25">
      <c r="E310" s="174">
        <v>92</v>
      </c>
      <c r="F310" s="221">
        <f t="shared" si="440"/>
        <v>0.92</v>
      </c>
      <c r="G310" s="221">
        <f t="shared" si="404"/>
        <v>0.23</v>
      </c>
      <c r="H310" s="221">
        <f t="shared" si="405"/>
        <v>13.8</v>
      </c>
      <c r="I310" s="221">
        <f t="shared" si="406"/>
        <v>1.61</v>
      </c>
      <c r="J310" s="555">
        <f t="shared" si="407"/>
        <v>17</v>
      </c>
      <c r="K310" s="451">
        <f t="shared" si="408"/>
        <v>23.85</v>
      </c>
      <c r="L310" s="451">
        <f t="shared" si="409"/>
        <v>40.85</v>
      </c>
      <c r="M310" s="451"/>
      <c r="N310" s="221">
        <f t="shared" si="410"/>
        <v>0.58384332925336602</v>
      </c>
      <c r="O310" s="176">
        <f t="shared" si="411"/>
        <v>17.310083304408188</v>
      </c>
      <c r="P310" s="176">
        <f t="shared" si="412"/>
        <v>2.0195097188476221</v>
      </c>
      <c r="Q310" s="221">
        <f t="shared" si="413"/>
        <v>1.1540055536272125</v>
      </c>
      <c r="R310" s="221">
        <f t="shared" si="414"/>
        <v>2.4728690434868841</v>
      </c>
      <c r="S310" s="221">
        <f t="shared" si="415"/>
        <v>15</v>
      </c>
      <c r="T310" s="221">
        <f t="shared" si="416"/>
        <v>3.2686151190035768</v>
      </c>
      <c r="U310" s="221">
        <f t="shared" si="417"/>
        <v>1.3459003431191199</v>
      </c>
      <c r="V310" s="221">
        <f t="shared" si="418"/>
        <v>0.95934196364884861</v>
      </c>
      <c r="W310" s="201">
        <f t="shared" si="419"/>
        <v>350</v>
      </c>
      <c r="X310" s="451">
        <f t="shared" si="420"/>
        <v>350</v>
      </c>
      <c r="Z310" s="221">
        <f t="shared" si="421"/>
        <v>4.0511577948192743</v>
      </c>
      <c r="AA310" s="177">
        <f t="shared" si="422"/>
        <v>1.1890190592760972</v>
      </c>
      <c r="AB310" s="177">
        <f t="shared" si="423"/>
        <v>1.1323318705262224</v>
      </c>
      <c r="AC310" s="177"/>
      <c r="AD310" s="177">
        <f t="shared" si="424"/>
        <v>0.24067085953878403</v>
      </c>
      <c r="AE310" s="559">
        <f t="shared" si="425"/>
        <v>6940.8515339508822</v>
      </c>
      <c r="AF310" s="542">
        <f t="shared" si="426"/>
        <v>4.6392002252886505E-2</v>
      </c>
      <c r="AH310" s="177">
        <f t="shared" si="427"/>
        <v>3.5467720305560508</v>
      </c>
      <c r="AI310" s="177">
        <f t="shared" si="428"/>
        <v>3.5467720305560508</v>
      </c>
      <c r="AJ310" s="177">
        <f t="shared" si="429"/>
        <v>3.219831133745223</v>
      </c>
      <c r="AL310" s="559">
        <f t="shared" si="430"/>
        <v>920</v>
      </c>
      <c r="AM310" s="469">
        <f t="shared" si="431"/>
        <v>350</v>
      </c>
      <c r="AO310">
        <f t="shared" si="432"/>
        <v>920</v>
      </c>
      <c r="AP310">
        <f t="shared" si="433"/>
        <v>350</v>
      </c>
      <c r="AR310" s="5">
        <f t="shared" si="403"/>
        <v>2.8571428571428572</v>
      </c>
      <c r="AS310" s="5">
        <f t="shared" si="441"/>
        <v>1.4604355419936681</v>
      </c>
      <c r="AT310" s="5">
        <f t="shared" si="442"/>
        <v>1.3967073151491891</v>
      </c>
      <c r="AU310" s="177">
        <f t="shared" si="443"/>
        <v>0.51115243969778379</v>
      </c>
      <c r="AW310" s="5">
        <f t="shared" si="434"/>
        <v>10.014141569481827</v>
      </c>
      <c r="AX310" s="5">
        <f t="shared" si="435"/>
        <v>31.655350310486661</v>
      </c>
      <c r="AY310" s="5">
        <f t="shared" si="436"/>
        <v>0.70947993256842168</v>
      </c>
      <c r="AZ310" s="5">
        <f t="shared" si="437"/>
        <v>1.645346978291224</v>
      </c>
      <c r="BA310" s="5">
        <f t="shared" si="438"/>
        <v>1.7769461074467703</v>
      </c>
      <c r="BB310" s="5"/>
      <c r="CE310" s="576">
        <f t="shared" si="439"/>
        <v>-50</v>
      </c>
    </row>
    <row r="311" spans="5:83" x14ac:dyDescent="0.25">
      <c r="E311" s="174">
        <v>93</v>
      </c>
      <c r="F311" s="221">
        <f t="shared" si="440"/>
        <v>0.93</v>
      </c>
      <c r="G311" s="221">
        <f t="shared" si="404"/>
        <v>0.23250000000000001</v>
      </c>
      <c r="H311" s="221">
        <f t="shared" si="405"/>
        <v>13.950000000000001</v>
      </c>
      <c r="I311" s="221">
        <f t="shared" si="406"/>
        <v>1.6275000000000002</v>
      </c>
      <c r="J311" s="555">
        <f t="shared" si="407"/>
        <v>17</v>
      </c>
      <c r="K311" s="451">
        <f t="shared" si="408"/>
        <v>23.85</v>
      </c>
      <c r="L311" s="451">
        <f t="shared" si="409"/>
        <v>40.85</v>
      </c>
      <c r="M311" s="451"/>
      <c r="N311" s="221">
        <f t="shared" si="410"/>
        <v>0.58384332925336602</v>
      </c>
      <c r="O311" s="176">
        <f t="shared" si="411"/>
        <v>17.310083304408188</v>
      </c>
      <c r="P311" s="176">
        <f t="shared" si="412"/>
        <v>2.0195097188476221</v>
      </c>
      <c r="Q311" s="221">
        <f t="shared" si="413"/>
        <v>1.1540055536272125</v>
      </c>
      <c r="R311" s="221">
        <f t="shared" si="414"/>
        <v>2.4728690434868841</v>
      </c>
      <c r="S311" s="221">
        <f t="shared" si="415"/>
        <v>15</v>
      </c>
      <c r="T311" s="221">
        <f t="shared" si="416"/>
        <v>3.3041435442101372</v>
      </c>
      <c r="U311" s="221">
        <f t="shared" si="417"/>
        <v>1.3605296946747623</v>
      </c>
      <c r="V311" s="221">
        <f t="shared" si="418"/>
        <v>0.96976959368850979</v>
      </c>
      <c r="W311" s="201">
        <f t="shared" si="419"/>
        <v>350</v>
      </c>
      <c r="X311" s="451">
        <f t="shared" si="420"/>
        <v>350</v>
      </c>
      <c r="Z311" s="221">
        <f t="shared" si="421"/>
        <v>4.0511577948192743</v>
      </c>
      <c r="AA311" s="177">
        <f t="shared" si="422"/>
        <v>1.1890190592760972</v>
      </c>
      <c r="AB311" s="177">
        <f t="shared" si="423"/>
        <v>1.1323318705262224</v>
      </c>
      <c r="AC311" s="177"/>
      <c r="AD311" s="177">
        <f t="shared" si="424"/>
        <v>0.24067085953878403</v>
      </c>
      <c r="AE311" s="559">
        <f t="shared" si="425"/>
        <v>7016.2955723633913</v>
      </c>
      <c r="AF311" s="542">
        <f t="shared" si="426"/>
        <v>4.6392002252886505E-2</v>
      </c>
      <c r="AH311" s="177">
        <f t="shared" si="427"/>
        <v>3.565995868002688</v>
      </c>
      <c r="AI311" s="177">
        <f t="shared" si="428"/>
        <v>3.565995868002688</v>
      </c>
      <c r="AJ311" s="177">
        <f t="shared" si="429"/>
        <v>3.2340710133353241</v>
      </c>
      <c r="AL311" s="559">
        <f t="shared" si="430"/>
        <v>930</v>
      </c>
      <c r="AM311" s="469">
        <f t="shared" si="431"/>
        <v>350</v>
      </c>
      <c r="AO311">
        <f t="shared" si="432"/>
        <v>930</v>
      </c>
      <c r="AP311">
        <f t="shared" si="433"/>
        <v>350</v>
      </c>
      <c r="AR311" s="5">
        <f t="shared" si="403"/>
        <v>2.8571428571428572</v>
      </c>
      <c r="AS311" s="5">
        <f t="shared" si="441"/>
        <v>1.4683512397658127</v>
      </c>
      <c r="AT311" s="5">
        <f t="shared" si="442"/>
        <v>1.3887916173770445</v>
      </c>
      <c r="AU311" s="177">
        <f t="shared" si="443"/>
        <v>0.51392293391803445</v>
      </c>
      <c r="AW311" s="5">
        <f t="shared" si="434"/>
        <v>10.014141569481827</v>
      </c>
      <c r="AX311" s="5">
        <f t="shared" si="435"/>
        <v>32.316924011743758</v>
      </c>
      <c r="AY311" s="5">
        <f t="shared" si="436"/>
        <v>0.70947993256842168</v>
      </c>
      <c r="AZ311" s="5">
        <f t="shared" si="437"/>
        <v>1.6737282626702266</v>
      </c>
      <c r="BA311" s="5">
        <f t="shared" si="438"/>
        <v>1.7860806125647812</v>
      </c>
      <c r="BB311" s="5"/>
      <c r="CE311" s="576">
        <f t="shared" si="439"/>
        <v>-50</v>
      </c>
    </row>
    <row r="312" spans="5:83" x14ac:dyDescent="0.25">
      <c r="E312" s="174">
        <v>94</v>
      </c>
      <c r="F312" s="221">
        <f t="shared" si="440"/>
        <v>0.94</v>
      </c>
      <c r="G312" s="221">
        <f t="shared" si="404"/>
        <v>0.23499999999999999</v>
      </c>
      <c r="H312" s="221">
        <f t="shared" si="405"/>
        <v>14.1</v>
      </c>
      <c r="I312" s="221">
        <f t="shared" si="406"/>
        <v>1.645</v>
      </c>
      <c r="J312" s="555">
        <f t="shared" si="407"/>
        <v>17</v>
      </c>
      <c r="K312" s="451">
        <f t="shared" si="408"/>
        <v>23.85</v>
      </c>
      <c r="L312" s="451">
        <f t="shared" si="409"/>
        <v>40.85</v>
      </c>
      <c r="M312" s="451"/>
      <c r="N312" s="221">
        <f t="shared" si="410"/>
        <v>0.58384332925336602</v>
      </c>
      <c r="O312" s="176">
        <f t="shared" si="411"/>
        <v>17.310083304408188</v>
      </c>
      <c r="P312" s="176">
        <f t="shared" si="412"/>
        <v>2.0195097188476221</v>
      </c>
      <c r="Q312" s="221">
        <f t="shared" si="413"/>
        <v>1.1540055536272125</v>
      </c>
      <c r="R312" s="221">
        <f t="shared" si="414"/>
        <v>2.4728690434868841</v>
      </c>
      <c r="S312" s="221">
        <f t="shared" si="415"/>
        <v>15</v>
      </c>
      <c r="T312" s="221">
        <f t="shared" si="416"/>
        <v>3.3396719694166976</v>
      </c>
      <c r="U312" s="221">
        <f t="shared" si="417"/>
        <v>1.3751590462304049</v>
      </c>
      <c r="V312" s="221">
        <f t="shared" si="418"/>
        <v>0.98019722372817109</v>
      </c>
      <c r="W312" s="201">
        <f t="shared" si="419"/>
        <v>350</v>
      </c>
      <c r="X312" s="451">
        <f t="shared" si="420"/>
        <v>350</v>
      </c>
      <c r="Z312" s="221">
        <f t="shared" si="421"/>
        <v>4.0511577948192743</v>
      </c>
      <c r="AA312" s="177">
        <f t="shared" si="422"/>
        <v>1.1890190592760972</v>
      </c>
      <c r="AB312" s="177">
        <f t="shared" si="423"/>
        <v>1.1323318705262224</v>
      </c>
      <c r="AC312" s="177"/>
      <c r="AD312" s="177">
        <f t="shared" si="424"/>
        <v>0.24067085953878403</v>
      </c>
      <c r="AE312" s="559">
        <f t="shared" si="425"/>
        <v>7091.7396107758996</v>
      </c>
      <c r="AF312" s="542">
        <f t="shared" si="426"/>
        <v>4.6392002252886505E-2</v>
      </c>
      <c r="AH312" s="177">
        <f t="shared" si="427"/>
        <v>3.5851166263442247</v>
      </c>
      <c r="AI312" s="177">
        <f t="shared" si="428"/>
        <v>3.5851166263442247</v>
      </c>
      <c r="AJ312" s="177">
        <f t="shared" si="429"/>
        <v>3.2482345380327589</v>
      </c>
      <c r="AL312" s="559">
        <f t="shared" si="430"/>
        <v>940</v>
      </c>
      <c r="AM312" s="469">
        <f t="shared" si="431"/>
        <v>350</v>
      </c>
      <c r="AO312">
        <f t="shared" si="432"/>
        <v>940</v>
      </c>
      <c r="AP312">
        <f t="shared" si="433"/>
        <v>350</v>
      </c>
      <c r="AR312" s="5">
        <f t="shared" si="403"/>
        <v>2.8571428571428572</v>
      </c>
      <c r="AS312" s="5">
        <f t="shared" si="441"/>
        <v>1.4762244932005633</v>
      </c>
      <c r="AT312" s="5">
        <f t="shared" si="442"/>
        <v>1.3809183639422939</v>
      </c>
      <c r="AU312" s="177">
        <f t="shared" si="443"/>
        <v>0.51667857262019712</v>
      </c>
      <c r="AW312" s="5">
        <f t="shared" si="434"/>
        <v>10.014141569481827</v>
      </c>
      <c r="AX312" s="5">
        <f t="shared" si="435"/>
        <v>32.985325536798214</v>
      </c>
      <c r="AY312" s="5">
        <f t="shared" si="436"/>
        <v>0.70947993256842168</v>
      </c>
      <c r="AZ312" s="5">
        <f t="shared" si="437"/>
        <v>1.7023352906641369</v>
      </c>
      <c r="BA312" s="5">
        <f t="shared" si="438"/>
        <v>1.7950513634899004</v>
      </c>
      <c r="BB312" s="5"/>
      <c r="CE312" s="576">
        <f t="shared" si="439"/>
        <v>-50</v>
      </c>
    </row>
    <row r="313" spans="5:83" x14ac:dyDescent="0.25">
      <c r="E313" s="174">
        <v>95</v>
      </c>
      <c r="F313" s="221">
        <f t="shared" si="440"/>
        <v>0.95</v>
      </c>
      <c r="G313" s="221">
        <f t="shared" si="404"/>
        <v>0.23749999999999999</v>
      </c>
      <c r="H313" s="221">
        <f t="shared" si="405"/>
        <v>14.25</v>
      </c>
      <c r="I313" s="221">
        <f t="shared" si="406"/>
        <v>1.6624999999999999</v>
      </c>
      <c r="J313" s="555">
        <f t="shared" si="407"/>
        <v>17</v>
      </c>
      <c r="K313" s="451">
        <f t="shared" si="408"/>
        <v>23.85</v>
      </c>
      <c r="L313" s="451">
        <f t="shared" si="409"/>
        <v>40.85</v>
      </c>
      <c r="M313" s="451"/>
      <c r="N313" s="221">
        <f t="shared" si="410"/>
        <v>0.58384332925336602</v>
      </c>
      <c r="O313" s="176">
        <f t="shared" si="411"/>
        <v>17.310083304408188</v>
      </c>
      <c r="P313" s="176">
        <f t="shared" si="412"/>
        <v>2.0195097188476221</v>
      </c>
      <c r="Q313" s="221">
        <f t="shared" si="413"/>
        <v>1.1540055536272125</v>
      </c>
      <c r="R313" s="221">
        <f t="shared" si="414"/>
        <v>2.4728690434868841</v>
      </c>
      <c r="S313" s="221">
        <f t="shared" si="415"/>
        <v>15</v>
      </c>
      <c r="T313" s="221">
        <f t="shared" si="416"/>
        <v>3.3752003946232585</v>
      </c>
      <c r="U313" s="221">
        <f t="shared" si="417"/>
        <v>1.3897883977860477</v>
      </c>
      <c r="V313" s="221">
        <f t="shared" si="418"/>
        <v>0.9906248537678326</v>
      </c>
      <c r="W313" s="201">
        <f t="shared" si="419"/>
        <v>350</v>
      </c>
      <c r="X313" s="451">
        <f t="shared" si="420"/>
        <v>350</v>
      </c>
      <c r="Z313" s="221">
        <f t="shared" si="421"/>
        <v>4.0511577948192743</v>
      </c>
      <c r="AA313" s="177">
        <f t="shared" si="422"/>
        <v>1.1890190592760972</v>
      </c>
      <c r="AB313" s="177">
        <f t="shared" si="423"/>
        <v>1.1323318705262224</v>
      </c>
      <c r="AC313" s="177"/>
      <c r="AD313" s="177">
        <f t="shared" si="424"/>
        <v>0.24067085953878403</v>
      </c>
      <c r="AE313" s="559">
        <f t="shared" si="425"/>
        <v>7167.1836491884078</v>
      </c>
      <c r="AF313" s="542">
        <f t="shared" si="426"/>
        <v>4.6392002252886505E-2</v>
      </c>
      <c r="AH313" s="177">
        <f t="shared" si="427"/>
        <v>3.6041359461551039</v>
      </c>
      <c r="AI313" s="177">
        <f t="shared" si="428"/>
        <v>3.6041359461551039</v>
      </c>
      <c r="AJ313" s="177">
        <f t="shared" si="429"/>
        <v>3.2623229230778552</v>
      </c>
      <c r="AL313" s="559">
        <f t="shared" si="430"/>
        <v>950</v>
      </c>
      <c r="AM313" s="469">
        <f t="shared" si="431"/>
        <v>350</v>
      </c>
      <c r="AO313">
        <f t="shared" si="432"/>
        <v>950</v>
      </c>
      <c r="AP313">
        <f t="shared" si="433"/>
        <v>350</v>
      </c>
      <c r="AR313" s="5">
        <f t="shared" si="403"/>
        <v>2.8571428571428572</v>
      </c>
      <c r="AS313" s="5">
        <f t="shared" si="441"/>
        <v>1.4840559778285722</v>
      </c>
      <c r="AT313" s="5">
        <f t="shared" si="442"/>
        <v>1.373086879314285</v>
      </c>
      <c r="AU313" s="177">
        <f t="shared" si="443"/>
        <v>0.51941959224000023</v>
      </c>
      <c r="AW313" s="5">
        <f t="shared" si="434"/>
        <v>10.014141569481827</v>
      </c>
      <c r="AX313" s="5">
        <f t="shared" si="435"/>
        <v>33.660554885650058</v>
      </c>
      <c r="AY313" s="5">
        <f t="shared" si="436"/>
        <v>0.70947993256842168</v>
      </c>
      <c r="AZ313" s="5">
        <f t="shared" si="437"/>
        <v>1.7311680622729553</v>
      </c>
      <c r="BA313" s="5">
        <f t="shared" si="438"/>
        <v>1.8038592336089627</v>
      </c>
      <c r="BB313" s="5"/>
      <c r="CE313" s="576">
        <f t="shared" si="439"/>
        <v>-50</v>
      </c>
    </row>
    <row r="314" spans="5:83" x14ac:dyDescent="0.25">
      <c r="E314" s="174">
        <v>96</v>
      </c>
      <c r="F314" s="221">
        <f t="shared" si="440"/>
        <v>0.96</v>
      </c>
      <c r="G314" s="221">
        <f t="shared" si="404"/>
        <v>0.24</v>
      </c>
      <c r="H314" s="221">
        <f t="shared" si="405"/>
        <v>14.399999999999999</v>
      </c>
      <c r="I314" s="221">
        <f t="shared" si="406"/>
        <v>1.68</v>
      </c>
      <c r="J314" s="555">
        <f t="shared" si="407"/>
        <v>17</v>
      </c>
      <c r="K314" s="451">
        <f t="shared" si="408"/>
        <v>23.85</v>
      </c>
      <c r="L314" s="451">
        <f t="shared" si="409"/>
        <v>40.85</v>
      </c>
      <c r="M314" s="451"/>
      <c r="N314" s="221">
        <f t="shared" si="410"/>
        <v>0.58384332925336602</v>
      </c>
      <c r="O314" s="176">
        <f t="shared" ref="O314:O318" si="444">N314*J314*Isw_max*0.5*Efficiency*Pout/(Pout+Pout2)</f>
        <v>17.310083304408188</v>
      </c>
      <c r="P314" s="176">
        <f t="shared" si="412"/>
        <v>2.0195097188476221</v>
      </c>
      <c r="Q314" s="221">
        <f t="shared" si="413"/>
        <v>1.1540055536272125</v>
      </c>
      <c r="R314" s="221">
        <f t="shared" si="414"/>
        <v>2.4728690434868841</v>
      </c>
      <c r="S314" s="221">
        <f t="shared" si="415"/>
        <v>15</v>
      </c>
      <c r="T314" s="221">
        <f t="shared" si="416"/>
        <v>3.4107288198298189</v>
      </c>
      <c r="U314" s="221">
        <f t="shared" si="417"/>
        <v>1.4044177493416901</v>
      </c>
      <c r="V314" s="221">
        <f t="shared" si="418"/>
        <v>1.0010524838074939</v>
      </c>
      <c r="W314" s="201">
        <f t="shared" si="419"/>
        <v>350</v>
      </c>
      <c r="X314" s="451">
        <f t="shared" si="420"/>
        <v>350</v>
      </c>
      <c r="Z314" s="221">
        <f t="shared" si="421"/>
        <v>4.0511577948192743</v>
      </c>
      <c r="AA314" s="177">
        <f t="shared" si="422"/>
        <v>1.1890190592760972</v>
      </c>
      <c r="AB314" s="177">
        <f t="shared" ref="AB314:AB318" si="445">0.5*AA314*Z314*Nps*W314/1000*(Pout/(Pout+Pout2))</f>
        <v>1.1323318705262224</v>
      </c>
      <c r="AC314" s="177"/>
      <c r="AD314" s="177">
        <f t="shared" si="424"/>
        <v>0.24067085953878403</v>
      </c>
      <c r="AE314" s="559">
        <f t="shared" ref="AE314:AE318" si="446">MAX(10, F314/(0.5*AD314/1000000*Isw_min*Nps)/1000*Pout_total/Pout)</f>
        <v>7242.6276876009188</v>
      </c>
      <c r="AF314" s="542">
        <f t="shared" si="426"/>
        <v>4.6392002252886505E-2</v>
      </c>
      <c r="AH314" s="177">
        <f t="shared" si="427"/>
        <v>3.6230554249479674</v>
      </c>
      <c r="AI314" s="177">
        <f t="shared" ref="AI314:AI318" si="447">MAX(IF(F314&gt;AB314,T314,AH314),Isw_min)</f>
        <v>3.6230554249479674</v>
      </c>
      <c r="AJ314" s="177">
        <f t="shared" ref="AJ314:AJ318" si="448">IF(F314&gt;AF314, (AI314-Isw_min)/1.08*0.8+1.2, AE314*0.2/350+1)</f>
        <v>3.276337351813309</v>
      </c>
      <c r="AL314" s="559">
        <f t="shared" si="430"/>
        <v>960</v>
      </c>
      <c r="AM314" s="469">
        <f t="shared" si="431"/>
        <v>350</v>
      </c>
      <c r="AO314">
        <f t="shared" si="432"/>
        <v>960</v>
      </c>
      <c r="AP314">
        <f t="shared" si="433"/>
        <v>350</v>
      </c>
      <c r="AR314" s="5">
        <f t="shared" si="403"/>
        <v>2.8571428571428572</v>
      </c>
      <c r="AS314" s="5">
        <f t="shared" si="441"/>
        <v>1.4918463514491631</v>
      </c>
      <c r="AT314" s="5">
        <f t="shared" si="442"/>
        <v>1.3652965056936941</v>
      </c>
      <c r="AU314" s="177">
        <f t="shared" si="443"/>
        <v>0.52214622300720703</v>
      </c>
      <c r="AW314" s="5">
        <f t="shared" si="434"/>
        <v>10.014141569481827</v>
      </c>
      <c r="AX314" s="5">
        <f t="shared" si="435"/>
        <v>34.342612058299267</v>
      </c>
      <c r="AY314" s="5">
        <f t="shared" si="436"/>
        <v>0.70947993256842168</v>
      </c>
      <c r="AZ314" s="5">
        <f t="shared" si="437"/>
        <v>1.7602265774966823</v>
      </c>
      <c r="BA314" s="5">
        <f t="shared" si="438"/>
        <v>1.8125050824812881</v>
      </c>
      <c r="BB314" s="5"/>
      <c r="CE314" s="576">
        <f t="shared" si="439"/>
        <v>-50</v>
      </c>
    </row>
    <row r="315" spans="5:83" x14ac:dyDescent="0.25">
      <c r="E315" s="174">
        <v>97</v>
      </c>
      <c r="F315" s="221">
        <f t="shared" ref="F315:F318" si="449">IF(PLOT_TYPE=1, E315/100*Iout_max, min_I*EXP(O315*rr/100))</f>
        <v>0.97</v>
      </c>
      <c r="G315" s="221">
        <f t="shared" si="404"/>
        <v>0.24249999999999999</v>
      </c>
      <c r="H315" s="221">
        <f t="shared" si="405"/>
        <v>14.549999999999999</v>
      </c>
      <c r="I315" s="221">
        <f t="shared" si="406"/>
        <v>1.6975</v>
      </c>
      <c r="J315" s="555">
        <f t="shared" si="407"/>
        <v>17</v>
      </c>
      <c r="K315" s="451">
        <f t="shared" si="408"/>
        <v>23.85</v>
      </c>
      <c r="L315" s="451">
        <f t="shared" si="409"/>
        <v>40.85</v>
      </c>
      <c r="M315" s="451"/>
      <c r="N315" s="221">
        <f t="shared" si="410"/>
        <v>0.58384332925336602</v>
      </c>
      <c r="O315" s="176">
        <f t="shared" si="444"/>
        <v>17.310083304408188</v>
      </c>
      <c r="P315" s="176">
        <f t="shared" si="412"/>
        <v>2.0195097188476221</v>
      </c>
      <c r="Q315" s="221">
        <f t="shared" si="413"/>
        <v>1.1540055536272125</v>
      </c>
      <c r="R315" s="221">
        <f t="shared" si="414"/>
        <v>2.4728690434868841</v>
      </c>
      <c r="S315" s="221">
        <f t="shared" si="415"/>
        <v>15</v>
      </c>
      <c r="T315" s="221">
        <f t="shared" si="416"/>
        <v>3.4462572450363793</v>
      </c>
      <c r="U315" s="221">
        <f t="shared" si="417"/>
        <v>1.4190471008973329</v>
      </c>
      <c r="V315" s="221">
        <f t="shared" si="418"/>
        <v>1.0114801138471552</v>
      </c>
      <c r="W315" s="201">
        <f t="shared" si="419"/>
        <v>350</v>
      </c>
      <c r="X315" s="451">
        <f t="shared" si="420"/>
        <v>350</v>
      </c>
      <c r="Z315" s="221">
        <f t="shared" si="421"/>
        <v>4.0511577948192743</v>
      </c>
      <c r="AA315" s="177">
        <f t="shared" si="422"/>
        <v>1.1890190592760972</v>
      </c>
      <c r="AB315" s="177">
        <f t="shared" si="445"/>
        <v>1.1323318705262224</v>
      </c>
      <c r="AC315" s="177"/>
      <c r="AD315" s="177">
        <f t="shared" si="424"/>
        <v>0.24067085953878403</v>
      </c>
      <c r="AE315" s="559">
        <f t="shared" si="446"/>
        <v>7318.0717260134279</v>
      </c>
      <c r="AF315" s="542">
        <f t="shared" si="426"/>
        <v>4.6392002252886505E-2</v>
      </c>
      <c r="AH315" s="177">
        <f t="shared" si="427"/>
        <v>3.6418766187396363</v>
      </c>
      <c r="AI315" s="177">
        <f t="shared" si="447"/>
        <v>3.6418766187396363</v>
      </c>
      <c r="AJ315" s="177">
        <f t="shared" si="448"/>
        <v>3.2902789768441751</v>
      </c>
      <c r="AL315" s="559">
        <f t="shared" si="430"/>
        <v>970</v>
      </c>
      <c r="AM315" s="469">
        <f t="shared" si="431"/>
        <v>350</v>
      </c>
      <c r="AO315">
        <f t="shared" si="432"/>
        <v>970</v>
      </c>
      <c r="AP315">
        <f t="shared" si="433"/>
        <v>350</v>
      </c>
      <c r="AR315" s="5">
        <f t="shared" si="403"/>
        <v>2.8571428571428572</v>
      </c>
      <c r="AS315" s="5">
        <f t="shared" si="441"/>
        <v>1.4995962547751445</v>
      </c>
      <c r="AT315" s="5">
        <f t="shared" si="442"/>
        <v>1.3575466023677127</v>
      </c>
      <c r="AU315" s="177">
        <f t="shared" si="443"/>
        <v>0.52485868917130052</v>
      </c>
      <c r="AW315" s="5">
        <f t="shared" si="434"/>
        <v>10.014141569481827</v>
      </c>
      <c r="AX315" s="5">
        <f t="shared" si="435"/>
        <v>35.031497054745856</v>
      </c>
      <c r="AY315" s="5">
        <f t="shared" si="436"/>
        <v>0.70947993256842168</v>
      </c>
      <c r="AZ315" s="5">
        <f t="shared" si="437"/>
        <v>1.7895108363353174</v>
      </c>
      <c r="BA315" s="5">
        <f t="shared" si="438"/>
        <v>1.8209897561997452</v>
      </c>
      <c r="BB315" s="5"/>
      <c r="CE315" s="576">
        <f t="shared" si="439"/>
        <v>-50</v>
      </c>
    </row>
    <row r="316" spans="5:83" x14ac:dyDescent="0.25">
      <c r="E316" s="174">
        <v>98</v>
      </c>
      <c r="F316" s="221">
        <f t="shared" si="449"/>
        <v>0.98</v>
      </c>
      <c r="G316" s="221">
        <f t="shared" si="404"/>
        <v>0.245</v>
      </c>
      <c r="H316" s="221">
        <f t="shared" si="405"/>
        <v>14.7</v>
      </c>
      <c r="I316" s="221">
        <f t="shared" si="406"/>
        <v>1.7149999999999999</v>
      </c>
      <c r="J316" s="555">
        <f t="shared" si="407"/>
        <v>17</v>
      </c>
      <c r="K316" s="451">
        <f t="shared" si="408"/>
        <v>23.85</v>
      </c>
      <c r="L316" s="451">
        <f t="shared" si="409"/>
        <v>40.85</v>
      </c>
      <c r="M316" s="451"/>
      <c r="N316" s="221">
        <f t="shared" si="410"/>
        <v>0.58384332925336602</v>
      </c>
      <c r="O316" s="176">
        <f t="shared" si="444"/>
        <v>17.310083304408188</v>
      </c>
      <c r="P316" s="176">
        <f t="shared" si="412"/>
        <v>2.0195097188476221</v>
      </c>
      <c r="Q316" s="221">
        <f t="shared" si="413"/>
        <v>1.1540055536272125</v>
      </c>
      <c r="R316" s="221">
        <f t="shared" si="414"/>
        <v>2.4728690434868841</v>
      </c>
      <c r="S316" s="221">
        <f t="shared" si="415"/>
        <v>15</v>
      </c>
      <c r="T316" s="221">
        <f t="shared" si="416"/>
        <v>3.4817856702429402</v>
      </c>
      <c r="U316" s="221">
        <f t="shared" si="417"/>
        <v>1.4336764524529753</v>
      </c>
      <c r="V316" s="221">
        <f t="shared" si="418"/>
        <v>1.0219077438868167</v>
      </c>
      <c r="W316" s="201">
        <f t="shared" si="419"/>
        <v>350</v>
      </c>
      <c r="X316" s="451">
        <f t="shared" si="420"/>
        <v>350</v>
      </c>
      <c r="Z316" s="221">
        <f t="shared" si="421"/>
        <v>4.0511577948192743</v>
      </c>
      <c r="AA316" s="177">
        <f t="shared" si="422"/>
        <v>1.1890190592760972</v>
      </c>
      <c r="AB316" s="177">
        <f t="shared" si="445"/>
        <v>1.1323318705262224</v>
      </c>
      <c r="AC316" s="177"/>
      <c r="AD316" s="177">
        <f t="shared" si="424"/>
        <v>0.24067085953878403</v>
      </c>
      <c r="AE316" s="559">
        <f t="shared" si="446"/>
        <v>7393.5157644259389</v>
      </c>
      <c r="AF316" s="542">
        <f t="shared" si="426"/>
        <v>4.6392002252886505E-2</v>
      </c>
      <c r="AH316" s="177">
        <f t="shared" si="427"/>
        <v>3.660601043544625</v>
      </c>
      <c r="AI316" s="177">
        <f t="shared" si="447"/>
        <v>3.660601043544625</v>
      </c>
      <c r="AJ316" s="177">
        <f t="shared" si="448"/>
        <v>3.3041489211441668</v>
      </c>
      <c r="AL316" s="559">
        <f t="shared" si="430"/>
        <v>980</v>
      </c>
      <c r="AM316" s="469">
        <f t="shared" si="431"/>
        <v>350</v>
      </c>
      <c r="AO316">
        <f t="shared" si="432"/>
        <v>980</v>
      </c>
      <c r="AP316">
        <f t="shared" si="433"/>
        <v>350</v>
      </c>
      <c r="AR316" s="5">
        <f t="shared" si="403"/>
        <v>2.8571428571428572</v>
      </c>
      <c r="AS316" s="5">
        <f t="shared" si="441"/>
        <v>1.5073063120477868</v>
      </c>
      <c r="AT316" s="5">
        <f t="shared" si="442"/>
        <v>1.3498365450950705</v>
      </c>
      <c r="AU316" s="177">
        <f t="shared" si="443"/>
        <v>0.52755720921672533</v>
      </c>
      <c r="AW316" s="5">
        <f t="shared" si="434"/>
        <v>10.014141569481827</v>
      </c>
      <c r="AX316" s="5">
        <f t="shared" si="435"/>
        <v>35.727209874989818</v>
      </c>
      <c r="AY316" s="5">
        <f t="shared" si="436"/>
        <v>0.70947993256842168</v>
      </c>
      <c r="AZ316" s="5">
        <f t="shared" si="437"/>
        <v>1.8190208387888602</v>
      </c>
      <c r="BA316" s="5">
        <f t="shared" si="438"/>
        <v>1.8293140877387477</v>
      </c>
      <c r="BB316" s="5"/>
      <c r="CE316" s="576">
        <f t="shared" si="439"/>
        <v>-50</v>
      </c>
    </row>
    <row r="317" spans="5:83" x14ac:dyDescent="0.25">
      <c r="E317" s="174">
        <v>99</v>
      </c>
      <c r="F317" s="221">
        <f t="shared" si="449"/>
        <v>0.99</v>
      </c>
      <c r="G317" s="221">
        <f t="shared" si="404"/>
        <v>0.2475</v>
      </c>
      <c r="H317" s="221">
        <f t="shared" si="405"/>
        <v>14.85</v>
      </c>
      <c r="I317" s="221">
        <f t="shared" si="406"/>
        <v>1.7324999999999999</v>
      </c>
      <c r="J317" s="555">
        <f t="shared" si="407"/>
        <v>17</v>
      </c>
      <c r="K317" s="451">
        <f t="shared" si="408"/>
        <v>23.85</v>
      </c>
      <c r="L317" s="451">
        <f t="shared" si="409"/>
        <v>40.85</v>
      </c>
      <c r="M317" s="451"/>
      <c r="N317" s="221">
        <f t="shared" si="410"/>
        <v>0.58384332925336602</v>
      </c>
      <c r="O317" s="176">
        <f t="shared" si="444"/>
        <v>17.310083304408188</v>
      </c>
      <c r="P317" s="176">
        <f t="shared" si="412"/>
        <v>2.0195097188476221</v>
      </c>
      <c r="Q317" s="221">
        <f t="shared" si="413"/>
        <v>1.1540055536272125</v>
      </c>
      <c r="R317" s="221">
        <f t="shared" si="414"/>
        <v>2.4728690434868841</v>
      </c>
      <c r="S317" s="221">
        <f t="shared" si="415"/>
        <v>15</v>
      </c>
      <c r="T317" s="221">
        <f t="shared" si="416"/>
        <v>3.517314095449501</v>
      </c>
      <c r="U317" s="221">
        <f t="shared" si="417"/>
        <v>1.4483058040086181</v>
      </c>
      <c r="V317" s="221">
        <f t="shared" si="418"/>
        <v>1.0323353739264782</v>
      </c>
      <c r="W317" s="201">
        <f t="shared" si="419"/>
        <v>350</v>
      </c>
      <c r="X317" s="451">
        <f t="shared" si="420"/>
        <v>350</v>
      </c>
      <c r="Z317" s="221">
        <f t="shared" si="421"/>
        <v>4.0511577948192743</v>
      </c>
      <c r="AA317" s="177">
        <f t="shared" si="422"/>
        <v>1.1890190592760972</v>
      </c>
      <c r="AB317" s="177">
        <f t="shared" si="445"/>
        <v>1.1323318705262224</v>
      </c>
      <c r="AC317" s="177"/>
      <c r="AD317" s="177">
        <f t="shared" si="424"/>
        <v>0.24067085953878403</v>
      </c>
      <c r="AE317" s="559">
        <f t="shared" si="446"/>
        <v>7468.9598028384471</v>
      </c>
      <c r="AF317" s="542">
        <f t="shared" si="426"/>
        <v>4.6392002252886505E-2</v>
      </c>
      <c r="AH317" s="177">
        <f t="shared" si="427"/>
        <v>3.6792301768002433</v>
      </c>
      <c r="AI317" s="177">
        <f t="shared" si="447"/>
        <v>3.6792301768002433</v>
      </c>
      <c r="AJ317" s="177">
        <f t="shared" si="448"/>
        <v>3.3179482791112918</v>
      </c>
      <c r="AL317" s="559">
        <f t="shared" si="430"/>
        <v>990</v>
      </c>
      <c r="AM317" s="469">
        <f t="shared" si="431"/>
        <v>350</v>
      </c>
      <c r="AO317">
        <f t="shared" si="432"/>
        <v>990</v>
      </c>
      <c r="AP317">
        <f t="shared" si="433"/>
        <v>350</v>
      </c>
      <c r="AR317" s="5">
        <f t="shared" si="403"/>
        <v>2.8571428571428572</v>
      </c>
      <c r="AS317" s="5">
        <f t="shared" si="441"/>
        <v>1.5149771316236296</v>
      </c>
      <c r="AT317" s="5">
        <f t="shared" si="442"/>
        <v>1.3421657255192276</v>
      </c>
      <c r="AU317" s="177">
        <f t="shared" si="443"/>
        <v>0.53024199606827038</v>
      </c>
      <c r="AW317" s="5">
        <f t="shared" si="434"/>
        <v>10.014141569481827</v>
      </c>
      <c r="AX317" s="5">
        <f t="shared" si="435"/>
        <v>36.429750519031145</v>
      </c>
      <c r="AY317" s="5">
        <f t="shared" si="436"/>
        <v>0.70947993256842168</v>
      </c>
      <c r="AZ317" s="5">
        <f t="shared" si="437"/>
        <v>1.8487565848573113</v>
      </c>
      <c r="BA317" s="5">
        <f t="shared" si="438"/>
        <v>1.8374788972897909</v>
      </c>
      <c r="BB317" s="5"/>
      <c r="CE317" s="576">
        <f t="shared" si="439"/>
        <v>-50</v>
      </c>
    </row>
    <row r="318" spans="5:83" x14ac:dyDescent="0.25">
      <c r="E318" s="174">
        <v>100</v>
      </c>
      <c r="F318" s="221">
        <f t="shared" si="449"/>
        <v>1</v>
      </c>
      <c r="G318" s="221">
        <f t="shared" si="404"/>
        <v>0.25</v>
      </c>
      <c r="H318" s="221">
        <f t="shared" si="405"/>
        <v>15</v>
      </c>
      <c r="I318" s="221">
        <f t="shared" si="406"/>
        <v>1.75</v>
      </c>
      <c r="J318" s="555">
        <f t="shared" si="407"/>
        <v>17</v>
      </c>
      <c r="K318" s="451">
        <f t="shared" si="408"/>
        <v>23.85</v>
      </c>
      <c r="L318" s="451">
        <f t="shared" si="409"/>
        <v>40.85</v>
      </c>
      <c r="M318" s="451"/>
      <c r="N318" s="221">
        <f t="shared" si="410"/>
        <v>0.58384332925336602</v>
      </c>
      <c r="O318" s="176">
        <f t="shared" si="444"/>
        <v>17.310083304408188</v>
      </c>
      <c r="P318" s="176">
        <f t="shared" si="412"/>
        <v>2.0195097188476221</v>
      </c>
      <c r="Q318" s="221">
        <f t="shared" si="413"/>
        <v>1.1540055536272125</v>
      </c>
      <c r="R318" s="221">
        <f t="shared" si="414"/>
        <v>2.4728690434868841</v>
      </c>
      <c r="S318" s="221">
        <f t="shared" si="415"/>
        <v>15</v>
      </c>
      <c r="T318" s="221">
        <f t="shared" si="416"/>
        <v>3.5528425206560614</v>
      </c>
      <c r="U318" s="221">
        <f t="shared" si="417"/>
        <v>1.4629351555642607</v>
      </c>
      <c r="V318" s="221">
        <f t="shared" si="418"/>
        <v>1.0427630039661397</v>
      </c>
      <c r="W318" s="201">
        <f t="shared" si="419"/>
        <v>350</v>
      </c>
      <c r="X318" s="451">
        <f t="shared" si="420"/>
        <v>350</v>
      </c>
      <c r="Z318" s="221">
        <f t="shared" si="421"/>
        <v>4.0511577948192743</v>
      </c>
      <c r="AA318" s="177">
        <f t="shared" si="422"/>
        <v>1.1890190592760972</v>
      </c>
      <c r="AB318" s="177">
        <f t="shared" si="445"/>
        <v>1.1323318705262224</v>
      </c>
      <c r="AC318" s="177"/>
      <c r="AD318" s="177">
        <f t="shared" si="424"/>
        <v>0.24067085953878403</v>
      </c>
      <c r="AE318" s="559">
        <f t="shared" si="446"/>
        <v>7544.4038412509572</v>
      </c>
      <c r="AF318" s="542">
        <f t="shared" si="426"/>
        <v>4.6392002252886505E-2</v>
      </c>
      <c r="AH318" s="177">
        <f t="shared" si="427"/>
        <v>3.6977654587270812</v>
      </c>
      <c r="AI318" s="177">
        <f t="shared" si="447"/>
        <v>3.6977654587270812</v>
      </c>
      <c r="AJ318" s="177">
        <f t="shared" si="448"/>
        <v>3.3316781175756152</v>
      </c>
      <c r="AL318" s="559">
        <f t="shared" si="430"/>
        <v>1000</v>
      </c>
      <c r="AM318" s="469">
        <f t="shared" si="431"/>
        <v>350</v>
      </c>
      <c r="AO318">
        <f t="shared" si="432"/>
        <v>1000</v>
      </c>
      <c r="AP318">
        <f t="shared" si="433"/>
        <v>350</v>
      </c>
      <c r="AR318" s="5">
        <f t="shared" si="403"/>
        <v>2.8571428571428572</v>
      </c>
      <c r="AS318" s="5">
        <f t="shared" si="441"/>
        <v>1.5226093065346806</v>
      </c>
      <c r="AT318" s="5">
        <f t="shared" si="442"/>
        <v>1.3345335506081766</v>
      </c>
      <c r="AU318" s="177">
        <f t="shared" si="443"/>
        <v>0.53291325728713823</v>
      </c>
      <c r="AW318" s="5">
        <f t="shared" si="434"/>
        <v>10.014141569481827</v>
      </c>
      <c r="AX318" s="5">
        <f t="shared" si="435"/>
        <v>37.139118986869867</v>
      </c>
      <c r="AY318" s="5">
        <f t="shared" si="436"/>
        <v>0.70947993256842168</v>
      </c>
      <c r="AZ318" s="5">
        <f t="shared" si="437"/>
        <v>1.8787180745406709</v>
      </c>
      <c r="BA318" s="5">
        <f t="shared" si="438"/>
        <v>1.8454849925850947</v>
      </c>
      <c r="BB318" s="5"/>
      <c r="CE318" s="576">
        <f t="shared" si="439"/>
        <v>-50</v>
      </c>
    </row>
    <row r="319" spans="5:83" x14ac:dyDescent="0.25">
      <c r="E319" s="174"/>
      <c r="F319" s="221"/>
      <c r="G319" s="221"/>
    </row>
  </sheetData>
  <mergeCells count="2">
    <mergeCell ref="N3:Z3"/>
    <mergeCell ref="AW3:BA3"/>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tabColor rgb="FFFF0000"/>
  </sheetPr>
  <dimension ref="C3:S106"/>
  <sheetViews>
    <sheetView workbookViewId="0">
      <selection activeCell="V6" sqref="V6"/>
    </sheetView>
  </sheetViews>
  <sheetFormatPr defaultRowHeight="13.2" x14ac:dyDescent="0.25"/>
  <cols>
    <col min="3" max="3" width="7.6640625" customWidth="1"/>
    <col min="5" max="5" width="10.33203125" customWidth="1"/>
    <col min="7" max="7" width="10.6640625" customWidth="1"/>
    <col min="8" max="8" width="9.6640625" customWidth="1"/>
    <col min="9" max="9" width="9.5546875" customWidth="1"/>
    <col min="10" max="10" width="8.6640625" customWidth="1"/>
    <col min="11" max="11" width="9.88671875" customWidth="1"/>
    <col min="12" max="12" width="10.6640625" customWidth="1"/>
    <col min="13" max="13" width="15" customWidth="1"/>
    <col min="14" max="14" width="11.44140625" customWidth="1"/>
    <col min="15" max="16" width="11" customWidth="1"/>
    <col min="17" max="17" width="11.109375" customWidth="1"/>
    <col min="18" max="18" width="11.33203125" customWidth="1"/>
    <col min="19" max="19" width="5.109375" customWidth="1"/>
  </cols>
  <sheetData>
    <row r="3" spans="3:19" ht="13.8" thickBot="1" x14ac:dyDescent="0.3"/>
    <row r="4" spans="3:19" x14ac:dyDescent="0.25">
      <c r="C4" s="224" t="s">
        <v>432</v>
      </c>
      <c r="D4" s="225"/>
      <c r="E4" s="226"/>
      <c r="F4" s="701" t="s">
        <v>190</v>
      </c>
      <c r="G4" s="702"/>
      <c r="H4" s="701"/>
      <c r="I4" s="701"/>
      <c r="J4" s="701"/>
      <c r="K4" s="702"/>
      <c r="L4" s="702"/>
      <c r="M4" s="702"/>
      <c r="N4" s="701"/>
      <c r="O4" s="704"/>
      <c r="P4" s="547"/>
      <c r="Q4" s="547"/>
      <c r="R4" s="547"/>
      <c r="S4" s="547"/>
    </row>
    <row r="5" spans="3:19" ht="45" customHeight="1" thickBot="1" x14ac:dyDescent="0.3">
      <c r="C5" s="245" t="s">
        <v>25</v>
      </c>
      <c r="D5" s="246" t="s">
        <v>423</v>
      </c>
      <c r="E5" s="247" t="s">
        <v>429</v>
      </c>
      <c r="F5" s="248" t="s">
        <v>48</v>
      </c>
      <c r="G5" s="541" t="s">
        <v>413</v>
      </c>
      <c r="H5" s="541" t="s">
        <v>414</v>
      </c>
      <c r="I5" s="541" t="s">
        <v>424</v>
      </c>
      <c r="J5" s="541" t="s">
        <v>425</v>
      </c>
      <c r="K5" s="541" t="s">
        <v>426</v>
      </c>
      <c r="L5" s="541" t="s">
        <v>427</v>
      </c>
      <c r="M5" s="250" t="s">
        <v>430</v>
      </c>
      <c r="N5" s="249" t="s">
        <v>431</v>
      </c>
      <c r="O5" s="249" t="s">
        <v>428</v>
      </c>
      <c r="P5" s="249" t="s">
        <v>433</v>
      </c>
      <c r="Q5" s="249" t="s">
        <v>434</v>
      </c>
      <c r="R5" s="249" t="s">
        <v>435</v>
      </c>
      <c r="S5" s="249"/>
    </row>
    <row r="6" spans="3:19" x14ac:dyDescent="0.25">
      <c r="C6" s="174">
        <v>0.1</v>
      </c>
      <c r="D6" s="543">
        <f>VIN_min</f>
        <v>12</v>
      </c>
      <c r="E6" s="451">
        <f t="shared" ref="E6:E37" si="0">(Vout+Vfwd1)*Nps</f>
        <v>23.85</v>
      </c>
      <c r="F6" s="221">
        <f t="shared" ref="F6:F37" si="1">(Vout+Vfwd1)*Nps/((Vout+Vfwd1)*Nps+D6)</f>
        <v>0.66527196652719667</v>
      </c>
      <c r="G6" s="176">
        <f t="shared" ref="G6:G37" si="2">F6*D6*Isw_max*0.5*Efficiency</f>
        <v>15.547405857740586</v>
      </c>
      <c r="H6" s="221">
        <f t="shared" ref="H6:H37" si="3">G6/Vout</f>
        <v>1.0364937238493723</v>
      </c>
      <c r="I6" s="451">
        <f t="shared" ref="I6:I37" si="4">(Vout+Vfwd1)*Nps+D6</f>
        <v>35.85</v>
      </c>
      <c r="J6" s="176">
        <f t="shared" ref="J6:J37" si="5">MIN(2*Vout*Iout/(Efficiency*D6*F6), 1.35)</f>
        <v>1.35</v>
      </c>
      <c r="K6" s="176">
        <f t="shared" ref="K6:K37" si="6">L*J6/D6*1000000</f>
        <v>0.78750000000000009</v>
      </c>
      <c r="L6" s="176">
        <f t="shared" ref="L6:L37" si="7">L*J6/((Vout+Vfwd1)*Nps)*1000000</f>
        <v>0.39622641509433965</v>
      </c>
      <c r="M6" s="451">
        <f>MIN(1/(K6+L6)*1000, 350)</f>
        <v>350</v>
      </c>
      <c r="N6" s="201">
        <f t="shared" ref="N6:N37" si="8">IF(1/((350000*L)*(1/D6+1/E6))&gt;Isw_min, 350, 0.001/((Isw_min*L)*(1/D6+1/E6)))</f>
        <v>350</v>
      </c>
      <c r="O6" s="221">
        <f t="shared" ref="O6:O37" si="9">1/((N6*1000*L)*(1/D6+1/E6))</f>
        <v>3.2584749380923919</v>
      </c>
      <c r="P6" s="177">
        <f t="shared" ref="P6:P37" si="10">L*O6/E6*1000000</f>
        <v>0.95636580992229525</v>
      </c>
      <c r="Q6" s="177">
        <f t="shared" ref="Q6:Q37" si="11">0.5*P6*O6*Nps*N6/1000</f>
        <v>0.81802718111106087</v>
      </c>
      <c r="R6" s="177">
        <f t="shared" ref="R6:R37" si="12">L*Isw_min/E6*1000000</f>
        <v>0.24067085953878403</v>
      </c>
    </row>
    <row r="7" spans="3:19" x14ac:dyDescent="0.25">
      <c r="C7" s="174">
        <v>1</v>
      </c>
      <c r="D7" s="5">
        <f t="shared" ref="D7:D38" si="13">C7/100*(VIN_max-VIN_min)+VIN_min</f>
        <v>12.05</v>
      </c>
      <c r="E7" s="451">
        <f t="shared" si="0"/>
        <v>23.85</v>
      </c>
      <c r="F7" s="221">
        <f t="shared" si="1"/>
        <v>0.66434540389972141</v>
      </c>
      <c r="G7" s="176">
        <f t="shared" si="2"/>
        <v>15.590442722841223</v>
      </c>
      <c r="H7" s="221">
        <f t="shared" si="3"/>
        <v>1.0393628481894148</v>
      </c>
      <c r="I7" s="451">
        <f t="shared" si="4"/>
        <v>35.900000000000006</v>
      </c>
      <c r="J7" s="176">
        <f t="shared" si="5"/>
        <v>1.35</v>
      </c>
      <c r="K7" s="176">
        <f t="shared" si="6"/>
        <v>0.78423236514522832</v>
      </c>
      <c r="L7" s="176">
        <f t="shared" si="7"/>
        <v>0.39622641509433965</v>
      </c>
      <c r="M7" s="451">
        <f t="shared" ref="M7:M70" si="14">MIN(1/(K7+L7)*1000, 350)</f>
        <v>350</v>
      </c>
      <c r="N7" s="201">
        <f t="shared" si="8"/>
        <v>350</v>
      </c>
      <c r="O7" s="221">
        <f t="shared" si="9"/>
        <v>3.2674947416292421</v>
      </c>
      <c r="P7" s="177">
        <f t="shared" si="10"/>
        <v>0.9590131317150814</v>
      </c>
      <c r="Q7" s="177">
        <f t="shared" si="11"/>
        <v>0.82256222082101038</v>
      </c>
      <c r="R7" s="177">
        <f t="shared" si="12"/>
        <v>0.24067085953878403</v>
      </c>
    </row>
    <row r="8" spans="3:19" x14ac:dyDescent="0.25">
      <c r="C8" s="174">
        <v>2</v>
      </c>
      <c r="D8" s="5">
        <f t="shared" si="13"/>
        <v>12.1</v>
      </c>
      <c r="E8" s="451">
        <f t="shared" si="0"/>
        <v>23.85</v>
      </c>
      <c r="F8" s="221">
        <f t="shared" si="1"/>
        <v>0.66342141863699577</v>
      </c>
      <c r="G8" s="176">
        <f t="shared" si="2"/>
        <v>15.633359874826146</v>
      </c>
      <c r="H8" s="221">
        <f t="shared" si="3"/>
        <v>1.0422239916550764</v>
      </c>
      <c r="I8" s="451">
        <f t="shared" si="4"/>
        <v>35.950000000000003</v>
      </c>
      <c r="J8" s="176">
        <f t="shared" si="5"/>
        <v>1.35</v>
      </c>
      <c r="K8" s="176">
        <f t="shared" si="6"/>
        <v>0.78099173553719026</v>
      </c>
      <c r="L8" s="176">
        <f t="shared" si="7"/>
        <v>0.39622641509433965</v>
      </c>
      <c r="M8" s="451">
        <f t="shared" si="14"/>
        <v>350</v>
      </c>
      <c r="N8" s="201">
        <f t="shared" si="8"/>
        <v>350</v>
      </c>
      <c r="O8" s="221">
        <f t="shared" si="9"/>
        <v>3.2764894553092447</v>
      </c>
      <c r="P8" s="177">
        <f t="shared" si="10"/>
        <v>0.9616530896085832</v>
      </c>
      <c r="Q8" s="177">
        <f t="shared" si="11"/>
        <v>0.82709712953912073</v>
      </c>
      <c r="R8" s="177">
        <f t="shared" si="12"/>
        <v>0.24067085953878403</v>
      </c>
    </row>
    <row r="9" spans="3:19" x14ac:dyDescent="0.25">
      <c r="C9" s="174">
        <v>3</v>
      </c>
      <c r="D9" s="5">
        <f t="shared" si="13"/>
        <v>12.15</v>
      </c>
      <c r="E9" s="451">
        <f t="shared" si="0"/>
        <v>23.85</v>
      </c>
      <c r="F9" s="221">
        <f t="shared" si="1"/>
        <v>0.66250000000000009</v>
      </c>
      <c r="G9" s="176">
        <f t="shared" si="2"/>
        <v>15.6761578125</v>
      </c>
      <c r="H9" s="221">
        <f t="shared" si="3"/>
        <v>1.0450771875</v>
      </c>
      <c r="I9" s="451">
        <f t="shared" si="4"/>
        <v>36</v>
      </c>
      <c r="J9" s="176">
        <f t="shared" si="5"/>
        <v>1.35</v>
      </c>
      <c r="K9" s="176">
        <f t="shared" si="6"/>
        <v>0.77777777777777779</v>
      </c>
      <c r="L9" s="176">
        <f t="shared" si="7"/>
        <v>0.39622641509433965</v>
      </c>
      <c r="M9" s="451">
        <f t="shared" si="14"/>
        <v>350</v>
      </c>
      <c r="N9" s="201">
        <f t="shared" si="8"/>
        <v>350</v>
      </c>
      <c r="O9" s="221">
        <f t="shared" si="9"/>
        <v>3.2854591836734697</v>
      </c>
      <c r="P9" s="177">
        <f t="shared" si="10"/>
        <v>0.9642857142857143</v>
      </c>
      <c r="Q9" s="177">
        <f t="shared" si="11"/>
        <v>0.83163185586734711</v>
      </c>
      <c r="R9" s="177">
        <f t="shared" si="12"/>
        <v>0.24067085953878403</v>
      </c>
    </row>
    <row r="10" spans="3:19" x14ac:dyDescent="0.25">
      <c r="C10" s="174">
        <v>4</v>
      </c>
      <c r="D10" s="5">
        <f t="shared" si="13"/>
        <v>12.2</v>
      </c>
      <c r="E10" s="451">
        <f t="shared" si="0"/>
        <v>23.85</v>
      </c>
      <c r="F10" s="221">
        <f t="shared" si="1"/>
        <v>0.66158113730929269</v>
      </c>
      <c r="G10" s="176">
        <f t="shared" si="2"/>
        <v>15.718837031900135</v>
      </c>
      <c r="H10" s="221">
        <f t="shared" si="3"/>
        <v>1.0479224687933424</v>
      </c>
      <c r="I10" s="451">
        <f t="shared" si="4"/>
        <v>36.049999999999997</v>
      </c>
      <c r="J10" s="176">
        <f t="shared" si="5"/>
        <v>1.35</v>
      </c>
      <c r="K10" s="176">
        <f t="shared" si="6"/>
        <v>0.77459016393442637</v>
      </c>
      <c r="L10" s="176">
        <f t="shared" si="7"/>
        <v>0.39622641509433965</v>
      </c>
      <c r="M10" s="451">
        <f t="shared" si="14"/>
        <v>350</v>
      </c>
      <c r="N10" s="201">
        <f t="shared" si="8"/>
        <v>350</v>
      </c>
      <c r="O10" s="221">
        <f t="shared" si="9"/>
        <v>3.2944040306830082</v>
      </c>
      <c r="P10" s="177">
        <f t="shared" si="10"/>
        <v>0.96691103625916375</v>
      </c>
      <c r="Q10" s="177">
        <f t="shared" si="11"/>
        <v>0.8361663489805693</v>
      </c>
      <c r="R10" s="177">
        <f t="shared" si="12"/>
        <v>0.24067085953878403</v>
      </c>
    </row>
    <row r="11" spans="3:19" x14ac:dyDescent="0.25">
      <c r="C11" s="174">
        <v>5</v>
      </c>
      <c r="D11" s="5">
        <f t="shared" si="13"/>
        <v>12.25</v>
      </c>
      <c r="E11" s="451">
        <f t="shared" si="0"/>
        <v>23.85</v>
      </c>
      <c r="F11" s="221">
        <f t="shared" si="1"/>
        <v>0.66066481994459836</v>
      </c>
      <c r="G11" s="176">
        <f t="shared" si="2"/>
        <v>15.761398026315787</v>
      </c>
      <c r="H11" s="221">
        <f t="shared" si="3"/>
        <v>1.0507598684210524</v>
      </c>
      <c r="I11" s="451">
        <f t="shared" si="4"/>
        <v>36.1</v>
      </c>
      <c r="J11" s="176">
        <f t="shared" si="5"/>
        <v>1.35</v>
      </c>
      <c r="K11" s="176">
        <f t="shared" si="6"/>
        <v>0.77142857142857146</v>
      </c>
      <c r="L11" s="176">
        <f t="shared" si="7"/>
        <v>0.39622641509433965</v>
      </c>
      <c r="M11" s="451">
        <f t="shared" si="14"/>
        <v>350</v>
      </c>
      <c r="N11" s="201">
        <f t="shared" si="8"/>
        <v>350</v>
      </c>
      <c r="O11" s="221">
        <f t="shared" si="9"/>
        <v>3.303324099722992</v>
      </c>
      <c r="P11" s="177">
        <f t="shared" si="10"/>
        <v>0.96952908587257625</v>
      </c>
      <c r="Q11" s="177">
        <f t="shared" si="11"/>
        <v>0.84070055862063686</v>
      </c>
      <c r="R11" s="177">
        <f t="shared" si="12"/>
        <v>0.24067085953878403</v>
      </c>
    </row>
    <row r="12" spans="3:19" x14ac:dyDescent="0.25">
      <c r="C12" s="174">
        <v>6</v>
      </c>
      <c r="D12" s="5">
        <f t="shared" si="13"/>
        <v>12.3</v>
      </c>
      <c r="E12" s="451">
        <f t="shared" si="0"/>
        <v>23.85</v>
      </c>
      <c r="F12" s="221">
        <f t="shared" si="1"/>
        <v>0.65975103734439833</v>
      </c>
      <c r="G12" s="176">
        <f t="shared" si="2"/>
        <v>15.803841286307051</v>
      </c>
      <c r="H12" s="221">
        <f t="shared" si="3"/>
        <v>1.0535894190871367</v>
      </c>
      <c r="I12" s="451">
        <f t="shared" si="4"/>
        <v>36.150000000000006</v>
      </c>
      <c r="J12" s="176">
        <f t="shared" si="5"/>
        <v>1.35</v>
      </c>
      <c r="K12" s="176">
        <f t="shared" si="6"/>
        <v>0.76829268292682928</v>
      </c>
      <c r="L12" s="176">
        <f t="shared" si="7"/>
        <v>0.39622641509433965</v>
      </c>
      <c r="M12" s="451">
        <f t="shared" si="14"/>
        <v>350</v>
      </c>
      <c r="N12" s="201">
        <f t="shared" si="8"/>
        <v>350</v>
      </c>
      <c r="O12" s="221">
        <f t="shared" si="9"/>
        <v>3.3122194936065714</v>
      </c>
      <c r="P12" s="177">
        <f t="shared" si="10"/>
        <v>0.97213989330171902</v>
      </c>
      <c r="Q12" s="177">
        <f t="shared" si="11"/>
        <v>0.84523443509047369</v>
      </c>
      <c r="R12" s="177">
        <f t="shared" si="12"/>
        <v>0.24067085953878403</v>
      </c>
    </row>
    <row r="13" spans="3:19" x14ac:dyDescent="0.25">
      <c r="C13" s="174">
        <v>7</v>
      </c>
      <c r="D13" s="5">
        <f t="shared" si="13"/>
        <v>12.35</v>
      </c>
      <c r="E13" s="451">
        <f t="shared" si="0"/>
        <v>23.85</v>
      </c>
      <c r="F13" s="221">
        <f t="shared" si="1"/>
        <v>0.65883977900552482</v>
      </c>
      <c r="G13" s="176">
        <f t="shared" si="2"/>
        <v>15.846167299723753</v>
      </c>
      <c r="H13" s="221">
        <f t="shared" si="3"/>
        <v>1.0564111533149168</v>
      </c>
      <c r="I13" s="451">
        <f t="shared" si="4"/>
        <v>36.200000000000003</v>
      </c>
      <c r="J13" s="176">
        <f t="shared" si="5"/>
        <v>1.35</v>
      </c>
      <c r="K13" s="176">
        <f t="shared" si="6"/>
        <v>0.76518218623481793</v>
      </c>
      <c r="L13" s="176">
        <f t="shared" si="7"/>
        <v>0.39622641509433965</v>
      </c>
      <c r="M13" s="451">
        <f t="shared" si="14"/>
        <v>350</v>
      </c>
      <c r="N13" s="201">
        <f t="shared" si="8"/>
        <v>350</v>
      </c>
      <c r="O13" s="221">
        <f t="shared" si="9"/>
        <v>3.3210903145788704</v>
      </c>
      <c r="P13" s="177">
        <f t="shared" si="10"/>
        <v>0.97474348855564319</v>
      </c>
      <c r="Q13" s="177">
        <f t="shared" si="11"/>
        <v>0.84976792924825362</v>
      </c>
      <c r="R13" s="177">
        <f t="shared" si="12"/>
        <v>0.24067085953878403</v>
      </c>
    </row>
    <row r="14" spans="3:19" s="76" customFormat="1" x14ac:dyDescent="0.25">
      <c r="C14" s="193">
        <v>8</v>
      </c>
      <c r="D14" s="548">
        <f t="shared" si="13"/>
        <v>12.4</v>
      </c>
      <c r="E14" s="549">
        <f t="shared" si="0"/>
        <v>23.85</v>
      </c>
      <c r="F14" s="333">
        <f t="shared" si="1"/>
        <v>0.65793103448275869</v>
      </c>
      <c r="G14" s="550">
        <f t="shared" si="2"/>
        <v>15.888376551724136</v>
      </c>
      <c r="H14" s="333">
        <f t="shared" si="3"/>
        <v>1.0592251034482758</v>
      </c>
      <c r="I14" s="549">
        <f t="shared" si="4"/>
        <v>36.25</v>
      </c>
      <c r="J14" s="176">
        <f t="shared" si="5"/>
        <v>1.35</v>
      </c>
      <c r="K14" s="550">
        <f t="shared" si="6"/>
        <v>0.76209677419354838</v>
      </c>
      <c r="L14" s="550">
        <f t="shared" si="7"/>
        <v>0.39622641509433965</v>
      </c>
      <c r="M14" s="549">
        <f t="shared" si="14"/>
        <v>350</v>
      </c>
      <c r="N14" s="551">
        <f t="shared" si="8"/>
        <v>350</v>
      </c>
      <c r="O14" s="333">
        <f t="shared" si="9"/>
        <v>3.3299366643209005</v>
      </c>
      <c r="P14" s="177">
        <f t="shared" si="10"/>
        <v>0.97733990147783245</v>
      </c>
      <c r="Q14" s="552">
        <f t="shared" si="11"/>
        <v>0.85430099250163793</v>
      </c>
      <c r="R14" s="177">
        <f t="shared" si="12"/>
        <v>0.24067085953878403</v>
      </c>
    </row>
    <row r="15" spans="3:19" x14ac:dyDescent="0.25">
      <c r="C15" s="174">
        <v>9</v>
      </c>
      <c r="D15" s="5">
        <f t="shared" si="13"/>
        <v>12.45</v>
      </c>
      <c r="E15" s="451">
        <f t="shared" si="0"/>
        <v>23.85</v>
      </c>
      <c r="F15" s="221">
        <f t="shared" si="1"/>
        <v>0.6570247933884299</v>
      </c>
      <c r="G15" s="176">
        <f t="shared" si="2"/>
        <v>15.930469524793388</v>
      </c>
      <c r="H15" s="221">
        <f t="shared" si="3"/>
        <v>1.0620313016528926</v>
      </c>
      <c r="I15" s="451">
        <f t="shared" si="4"/>
        <v>36.299999999999997</v>
      </c>
      <c r="J15" s="176">
        <f t="shared" si="5"/>
        <v>1.35</v>
      </c>
      <c r="K15" s="176">
        <f t="shared" si="6"/>
        <v>0.75903614457831348</v>
      </c>
      <c r="L15" s="176">
        <f t="shared" si="7"/>
        <v>0.39622641509433965</v>
      </c>
      <c r="M15" s="451">
        <f t="shared" si="14"/>
        <v>350</v>
      </c>
      <c r="N15" s="201">
        <f t="shared" si="8"/>
        <v>350</v>
      </c>
      <c r="O15" s="221">
        <f t="shared" si="9"/>
        <v>3.3387586439534491</v>
      </c>
      <c r="P15" s="177">
        <f t="shared" si="10"/>
        <v>0.97992916174734346</v>
      </c>
      <c r="Q15" s="177">
        <f t="shared" si="11"/>
        <v>0.85883357680207517</v>
      </c>
      <c r="R15" s="177">
        <f t="shared" si="12"/>
        <v>0.24067085953878403</v>
      </c>
    </row>
    <row r="16" spans="3:19" x14ac:dyDescent="0.25">
      <c r="C16" s="174">
        <v>10</v>
      </c>
      <c r="D16" s="5">
        <f t="shared" si="13"/>
        <v>12.5</v>
      </c>
      <c r="E16" s="451">
        <f t="shared" si="0"/>
        <v>23.85</v>
      </c>
      <c r="F16" s="221">
        <f t="shared" si="1"/>
        <v>0.65612104539202198</v>
      </c>
      <c r="G16" s="176">
        <f t="shared" si="2"/>
        <v>15.972446698762031</v>
      </c>
      <c r="H16" s="221">
        <f t="shared" si="3"/>
        <v>1.0648297799174686</v>
      </c>
      <c r="I16" s="451">
        <f t="shared" si="4"/>
        <v>36.35</v>
      </c>
      <c r="J16" s="176">
        <f t="shared" si="5"/>
        <v>1.35</v>
      </c>
      <c r="K16" s="176">
        <f t="shared" si="6"/>
        <v>0.75600000000000001</v>
      </c>
      <c r="L16" s="176">
        <f t="shared" si="7"/>
        <v>0.39622641509433965</v>
      </c>
      <c r="M16" s="451">
        <f t="shared" si="14"/>
        <v>350</v>
      </c>
      <c r="N16" s="201">
        <f t="shared" si="8"/>
        <v>350</v>
      </c>
      <c r="O16" s="221">
        <f t="shared" si="9"/>
        <v>3.3475563540409286</v>
      </c>
      <c r="P16" s="177">
        <f t="shared" si="10"/>
        <v>0.98251129887993705</v>
      </c>
      <c r="Q16" s="177">
        <f t="shared" si="11"/>
        <v>0.86336563463916649</v>
      </c>
      <c r="R16" s="177">
        <f t="shared" si="12"/>
        <v>0.24067085953878403</v>
      </c>
    </row>
    <row r="17" spans="3:18" x14ac:dyDescent="0.25">
      <c r="C17" s="174">
        <v>11</v>
      </c>
      <c r="D17" s="5">
        <f t="shared" si="13"/>
        <v>12.55</v>
      </c>
      <c r="E17" s="451">
        <f t="shared" si="0"/>
        <v>23.85</v>
      </c>
      <c r="F17" s="221">
        <f t="shared" si="1"/>
        <v>0.65521978021978011</v>
      </c>
      <c r="G17" s="176">
        <f t="shared" si="2"/>
        <v>16.014308550824168</v>
      </c>
      <c r="H17" s="221">
        <f t="shared" si="3"/>
        <v>1.0676205700549446</v>
      </c>
      <c r="I17" s="451">
        <f t="shared" si="4"/>
        <v>36.400000000000006</v>
      </c>
      <c r="J17" s="176">
        <f t="shared" si="5"/>
        <v>1.35</v>
      </c>
      <c r="K17" s="176">
        <f t="shared" si="6"/>
        <v>0.75298804780876494</v>
      </c>
      <c r="L17" s="176">
        <f t="shared" si="7"/>
        <v>0.39622641509433965</v>
      </c>
      <c r="M17" s="451">
        <f t="shared" si="14"/>
        <v>350</v>
      </c>
      <c r="N17" s="201">
        <f t="shared" si="8"/>
        <v>350</v>
      </c>
      <c r="O17" s="221">
        <f t="shared" si="9"/>
        <v>3.3563298945952007</v>
      </c>
      <c r="P17" s="177">
        <f t="shared" si="10"/>
        <v>0.98508634222919944</v>
      </c>
      <c r="Q17" s="177">
        <f t="shared" si="11"/>
        <v>0.86789711903509148</v>
      </c>
      <c r="R17" s="177">
        <f t="shared" si="12"/>
        <v>0.24067085953878403</v>
      </c>
    </row>
    <row r="18" spans="3:18" x14ac:dyDescent="0.25">
      <c r="C18" s="174">
        <v>12</v>
      </c>
      <c r="D18" s="5">
        <f t="shared" si="13"/>
        <v>12.6</v>
      </c>
      <c r="E18" s="451">
        <f t="shared" si="0"/>
        <v>23.85</v>
      </c>
      <c r="F18" s="221">
        <f t="shared" si="1"/>
        <v>0.65432098765432101</v>
      </c>
      <c r="G18" s="176">
        <f t="shared" si="2"/>
        <v>16.056055555555549</v>
      </c>
      <c r="H18" s="221">
        <f t="shared" si="3"/>
        <v>1.0704037037037033</v>
      </c>
      <c r="I18" s="451">
        <f t="shared" si="4"/>
        <v>36.450000000000003</v>
      </c>
      <c r="J18" s="176">
        <f t="shared" si="5"/>
        <v>1.35</v>
      </c>
      <c r="K18" s="176">
        <f t="shared" si="6"/>
        <v>0.75000000000000011</v>
      </c>
      <c r="L18" s="176">
        <f t="shared" si="7"/>
        <v>0.39622641509433965</v>
      </c>
      <c r="M18" s="451">
        <f t="shared" si="14"/>
        <v>350</v>
      </c>
      <c r="N18" s="201">
        <f t="shared" si="8"/>
        <v>350</v>
      </c>
      <c r="O18" s="221">
        <f t="shared" si="9"/>
        <v>3.3650793650793651</v>
      </c>
      <c r="P18" s="177">
        <f t="shared" si="10"/>
        <v>0.98765432098765438</v>
      </c>
      <c r="Q18" s="177">
        <f t="shared" si="11"/>
        <v>0.87242798353909456</v>
      </c>
      <c r="R18" s="177">
        <f t="shared" si="12"/>
        <v>0.24067085953878403</v>
      </c>
    </row>
    <row r="19" spans="3:18" x14ac:dyDescent="0.25">
      <c r="C19" s="174">
        <v>13</v>
      </c>
      <c r="D19" s="5">
        <f t="shared" si="13"/>
        <v>12.65</v>
      </c>
      <c r="E19" s="451">
        <f t="shared" si="0"/>
        <v>23.85</v>
      </c>
      <c r="F19" s="221">
        <f t="shared" si="1"/>
        <v>0.65342465753424661</v>
      </c>
      <c r="G19" s="176">
        <f t="shared" si="2"/>
        <v>16.097688184931506</v>
      </c>
      <c r="H19" s="221">
        <f t="shared" si="3"/>
        <v>1.0731792123287671</v>
      </c>
      <c r="I19" s="451">
        <f t="shared" si="4"/>
        <v>36.5</v>
      </c>
      <c r="J19" s="176">
        <f t="shared" si="5"/>
        <v>1.35</v>
      </c>
      <c r="K19" s="176">
        <f t="shared" si="6"/>
        <v>0.74703557312252977</v>
      </c>
      <c r="L19" s="176">
        <f t="shared" si="7"/>
        <v>0.39622641509433965</v>
      </c>
      <c r="M19" s="451">
        <f t="shared" si="14"/>
        <v>350</v>
      </c>
      <c r="N19" s="201">
        <f t="shared" si="8"/>
        <v>350</v>
      </c>
      <c r="O19" s="221">
        <f t="shared" si="9"/>
        <v>3.3738048644115182</v>
      </c>
      <c r="P19" s="177">
        <f t="shared" si="10"/>
        <v>0.99021526418786676</v>
      </c>
      <c r="Q19" s="177">
        <f t="shared" si="11"/>
        <v>0.87695818222203492</v>
      </c>
      <c r="R19" s="177">
        <f t="shared" si="12"/>
        <v>0.24067085953878403</v>
      </c>
    </row>
    <row r="20" spans="3:18" x14ac:dyDescent="0.25">
      <c r="C20" s="174">
        <v>14</v>
      </c>
      <c r="D20" s="5">
        <f t="shared" si="13"/>
        <v>12.7</v>
      </c>
      <c r="E20" s="451">
        <f t="shared" si="0"/>
        <v>23.85</v>
      </c>
      <c r="F20" s="221">
        <f t="shared" si="1"/>
        <v>0.65253077975376206</v>
      </c>
      <c r="G20" s="176">
        <f t="shared" si="2"/>
        <v>16.139206908344736</v>
      </c>
      <c r="H20" s="221">
        <f t="shared" si="3"/>
        <v>1.0759471272229824</v>
      </c>
      <c r="I20" s="451">
        <f t="shared" si="4"/>
        <v>36.549999999999997</v>
      </c>
      <c r="J20" s="176">
        <f t="shared" si="5"/>
        <v>1.35</v>
      </c>
      <c r="K20" s="176">
        <f t="shared" si="6"/>
        <v>0.7440944881889765</v>
      </c>
      <c r="L20" s="176">
        <f t="shared" si="7"/>
        <v>0.39622641509433965</v>
      </c>
      <c r="M20" s="451">
        <f t="shared" si="14"/>
        <v>350</v>
      </c>
      <c r="N20" s="201">
        <f t="shared" si="8"/>
        <v>350</v>
      </c>
      <c r="O20" s="221">
        <f t="shared" si="9"/>
        <v>3.3825064909684803</v>
      </c>
      <c r="P20" s="177">
        <f t="shared" si="10"/>
        <v>0.99276920070353702</v>
      </c>
      <c r="Q20" s="177">
        <f t="shared" si="11"/>
        <v>0.88148766967099235</v>
      </c>
      <c r="R20" s="177">
        <f t="shared" si="12"/>
        <v>0.24067085953878403</v>
      </c>
    </row>
    <row r="21" spans="3:18" x14ac:dyDescent="0.25">
      <c r="C21" s="174">
        <v>15</v>
      </c>
      <c r="D21" s="5">
        <f t="shared" si="13"/>
        <v>12.75</v>
      </c>
      <c r="E21" s="451">
        <f t="shared" si="0"/>
        <v>23.85</v>
      </c>
      <c r="F21" s="221">
        <f t="shared" si="1"/>
        <v>0.65163934426229508</v>
      </c>
      <c r="G21" s="176">
        <f t="shared" si="2"/>
        <v>16.180612192622952</v>
      </c>
      <c r="H21" s="221">
        <f t="shared" si="3"/>
        <v>1.0787074795081968</v>
      </c>
      <c r="I21" s="451">
        <f t="shared" si="4"/>
        <v>36.6</v>
      </c>
      <c r="J21" s="176">
        <f t="shared" si="5"/>
        <v>1.35</v>
      </c>
      <c r="K21" s="176">
        <f t="shared" si="6"/>
        <v>0.74117647058823533</v>
      </c>
      <c r="L21" s="176">
        <f t="shared" si="7"/>
        <v>0.39622641509433965</v>
      </c>
      <c r="M21" s="451">
        <f t="shared" si="14"/>
        <v>350</v>
      </c>
      <c r="N21" s="201">
        <f t="shared" si="8"/>
        <v>350</v>
      </c>
      <c r="O21" s="221">
        <f t="shared" si="9"/>
        <v>3.391184342589495</v>
      </c>
      <c r="P21" s="177">
        <f t="shared" si="10"/>
        <v>0.99531615925058547</v>
      </c>
      <c r="Q21" s="177">
        <f t="shared" si="11"/>
        <v>0.88601640098393564</v>
      </c>
      <c r="R21" s="177">
        <f t="shared" si="12"/>
        <v>0.24067085953878403</v>
      </c>
    </row>
    <row r="22" spans="3:18" s="3" customFormat="1" x14ac:dyDescent="0.25">
      <c r="C22" s="337">
        <v>16</v>
      </c>
      <c r="D22" s="544">
        <f t="shared" si="13"/>
        <v>12.8</v>
      </c>
      <c r="E22" s="545">
        <f t="shared" si="0"/>
        <v>23.85</v>
      </c>
      <c r="F22" s="546">
        <f t="shared" si="1"/>
        <v>0.65075034106412</v>
      </c>
      <c r="G22" s="336">
        <f t="shared" si="2"/>
        <v>16.221904502046382</v>
      </c>
      <c r="H22" s="546">
        <f t="shared" si="3"/>
        <v>1.0814603001364254</v>
      </c>
      <c r="I22" s="545">
        <f t="shared" si="4"/>
        <v>36.650000000000006</v>
      </c>
      <c r="J22" s="176">
        <f t="shared" si="5"/>
        <v>1.35</v>
      </c>
      <c r="K22" s="336">
        <f t="shared" si="6"/>
        <v>0.73828125</v>
      </c>
      <c r="L22" s="336">
        <f t="shared" si="7"/>
        <v>0.39622641509433965</v>
      </c>
      <c r="M22" s="545">
        <f t="shared" si="14"/>
        <v>350</v>
      </c>
      <c r="N22" s="339">
        <f t="shared" si="8"/>
        <v>350</v>
      </c>
      <c r="O22" s="546">
        <f t="shared" si="9"/>
        <v>3.3998385165798926</v>
      </c>
      <c r="P22" s="177">
        <f t="shared" si="10"/>
        <v>0.99785616838822844</v>
      </c>
      <c r="Q22" s="553">
        <f t="shared" si="11"/>
        <v>0.89054433176444669</v>
      </c>
      <c r="R22" s="177">
        <f t="shared" si="12"/>
        <v>0.24067085953878403</v>
      </c>
    </row>
    <row r="23" spans="3:18" x14ac:dyDescent="0.25">
      <c r="C23" s="174">
        <v>17</v>
      </c>
      <c r="D23" s="5">
        <f t="shared" si="13"/>
        <v>12.85</v>
      </c>
      <c r="E23" s="451">
        <f t="shared" si="0"/>
        <v>23.85</v>
      </c>
      <c r="F23" s="221">
        <f t="shared" si="1"/>
        <v>0.64986376021798364</v>
      </c>
      <c r="G23" s="176">
        <f t="shared" si="2"/>
        <v>16.263084298365118</v>
      </c>
      <c r="H23" s="221">
        <f t="shared" si="3"/>
        <v>1.0842056198910079</v>
      </c>
      <c r="I23" s="451">
        <f t="shared" si="4"/>
        <v>36.700000000000003</v>
      </c>
      <c r="J23" s="176">
        <f t="shared" si="5"/>
        <v>1.35</v>
      </c>
      <c r="K23" s="176">
        <f t="shared" si="6"/>
        <v>0.73540856031128421</v>
      </c>
      <c r="L23" s="176">
        <f t="shared" si="7"/>
        <v>0.39622641509433965</v>
      </c>
      <c r="M23" s="451">
        <f t="shared" si="14"/>
        <v>350</v>
      </c>
      <c r="N23" s="201">
        <f t="shared" si="8"/>
        <v>350</v>
      </c>
      <c r="O23" s="221">
        <f t="shared" si="9"/>
        <v>3.4084691097147304</v>
      </c>
      <c r="P23" s="177">
        <f t="shared" si="10"/>
        <v>1.0003892565200467</v>
      </c>
      <c r="Q23" s="177">
        <f t="shared" si="11"/>
        <v>0.89507141811650448</v>
      </c>
      <c r="R23" s="177">
        <f t="shared" si="12"/>
        <v>0.24067085953878403</v>
      </c>
    </row>
    <row r="24" spans="3:18" x14ac:dyDescent="0.25">
      <c r="C24" s="174">
        <v>18</v>
      </c>
      <c r="D24" s="5">
        <f t="shared" si="13"/>
        <v>12.9</v>
      </c>
      <c r="E24" s="451">
        <f t="shared" si="0"/>
        <v>23.85</v>
      </c>
      <c r="F24" s="221">
        <f t="shared" si="1"/>
        <v>0.6489795918367347</v>
      </c>
      <c r="G24" s="176">
        <f t="shared" si="2"/>
        <v>16.304152040816323</v>
      </c>
      <c r="H24" s="221">
        <f t="shared" si="3"/>
        <v>1.0869434693877549</v>
      </c>
      <c r="I24" s="451">
        <f t="shared" si="4"/>
        <v>36.75</v>
      </c>
      <c r="J24" s="176">
        <f t="shared" si="5"/>
        <v>1.35</v>
      </c>
      <c r="K24" s="176">
        <f t="shared" si="6"/>
        <v>0.7325581395348838</v>
      </c>
      <c r="L24" s="176">
        <f t="shared" si="7"/>
        <v>0.39622641509433965</v>
      </c>
      <c r="M24" s="451">
        <f t="shared" si="14"/>
        <v>350</v>
      </c>
      <c r="N24" s="201">
        <f t="shared" si="8"/>
        <v>350</v>
      </c>
      <c r="O24" s="221">
        <f t="shared" si="9"/>
        <v>3.4170762182423986</v>
      </c>
      <c r="P24" s="177">
        <f t="shared" si="10"/>
        <v>1.0029154518950436</v>
      </c>
      <c r="Q24" s="177">
        <f t="shared" si="11"/>
        <v>0.89959761663932536</v>
      </c>
      <c r="R24" s="177">
        <f t="shared" si="12"/>
        <v>0.24067085953878403</v>
      </c>
    </row>
    <row r="25" spans="3:18" x14ac:dyDescent="0.25">
      <c r="C25" s="174">
        <v>19</v>
      </c>
      <c r="D25" s="5">
        <f t="shared" si="13"/>
        <v>12.95</v>
      </c>
      <c r="E25" s="451">
        <f t="shared" si="0"/>
        <v>23.85</v>
      </c>
      <c r="F25" s="221">
        <f t="shared" si="1"/>
        <v>0.64809782608695665</v>
      </c>
      <c r="G25" s="176">
        <f t="shared" si="2"/>
        <v>16.345108186141307</v>
      </c>
      <c r="H25" s="221">
        <f t="shared" si="3"/>
        <v>1.0896738790760871</v>
      </c>
      <c r="I25" s="451">
        <f t="shared" si="4"/>
        <v>36.799999999999997</v>
      </c>
      <c r="J25" s="176">
        <f t="shared" si="5"/>
        <v>1.35</v>
      </c>
      <c r="K25" s="176">
        <f t="shared" si="6"/>
        <v>0.72972972972972983</v>
      </c>
      <c r="L25" s="176">
        <f t="shared" si="7"/>
        <v>0.39622641509433965</v>
      </c>
      <c r="M25" s="451">
        <f t="shared" si="14"/>
        <v>350</v>
      </c>
      <c r="N25" s="201">
        <f t="shared" si="8"/>
        <v>350</v>
      </c>
      <c r="O25" s="221">
        <f t="shared" si="9"/>
        <v>3.4256599378881987</v>
      </c>
      <c r="P25" s="177">
        <f t="shared" si="10"/>
        <v>1.0054347826086956</v>
      </c>
      <c r="Q25" s="177">
        <f t="shared" si="11"/>
        <v>0.90412288442225885</v>
      </c>
      <c r="R25" s="177">
        <f t="shared" si="12"/>
        <v>0.24067085953878403</v>
      </c>
    </row>
    <row r="26" spans="3:18" x14ac:dyDescent="0.25">
      <c r="C26" s="174">
        <v>20</v>
      </c>
      <c r="D26" s="5">
        <f t="shared" si="13"/>
        <v>13</v>
      </c>
      <c r="E26" s="451">
        <f t="shared" si="0"/>
        <v>23.85</v>
      </c>
      <c r="F26" s="221">
        <f t="shared" si="1"/>
        <v>0.64721845318860249</v>
      </c>
      <c r="G26" s="176">
        <f t="shared" si="2"/>
        <v>16.385953188602443</v>
      </c>
      <c r="H26" s="221">
        <f t="shared" si="3"/>
        <v>1.0923968792401628</v>
      </c>
      <c r="I26" s="451">
        <f t="shared" si="4"/>
        <v>36.85</v>
      </c>
      <c r="J26" s="176">
        <f t="shared" si="5"/>
        <v>1.35</v>
      </c>
      <c r="K26" s="176">
        <f t="shared" si="6"/>
        <v>0.72692307692307701</v>
      </c>
      <c r="L26" s="176">
        <f t="shared" si="7"/>
        <v>0.39622641509433965</v>
      </c>
      <c r="M26" s="451">
        <f t="shared" si="14"/>
        <v>350</v>
      </c>
      <c r="N26" s="201">
        <f t="shared" si="8"/>
        <v>350</v>
      </c>
      <c r="O26" s="221">
        <f t="shared" si="9"/>
        <v>3.4342203638578903</v>
      </c>
      <c r="P26" s="177">
        <f t="shared" si="10"/>
        <v>1.0079472766039927</v>
      </c>
      <c r="Q26" s="177">
        <f t="shared" si="11"/>
        <v>0.90864717903974013</v>
      </c>
      <c r="R26" s="177">
        <f t="shared" si="12"/>
        <v>0.24067085953878403</v>
      </c>
    </row>
    <row r="27" spans="3:18" x14ac:dyDescent="0.25">
      <c r="C27" s="174">
        <v>21</v>
      </c>
      <c r="D27" s="5">
        <f t="shared" si="13"/>
        <v>13.05</v>
      </c>
      <c r="E27" s="451">
        <f t="shared" si="0"/>
        <v>23.85</v>
      </c>
      <c r="F27" s="221">
        <f t="shared" si="1"/>
        <v>0.64634146341463405</v>
      </c>
      <c r="G27" s="176">
        <f t="shared" si="2"/>
        <v>16.426687499999996</v>
      </c>
      <c r="H27" s="221">
        <f t="shared" si="3"/>
        <v>1.0951124999999997</v>
      </c>
      <c r="I27" s="451">
        <f t="shared" si="4"/>
        <v>36.900000000000006</v>
      </c>
      <c r="J27" s="176">
        <f t="shared" si="5"/>
        <v>1.35</v>
      </c>
      <c r="K27" s="176">
        <f t="shared" si="6"/>
        <v>0.72413793103448276</v>
      </c>
      <c r="L27" s="176">
        <f t="shared" si="7"/>
        <v>0.39622641509433965</v>
      </c>
      <c r="M27" s="451">
        <f t="shared" si="14"/>
        <v>350</v>
      </c>
      <c r="N27" s="201">
        <f t="shared" si="8"/>
        <v>350</v>
      </c>
      <c r="O27" s="221">
        <f t="shared" si="9"/>
        <v>3.4427575908412145</v>
      </c>
      <c r="P27" s="177">
        <f t="shared" si="10"/>
        <v>1.0104529616724738</v>
      </c>
      <c r="Q27" s="177">
        <f t="shared" si="11"/>
        <v>0.91317045854629775</v>
      </c>
      <c r="R27" s="177">
        <f t="shared" si="12"/>
        <v>0.24067085953878403</v>
      </c>
    </row>
    <row r="28" spans="3:18" x14ac:dyDescent="0.25">
      <c r="C28" s="174">
        <v>22</v>
      </c>
      <c r="D28" s="5">
        <f t="shared" si="13"/>
        <v>13.1</v>
      </c>
      <c r="E28" s="451">
        <f t="shared" si="0"/>
        <v>23.85</v>
      </c>
      <c r="F28" s="221">
        <f t="shared" si="1"/>
        <v>0.64546684709066304</v>
      </c>
      <c r="G28" s="176">
        <f t="shared" si="2"/>
        <v>16.467311569688768</v>
      </c>
      <c r="H28" s="221">
        <f t="shared" si="3"/>
        <v>1.0978207713125845</v>
      </c>
      <c r="I28" s="451">
        <f t="shared" si="4"/>
        <v>36.950000000000003</v>
      </c>
      <c r="J28" s="176">
        <f t="shared" si="5"/>
        <v>1.35</v>
      </c>
      <c r="K28" s="176">
        <f t="shared" si="6"/>
        <v>0.72137404580152675</v>
      </c>
      <c r="L28" s="176">
        <f t="shared" si="7"/>
        <v>0.39622641509433965</v>
      </c>
      <c r="M28" s="451">
        <f t="shared" si="14"/>
        <v>350</v>
      </c>
      <c r="N28" s="201">
        <f t="shared" si="8"/>
        <v>350</v>
      </c>
      <c r="O28" s="221">
        <f t="shared" si="9"/>
        <v>3.451271713015382</v>
      </c>
      <c r="P28" s="177">
        <f t="shared" si="10"/>
        <v>1.0129518654552483</v>
      </c>
      <c r="Q28" s="177">
        <f t="shared" si="11"/>
        <v>0.91769268147161354</v>
      </c>
      <c r="R28" s="177">
        <f t="shared" si="12"/>
        <v>0.24067085953878403</v>
      </c>
    </row>
    <row r="29" spans="3:18" x14ac:dyDescent="0.25">
      <c r="C29" s="174">
        <v>23</v>
      </c>
      <c r="D29" s="5">
        <f t="shared" si="13"/>
        <v>13.15</v>
      </c>
      <c r="E29" s="451">
        <f t="shared" si="0"/>
        <v>23.85</v>
      </c>
      <c r="F29" s="221">
        <f t="shared" si="1"/>
        <v>0.64459459459459467</v>
      </c>
      <c r="G29" s="176">
        <f t="shared" si="2"/>
        <v>16.507825844594596</v>
      </c>
      <c r="H29" s="221">
        <f t="shared" si="3"/>
        <v>1.1005217229729731</v>
      </c>
      <c r="I29" s="451">
        <f t="shared" si="4"/>
        <v>37</v>
      </c>
      <c r="J29" s="176">
        <f t="shared" si="5"/>
        <v>1.35</v>
      </c>
      <c r="K29" s="176">
        <f t="shared" si="6"/>
        <v>0.71863117870722437</v>
      </c>
      <c r="L29" s="176">
        <f t="shared" si="7"/>
        <v>0.39622641509433965</v>
      </c>
      <c r="M29" s="451">
        <f t="shared" si="14"/>
        <v>350</v>
      </c>
      <c r="N29" s="201">
        <f t="shared" si="8"/>
        <v>350</v>
      </c>
      <c r="O29" s="221">
        <f t="shared" si="9"/>
        <v>3.4597628240485383</v>
      </c>
      <c r="P29" s="177">
        <f t="shared" si="10"/>
        <v>1.0154440154440152</v>
      </c>
      <c r="Q29" s="177">
        <f t="shared" si="11"/>
        <v>0.92221380681564047</v>
      </c>
      <c r="R29" s="177">
        <f t="shared" si="12"/>
        <v>0.24067085953878403</v>
      </c>
    </row>
    <row r="30" spans="3:18" x14ac:dyDescent="0.25">
      <c r="C30" s="174">
        <v>24</v>
      </c>
      <c r="D30" s="5">
        <f t="shared" si="13"/>
        <v>13.2</v>
      </c>
      <c r="E30" s="451">
        <f t="shared" si="0"/>
        <v>23.85</v>
      </c>
      <c r="F30" s="221">
        <f t="shared" si="1"/>
        <v>0.64372469635627538</v>
      </c>
      <c r="G30" s="176">
        <f t="shared" si="2"/>
        <v>16.548230769230766</v>
      </c>
      <c r="H30" s="221">
        <f t="shared" si="3"/>
        <v>1.1032153846153845</v>
      </c>
      <c r="I30" s="451">
        <f t="shared" si="4"/>
        <v>37.049999999999997</v>
      </c>
      <c r="J30" s="176">
        <f t="shared" si="5"/>
        <v>1.35</v>
      </c>
      <c r="K30" s="176">
        <f t="shared" si="6"/>
        <v>0.71590909090909105</v>
      </c>
      <c r="L30" s="176">
        <f t="shared" si="7"/>
        <v>0.39622641509433965</v>
      </c>
      <c r="M30" s="451">
        <f t="shared" si="14"/>
        <v>350</v>
      </c>
      <c r="N30" s="201">
        <f t="shared" si="8"/>
        <v>350</v>
      </c>
      <c r="O30" s="221">
        <f t="shared" si="9"/>
        <v>3.4682310171031974</v>
      </c>
      <c r="P30" s="177">
        <f t="shared" si="10"/>
        <v>1.0179294389820703</v>
      </c>
      <c r="Q30" s="177">
        <f t="shared" si="11"/>
        <v>0.9267337940437691</v>
      </c>
      <c r="R30" s="177">
        <f t="shared" si="12"/>
        <v>0.24067085953878403</v>
      </c>
    </row>
    <row r="31" spans="3:18" x14ac:dyDescent="0.25">
      <c r="C31" s="174">
        <v>25</v>
      </c>
      <c r="D31" s="5">
        <f t="shared" si="13"/>
        <v>13.25</v>
      </c>
      <c r="E31" s="451">
        <f t="shared" si="0"/>
        <v>23.85</v>
      </c>
      <c r="F31" s="221">
        <f t="shared" si="1"/>
        <v>0.6428571428571429</v>
      </c>
      <c r="G31" s="176">
        <f t="shared" si="2"/>
        <v>16.588526785714286</v>
      </c>
      <c r="H31" s="221">
        <f t="shared" si="3"/>
        <v>1.1059017857142857</v>
      </c>
      <c r="I31" s="451">
        <f t="shared" si="4"/>
        <v>37.1</v>
      </c>
      <c r="J31" s="176">
        <f t="shared" si="5"/>
        <v>1.35</v>
      </c>
      <c r="K31" s="176">
        <f t="shared" si="6"/>
        <v>0.71320754716981138</v>
      </c>
      <c r="L31" s="176">
        <f t="shared" si="7"/>
        <v>0.39622641509433965</v>
      </c>
      <c r="M31" s="451">
        <f t="shared" si="14"/>
        <v>350</v>
      </c>
      <c r="N31" s="201">
        <f t="shared" si="8"/>
        <v>350</v>
      </c>
      <c r="O31" s="221">
        <f t="shared" si="9"/>
        <v>3.4766763848396498</v>
      </c>
      <c r="P31" s="177">
        <f t="shared" si="10"/>
        <v>1.0204081632653061</v>
      </c>
      <c r="Q31" s="177">
        <f t="shared" si="11"/>
        <v>0.93125260308204894</v>
      </c>
      <c r="R31" s="177">
        <f t="shared" si="12"/>
        <v>0.24067085953878403</v>
      </c>
    </row>
    <row r="32" spans="3:18" x14ac:dyDescent="0.25">
      <c r="C32" s="174">
        <v>26</v>
      </c>
      <c r="D32" s="5">
        <f t="shared" si="13"/>
        <v>13.3</v>
      </c>
      <c r="E32" s="451">
        <f t="shared" si="0"/>
        <v>23.85</v>
      </c>
      <c r="F32" s="221">
        <f t="shared" si="1"/>
        <v>0.64199192462987886</v>
      </c>
      <c r="G32" s="176">
        <f t="shared" si="2"/>
        <v>16.628714333781964</v>
      </c>
      <c r="H32" s="221">
        <f t="shared" si="3"/>
        <v>1.1085809555854642</v>
      </c>
      <c r="I32" s="451">
        <f t="shared" si="4"/>
        <v>37.150000000000006</v>
      </c>
      <c r="J32" s="176">
        <f t="shared" si="5"/>
        <v>1.35</v>
      </c>
      <c r="K32" s="176">
        <f t="shared" si="6"/>
        <v>0.71052631578947378</v>
      </c>
      <c r="L32" s="176">
        <f t="shared" si="7"/>
        <v>0.39622641509433965</v>
      </c>
      <c r="M32" s="451">
        <f t="shared" si="14"/>
        <v>350</v>
      </c>
      <c r="N32" s="201">
        <f t="shared" si="8"/>
        <v>350</v>
      </c>
      <c r="O32" s="221">
        <f t="shared" si="9"/>
        <v>3.4850990194193425</v>
      </c>
      <c r="P32" s="177">
        <f t="shared" si="10"/>
        <v>1.0228802153432033</v>
      </c>
      <c r="Q32" s="177">
        <f t="shared" si="11"/>
        <v>0.93577019431246156</v>
      </c>
      <c r="R32" s="177">
        <f t="shared" si="12"/>
        <v>0.24067085953878403</v>
      </c>
    </row>
    <row r="33" spans="3:18" x14ac:dyDescent="0.25">
      <c r="C33" s="174">
        <v>27</v>
      </c>
      <c r="D33" s="5">
        <f t="shared" si="13"/>
        <v>13.35</v>
      </c>
      <c r="E33" s="451">
        <f t="shared" si="0"/>
        <v>23.85</v>
      </c>
      <c r="F33" s="221">
        <f t="shared" si="1"/>
        <v>0.6411290322580645</v>
      </c>
      <c r="G33" s="176">
        <f t="shared" si="2"/>
        <v>16.668793850806448</v>
      </c>
      <c r="H33" s="221">
        <f t="shared" si="3"/>
        <v>1.1112529233870965</v>
      </c>
      <c r="I33" s="451">
        <f t="shared" si="4"/>
        <v>37.200000000000003</v>
      </c>
      <c r="J33" s="176">
        <f t="shared" si="5"/>
        <v>1.35</v>
      </c>
      <c r="K33" s="176">
        <f t="shared" si="6"/>
        <v>0.70786516853932602</v>
      </c>
      <c r="L33" s="176">
        <f t="shared" si="7"/>
        <v>0.39622641509433965</v>
      </c>
      <c r="M33" s="451">
        <f t="shared" si="14"/>
        <v>350</v>
      </c>
      <c r="N33" s="201">
        <f t="shared" si="8"/>
        <v>350</v>
      </c>
      <c r="O33" s="221">
        <f t="shared" si="9"/>
        <v>3.493499012508229</v>
      </c>
      <c r="P33" s="177">
        <f t="shared" si="10"/>
        <v>1.0253456221198154</v>
      </c>
      <c r="Q33" s="177">
        <f t="shared" si="11"/>
        <v>0.94028652856824269</v>
      </c>
      <c r="R33" s="177">
        <f t="shared" si="12"/>
        <v>0.24067085953878403</v>
      </c>
    </row>
    <row r="34" spans="3:18" x14ac:dyDescent="0.25">
      <c r="C34" s="174">
        <v>28</v>
      </c>
      <c r="D34" s="5">
        <f t="shared" si="13"/>
        <v>13.4</v>
      </c>
      <c r="E34" s="451">
        <f t="shared" si="0"/>
        <v>23.85</v>
      </c>
      <c r="F34" s="221">
        <f t="shared" si="1"/>
        <v>0.64026845637583896</v>
      </c>
      <c r="G34" s="176">
        <f t="shared" si="2"/>
        <v>16.708765771812079</v>
      </c>
      <c r="H34" s="221">
        <f t="shared" si="3"/>
        <v>1.1139177181208053</v>
      </c>
      <c r="I34" s="451">
        <f t="shared" si="4"/>
        <v>37.25</v>
      </c>
      <c r="J34" s="176">
        <f t="shared" si="5"/>
        <v>1.35</v>
      </c>
      <c r="K34" s="176">
        <f t="shared" si="6"/>
        <v>0.70522388059701502</v>
      </c>
      <c r="L34" s="176">
        <f t="shared" si="7"/>
        <v>0.39622641509433965</v>
      </c>
      <c r="M34" s="451">
        <f t="shared" si="14"/>
        <v>350</v>
      </c>
      <c r="N34" s="201">
        <f t="shared" si="8"/>
        <v>350</v>
      </c>
      <c r="O34" s="221">
        <f t="shared" si="9"/>
        <v>3.5018764552800987</v>
      </c>
      <c r="P34" s="177">
        <f t="shared" si="10"/>
        <v>1.0278044103547459</v>
      </c>
      <c r="Q34" s="177">
        <f t="shared" si="11"/>
        <v>0.94480156712926155</v>
      </c>
      <c r="R34" s="177">
        <f t="shared" si="12"/>
        <v>0.24067085953878403</v>
      </c>
    </row>
    <row r="35" spans="3:18" x14ac:dyDescent="0.25">
      <c r="C35" s="174">
        <v>29</v>
      </c>
      <c r="D35" s="5">
        <f t="shared" si="13"/>
        <v>13.45</v>
      </c>
      <c r="E35" s="451">
        <f t="shared" si="0"/>
        <v>23.85</v>
      </c>
      <c r="F35" s="221">
        <f t="shared" si="1"/>
        <v>0.63941018766756041</v>
      </c>
      <c r="G35" s="176">
        <f t="shared" si="2"/>
        <v>16.748630529490619</v>
      </c>
      <c r="H35" s="221">
        <f t="shared" si="3"/>
        <v>1.116575368632708</v>
      </c>
      <c r="I35" s="451">
        <f t="shared" si="4"/>
        <v>37.299999999999997</v>
      </c>
      <c r="J35" s="176">
        <f t="shared" si="5"/>
        <v>1.35</v>
      </c>
      <c r="K35" s="176">
        <f t="shared" si="6"/>
        <v>0.70260223048327142</v>
      </c>
      <c r="L35" s="176">
        <f t="shared" si="7"/>
        <v>0.39622641509433965</v>
      </c>
      <c r="M35" s="451">
        <f t="shared" si="14"/>
        <v>350</v>
      </c>
      <c r="N35" s="201">
        <f t="shared" si="8"/>
        <v>350</v>
      </c>
      <c r="O35" s="221">
        <f t="shared" si="9"/>
        <v>3.5102314384198721</v>
      </c>
      <c r="P35" s="177">
        <f t="shared" si="10"/>
        <v>1.0302566066641135</v>
      </c>
      <c r="Q35" s="177">
        <f t="shared" si="11"/>
        <v>0.94931527171743868</v>
      </c>
      <c r="R35" s="177">
        <f t="shared" si="12"/>
        <v>0.24067085953878403</v>
      </c>
    </row>
    <row r="36" spans="3:18" x14ac:dyDescent="0.25">
      <c r="C36" s="174">
        <v>30</v>
      </c>
      <c r="D36" s="5">
        <f t="shared" si="13"/>
        <v>13.5</v>
      </c>
      <c r="E36" s="451">
        <f t="shared" si="0"/>
        <v>23.85</v>
      </c>
      <c r="F36" s="221">
        <f t="shared" si="1"/>
        <v>0.63855421686746994</v>
      </c>
      <c r="G36" s="176">
        <f t="shared" si="2"/>
        <v>16.788388554216869</v>
      </c>
      <c r="H36" s="221">
        <f t="shared" si="3"/>
        <v>1.1192259036144578</v>
      </c>
      <c r="I36" s="451">
        <f t="shared" si="4"/>
        <v>37.35</v>
      </c>
      <c r="J36" s="176">
        <f t="shared" si="5"/>
        <v>1.35</v>
      </c>
      <c r="K36" s="176">
        <f t="shared" si="6"/>
        <v>0.70000000000000007</v>
      </c>
      <c r="L36" s="176">
        <f t="shared" si="7"/>
        <v>0.39622641509433965</v>
      </c>
      <c r="M36" s="451">
        <f t="shared" si="14"/>
        <v>350</v>
      </c>
      <c r="N36" s="201">
        <f t="shared" si="8"/>
        <v>350</v>
      </c>
      <c r="O36" s="221">
        <f t="shared" si="9"/>
        <v>3.5185640521268748</v>
      </c>
      <c r="P36" s="177">
        <f t="shared" si="10"/>
        <v>1.0327022375215147</v>
      </c>
      <c r="Q36" s="177">
        <f t="shared" si="11"/>
        <v>0.95382760449222503</v>
      </c>
      <c r="R36" s="177">
        <f t="shared" si="12"/>
        <v>0.24067085953878403</v>
      </c>
    </row>
    <row r="37" spans="3:18" x14ac:dyDescent="0.25">
      <c r="C37" s="174">
        <v>31</v>
      </c>
      <c r="D37" s="5">
        <f t="shared" si="13"/>
        <v>13.55</v>
      </c>
      <c r="E37" s="451">
        <f t="shared" si="0"/>
        <v>23.85</v>
      </c>
      <c r="F37" s="221">
        <f t="shared" si="1"/>
        <v>0.63770053475935828</v>
      </c>
      <c r="G37" s="176">
        <f t="shared" si="2"/>
        <v>16.828040274064168</v>
      </c>
      <c r="H37" s="221">
        <f t="shared" si="3"/>
        <v>1.1218693516042779</v>
      </c>
      <c r="I37" s="451">
        <f t="shared" si="4"/>
        <v>37.400000000000006</v>
      </c>
      <c r="J37" s="176">
        <f t="shared" si="5"/>
        <v>1.35</v>
      </c>
      <c r="K37" s="176">
        <f t="shared" si="6"/>
        <v>0.69741697416974169</v>
      </c>
      <c r="L37" s="176">
        <f t="shared" si="7"/>
        <v>0.39622641509433965</v>
      </c>
      <c r="M37" s="451">
        <f t="shared" si="14"/>
        <v>350</v>
      </c>
      <c r="N37" s="201">
        <f t="shared" si="8"/>
        <v>350</v>
      </c>
      <c r="O37" s="221">
        <f t="shared" si="9"/>
        <v>3.5268743861180836</v>
      </c>
      <c r="P37" s="177">
        <f t="shared" si="10"/>
        <v>1.0351413292589762</v>
      </c>
      <c r="Q37" s="177">
        <f t="shared" si="11"/>
        <v>0.95833852804612352</v>
      </c>
      <c r="R37" s="177">
        <f t="shared" si="12"/>
        <v>0.24067085953878403</v>
      </c>
    </row>
    <row r="38" spans="3:18" x14ac:dyDescent="0.25">
      <c r="C38" s="174">
        <v>32</v>
      </c>
      <c r="D38" s="5">
        <f t="shared" si="13"/>
        <v>13.6</v>
      </c>
      <c r="E38" s="451">
        <f t="shared" ref="E38:E69" si="15">(Vout+Vfwd1)*Nps</f>
        <v>23.85</v>
      </c>
      <c r="F38" s="221">
        <f t="shared" ref="F38:F69" si="16">(Vout+Vfwd1)*Nps/((Vout+Vfwd1)*Nps+D38)</f>
        <v>0.63684913217623496</v>
      </c>
      <c r="G38" s="176">
        <f t="shared" ref="G38:G69" si="17">F38*D38*Isw_max*0.5*Efficiency</f>
        <v>16.867586114819755</v>
      </c>
      <c r="H38" s="221">
        <f t="shared" ref="H38:H69" si="18">G38/Vout</f>
        <v>1.1245057409879837</v>
      </c>
      <c r="I38" s="451">
        <f t="shared" ref="I38:I69" si="19">(Vout+Vfwd1)*Nps+D38</f>
        <v>37.450000000000003</v>
      </c>
      <c r="J38" s="176">
        <f t="shared" ref="J38:J69" si="20">MIN(2*Vout*Iout/(Efficiency*D38*F38), 1.35)</f>
        <v>1.35</v>
      </c>
      <c r="K38" s="176">
        <f t="shared" ref="K38:K69" si="21">L*J38/D38*1000000</f>
        <v>0.69485294117647067</v>
      </c>
      <c r="L38" s="176">
        <f t="shared" ref="L38:L69" si="22">L*J38/((Vout+Vfwd1)*Nps)*1000000</f>
        <v>0.39622641509433965</v>
      </c>
      <c r="M38" s="451">
        <f t="shared" si="14"/>
        <v>350</v>
      </c>
      <c r="N38" s="201">
        <f t="shared" ref="N38:N69" si="23">IF(1/((350000*L)*(1/D38+1/E38))&gt;Isw_min, 350, 0.001/((Isw_min*L)*(1/D38+1/E38)))</f>
        <v>350</v>
      </c>
      <c r="O38" s="221">
        <f t="shared" ref="O38:O69" si="24">1/((N38*1000*L)*(1/D38+1/E38))</f>
        <v>3.5351625296313447</v>
      </c>
      <c r="P38" s="177">
        <f t="shared" ref="P38:P69" si="25">L*O38/E38*1000000</f>
        <v>1.0375739080678998</v>
      </c>
      <c r="Q38" s="177">
        <f t="shared" ref="Q38:Q69" si="26">0.5*P38*O38*Nps*N38/1000</f>
        <v>0.96284800540025917</v>
      </c>
      <c r="R38" s="177">
        <f t="shared" ref="R38:R69" si="27">L*Isw_min/E38*1000000</f>
        <v>0.24067085953878403</v>
      </c>
    </row>
    <row r="39" spans="3:18" x14ac:dyDescent="0.25">
      <c r="C39" s="174">
        <v>33</v>
      </c>
      <c r="D39" s="5">
        <f t="shared" ref="D39:D70" si="28">C39/100*(VIN_max-VIN_min)+VIN_min</f>
        <v>13.65</v>
      </c>
      <c r="E39" s="451">
        <f t="shared" si="15"/>
        <v>23.85</v>
      </c>
      <c r="F39" s="221">
        <f t="shared" si="16"/>
        <v>0.63600000000000001</v>
      </c>
      <c r="G39" s="176">
        <f t="shared" si="17"/>
        <v>16.907026499999997</v>
      </c>
      <c r="H39" s="221">
        <f t="shared" si="18"/>
        <v>1.1271350999999998</v>
      </c>
      <c r="I39" s="451">
        <f t="shared" si="19"/>
        <v>37.5</v>
      </c>
      <c r="J39" s="176">
        <f t="shared" si="20"/>
        <v>1.35</v>
      </c>
      <c r="K39" s="176">
        <f t="shared" si="21"/>
        <v>0.69230769230769229</v>
      </c>
      <c r="L39" s="176">
        <f t="shared" si="22"/>
        <v>0.39622641509433965</v>
      </c>
      <c r="M39" s="451">
        <f t="shared" si="14"/>
        <v>350</v>
      </c>
      <c r="N39" s="201">
        <f t="shared" si="23"/>
        <v>350</v>
      </c>
      <c r="O39" s="221">
        <f t="shared" si="24"/>
        <v>3.5434285714285707</v>
      </c>
      <c r="P39" s="177">
        <f t="shared" si="25"/>
        <v>1.0399999999999998</v>
      </c>
      <c r="Q39" s="177">
        <f t="shared" si="26"/>
        <v>0.96735599999999966</v>
      </c>
      <c r="R39" s="177">
        <f t="shared" si="27"/>
        <v>0.24067085953878403</v>
      </c>
    </row>
    <row r="40" spans="3:18" x14ac:dyDescent="0.25">
      <c r="C40" s="174">
        <v>34</v>
      </c>
      <c r="D40" s="5">
        <f t="shared" si="28"/>
        <v>13.7</v>
      </c>
      <c r="E40" s="451">
        <f t="shared" si="15"/>
        <v>23.85</v>
      </c>
      <c r="F40" s="221">
        <f t="shared" si="16"/>
        <v>0.63515312916111855</v>
      </c>
      <c r="G40" s="176">
        <f t="shared" si="17"/>
        <v>16.946361850865511</v>
      </c>
      <c r="H40" s="221">
        <f t="shared" si="18"/>
        <v>1.1297574567243673</v>
      </c>
      <c r="I40" s="451">
        <f t="shared" si="19"/>
        <v>37.549999999999997</v>
      </c>
      <c r="J40" s="176">
        <f t="shared" si="20"/>
        <v>1.35</v>
      </c>
      <c r="K40" s="176">
        <f t="shared" si="21"/>
        <v>0.68978102189781032</v>
      </c>
      <c r="L40" s="176">
        <f t="shared" si="22"/>
        <v>0.39622641509433965</v>
      </c>
      <c r="M40" s="451">
        <f t="shared" si="14"/>
        <v>350</v>
      </c>
      <c r="N40" s="201">
        <f t="shared" si="23"/>
        <v>350</v>
      </c>
      <c r="O40" s="221">
        <f t="shared" si="24"/>
        <v>3.5516725997989074</v>
      </c>
      <c r="P40" s="177">
        <f t="shared" si="25"/>
        <v>1.0424196309682325</v>
      </c>
      <c r="Q40" s="177">
        <f t="shared" si="26"/>
        <v>0.97186247571061946</v>
      </c>
      <c r="R40" s="177">
        <f t="shared" si="27"/>
        <v>0.24067085953878403</v>
      </c>
    </row>
    <row r="41" spans="3:18" x14ac:dyDescent="0.25">
      <c r="C41" s="174">
        <v>35</v>
      </c>
      <c r="D41" s="5">
        <f t="shared" si="28"/>
        <v>13.75</v>
      </c>
      <c r="E41" s="451">
        <f t="shared" si="15"/>
        <v>23.85</v>
      </c>
      <c r="F41" s="221">
        <f t="shared" si="16"/>
        <v>0.63430851063829785</v>
      </c>
      <c r="G41" s="176">
        <f t="shared" si="17"/>
        <v>16.985592586436169</v>
      </c>
      <c r="H41" s="221">
        <f t="shared" si="18"/>
        <v>1.1323728390957446</v>
      </c>
      <c r="I41" s="451">
        <f t="shared" si="19"/>
        <v>37.6</v>
      </c>
      <c r="J41" s="176">
        <f t="shared" si="20"/>
        <v>1.35</v>
      </c>
      <c r="K41" s="176">
        <f t="shared" si="21"/>
        <v>0.68727272727272737</v>
      </c>
      <c r="L41" s="176">
        <f t="shared" si="22"/>
        <v>0.39622641509433965</v>
      </c>
      <c r="M41" s="451">
        <f t="shared" si="14"/>
        <v>350</v>
      </c>
      <c r="N41" s="201">
        <f t="shared" si="23"/>
        <v>350</v>
      </c>
      <c r="O41" s="221">
        <f t="shared" si="24"/>
        <v>3.5598947025618757</v>
      </c>
      <c r="P41" s="177">
        <f t="shared" si="25"/>
        <v>1.0448328267477203</v>
      </c>
      <c r="Q41" s="177">
        <f t="shared" si="26"/>
        <v>0.97636739681301443</v>
      </c>
      <c r="R41" s="177">
        <f t="shared" si="27"/>
        <v>0.24067085953878403</v>
      </c>
    </row>
    <row r="42" spans="3:18" x14ac:dyDescent="0.25">
      <c r="C42" s="174">
        <v>36</v>
      </c>
      <c r="D42" s="5">
        <f t="shared" si="28"/>
        <v>13.8</v>
      </c>
      <c r="E42" s="451">
        <f t="shared" si="15"/>
        <v>23.85</v>
      </c>
      <c r="F42" s="221">
        <f t="shared" si="16"/>
        <v>0.63346613545816732</v>
      </c>
      <c r="G42" s="176">
        <f t="shared" si="17"/>
        <v>17.024719123505974</v>
      </c>
      <c r="H42" s="221">
        <f t="shared" si="18"/>
        <v>1.1349812749003982</v>
      </c>
      <c r="I42" s="451">
        <f t="shared" si="19"/>
        <v>37.650000000000006</v>
      </c>
      <c r="J42" s="176">
        <f t="shared" si="20"/>
        <v>1.35</v>
      </c>
      <c r="K42" s="176">
        <f t="shared" si="21"/>
        <v>0.68478260869565222</v>
      </c>
      <c r="L42" s="176">
        <f t="shared" si="22"/>
        <v>0.39622641509433965</v>
      </c>
      <c r="M42" s="451">
        <f t="shared" si="14"/>
        <v>350</v>
      </c>
      <c r="N42" s="201">
        <f t="shared" si="23"/>
        <v>350</v>
      </c>
      <c r="O42" s="221">
        <f t="shared" si="24"/>
        <v>3.5680949670704933</v>
      </c>
      <c r="P42" s="177">
        <f t="shared" si="25"/>
        <v>1.0472396129766646</v>
      </c>
      <c r="Q42" s="177">
        <f t="shared" si="26"/>
        <v>0.98087072799945818</v>
      </c>
      <c r="R42" s="177">
        <f t="shared" si="27"/>
        <v>0.24067085953878403</v>
      </c>
    </row>
    <row r="43" spans="3:18" x14ac:dyDescent="0.25">
      <c r="C43" s="174">
        <v>37</v>
      </c>
      <c r="D43" s="5">
        <f t="shared" si="28"/>
        <v>13.85</v>
      </c>
      <c r="E43" s="451">
        <f t="shared" si="15"/>
        <v>23.85</v>
      </c>
      <c r="F43" s="221">
        <f t="shared" si="16"/>
        <v>0.63262599469496017</v>
      </c>
      <c r="G43" s="176">
        <f t="shared" si="17"/>
        <v>17.063741876657819</v>
      </c>
      <c r="H43" s="221">
        <f t="shared" si="18"/>
        <v>1.1375827917771879</v>
      </c>
      <c r="I43" s="451">
        <f t="shared" si="19"/>
        <v>37.700000000000003</v>
      </c>
      <c r="J43" s="176">
        <f t="shared" si="20"/>
        <v>1.35</v>
      </c>
      <c r="K43" s="176">
        <f t="shared" si="21"/>
        <v>0.68231046931407946</v>
      </c>
      <c r="L43" s="176">
        <f t="shared" si="22"/>
        <v>0.39622641509433965</v>
      </c>
      <c r="M43" s="451">
        <f t="shared" si="14"/>
        <v>350</v>
      </c>
      <c r="N43" s="201">
        <f t="shared" si="23"/>
        <v>350</v>
      </c>
      <c r="O43" s="221">
        <f t="shared" si="24"/>
        <v>3.5762734802143665</v>
      </c>
      <c r="P43" s="177">
        <f t="shared" si="25"/>
        <v>1.0496400151572565</v>
      </c>
      <c r="Q43" s="177">
        <f t="shared" si="26"/>
        <v>0.98537243436940936</v>
      </c>
      <c r="R43" s="177">
        <f t="shared" si="27"/>
        <v>0.24067085953878403</v>
      </c>
    </row>
    <row r="44" spans="3:18" x14ac:dyDescent="0.25">
      <c r="C44" s="174">
        <v>38</v>
      </c>
      <c r="D44" s="5">
        <f t="shared" si="28"/>
        <v>13.9</v>
      </c>
      <c r="E44" s="451">
        <f t="shared" si="15"/>
        <v>23.85</v>
      </c>
      <c r="F44" s="221">
        <f t="shared" si="16"/>
        <v>0.63178807947019866</v>
      </c>
      <c r="G44" s="176">
        <f t="shared" si="17"/>
        <v>17.102661258278143</v>
      </c>
      <c r="H44" s="221">
        <f t="shared" si="18"/>
        <v>1.1401774172185428</v>
      </c>
      <c r="I44" s="451">
        <f t="shared" si="19"/>
        <v>37.75</v>
      </c>
      <c r="J44" s="176">
        <f t="shared" si="20"/>
        <v>1.35</v>
      </c>
      <c r="K44" s="176">
        <f t="shared" si="21"/>
        <v>0.67985611510791366</v>
      </c>
      <c r="L44" s="176">
        <f t="shared" si="22"/>
        <v>0.39622641509433965</v>
      </c>
      <c r="M44" s="451">
        <f t="shared" si="14"/>
        <v>350</v>
      </c>
      <c r="N44" s="201">
        <f t="shared" si="23"/>
        <v>350</v>
      </c>
      <c r="O44" s="221">
        <f t="shared" si="24"/>
        <v>3.5844303284227594</v>
      </c>
      <c r="P44" s="177">
        <f t="shared" si="25"/>
        <v>1.0520340586565751</v>
      </c>
      <c r="Q44" s="177">
        <f t="shared" si="26"/>
        <v>0.98987248142535789</v>
      </c>
      <c r="R44" s="177">
        <f t="shared" si="27"/>
        <v>0.24067085953878403</v>
      </c>
    </row>
    <row r="45" spans="3:18" x14ac:dyDescent="0.25">
      <c r="C45" s="174">
        <v>39</v>
      </c>
      <c r="D45" s="5">
        <f t="shared" si="28"/>
        <v>13.95</v>
      </c>
      <c r="E45" s="451">
        <f t="shared" si="15"/>
        <v>23.85</v>
      </c>
      <c r="F45" s="221">
        <f t="shared" si="16"/>
        <v>0.63095238095238104</v>
      </c>
      <c r="G45" s="176">
        <f t="shared" si="17"/>
        <v>17.141477678571427</v>
      </c>
      <c r="H45" s="221">
        <f t="shared" si="18"/>
        <v>1.1427651785714283</v>
      </c>
      <c r="I45" s="451">
        <f t="shared" si="19"/>
        <v>37.799999999999997</v>
      </c>
      <c r="J45" s="176">
        <f t="shared" si="20"/>
        <v>1.35</v>
      </c>
      <c r="K45" s="176">
        <f t="shared" si="21"/>
        <v>0.67741935483870974</v>
      </c>
      <c r="L45" s="176">
        <f t="shared" si="22"/>
        <v>0.39622641509433965</v>
      </c>
      <c r="M45" s="451">
        <f t="shared" si="14"/>
        <v>350</v>
      </c>
      <c r="N45" s="201">
        <f t="shared" si="23"/>
        <v>350</v>
      </c>
      <c r="O45" s="221">
        <f t="shared" si="24"/>
        <v>3.5925655976676376</v>
      </c>
      <c r="P45" s="177">
        <f t="shared" si="25"/>
        <v>1.0544217687074826</v>
      </c>
      <c r="Q45" s="177">
        <f t="shared" si="26"/>
        <v>0.99437083506872082</v>
      </c>
      <c r="R45" s="177">
        <f t="shared" si="27"/>
        <v>0.24067085953878403</v>
      </c>
    </row>
    <row r="46" spans="3:18" x14ac:dyDescent="0.25">
      <c r="C46" s="174">
        <v>40</v>
      </c>
      <c r="D46" s="5">
        <f t="shared" si="28"/>
        <v>14</v>
      </c>
      <c r="E46" s="451">
        <f t="shared" si="15"/>
        <v>23.85</v>
      </c>
      <c r="F46" s="221">
        <f t="shared" si="16"/>
        <v>0.63011889035667112</v>
      </c>
      <c r="G46" s="176">
        <f t="shared" si="17"/>
        <v>17.180191545574633</v>
      </c>
      <c r="H46" s="221">
        <f t="shared" si="18"/>
        <v>1.145346103038309</v>
      </c>
      <c r="I46" s="451">
        <f t="shared" si="19"/>
        <v>37.85</v>
      </c>
      <c r="J46" s="176">
        <f t="shared" si="20"/>
        <v>1.35</v>
      </c>
      <c r="K46" s="176">
        <f t="shared" si="21"/>
        <v>0.67500000000000016</v>
      </c>
      <c r="L46" s="176">
        <f t="shared" si="22"/>
        <v>0.39622641509433965</v>
      </c>
      <c r="M46" s="451">
        <f t="shared" si="14"/>
        <v>350</v>
      </c>
      <c r="N46" s="201">
        <f t="shared" si="23"/>
        <v>350</v>
      </c>
      <c r="O46" s="221">
        <f t="shared" si="24"/>
        <v>3.6006793734666918</v>
      </c>
      <c r="P46" s="177">
        <f t="shared" si="25"/>
        <v>1.0568031704095113</v>
      </c>
      <c r="Q46" s="177">
        <f t="shared" si="26"/>
        <v>0.99886746159577977</v>
      </c>
      <c r="R46" s="177">
        <f t="shared" si="27"/>
        <v>0.24067085953878403</v>
      </c>
    </row>
    <row r="47" spans="3:18" x14ac:dyDescent="0.25">
      <c r="C47" s="174">
        <v>41</v>
      </c>
      <c r="D47" s="5">
        <f t="shared" si="28"/>
        <v>14.05</v>
      </c>
      <c r="E47" s="451">
        <f t="shared" si="15"/>
        <v>23.85</v>
      </c>
      <c r="F47" s="221">
        <f t="shared" si="16"/>
        <v>0.62928759894459096</v>
      </c>
      <c r="G47" s="176">
        <f t="shared" si="17"/>
        <v>17.218803265171502</v>
      </c>
      <c r="H47" s="221">
        <f t="shared" si="18"/>
        <v>1.1479202176781</v>
      </c>
      <c r="I47" s="451">
        <f t="shared" si="19"/>
        <v>37.900000000000006</v>
      </c>
      <c r="J47" s="176">
        <f t="shared" si="20"/>
        <v>1.35</v>
      </c>
      <c r="K47" s="176">
        <f t="shared" si="21"/>
        <v>0.67259786476868333</v>
      </c>
      <c r="L47" s="176">
        <f t="shared" si="22"/>
        <v>0.39622641509433965</v>
      </c>
      <c r="M47" s="451">
        <f t="shared" si="14"/>
        <v>350</v>
      </c>
      <c r="N47" s="201">
        <f t="shared" si="23"/>
        <v>350</v>
      </c>
      <c r="O47" s="221">
        <f t="shared" si="24"/>
        <v>3.6087717408863282</v>
      </c>
      <c r="P47" s="177">
        <f t="shared" si="25"/>
        <v>1.0591782887297398</v>
      </c>
      <c r="Q47" s="177">
        <f t="shared" si="26"/>
        <v>1.0033623276936592</v>
      </c>
      <c r="R47" s="177">
        <f t="shared" si="27"/>
        <v>0.24067085953878403</v>
      </c>
    </row>
    <row r="48" spans="3:18" x14ac:dyDescent="0.25">
      <c r="C48" s="174">
        <v>42</v>
      </c>
      <c r="D48" s="5">
        <f t="shared" si="28"/>
        <v>14.1</v>
      </c>
      <c r="E48" s="451">
        <f t="shared" si="15"/>
        <v>23.85</v>
      </c>
      <c r="F48" s="221">
        <f t="shared" si="16"/>
        <v>0.62845849802371545</v>
      </c>
      <c r="G48" s="176">
        <f t="shared" si="17"/>
        <v>17.257313241106718</v>
      </c>
      <c r="H48" s="221">
        <f t="shared" si="18"/>
        <v>1.1504875494071145</v>
      </c>
      <c r="I48" s="451">
        <f t="shared" si="19"/>
        <v>37.950000000000003</v>
      </c>
      <c r="J48" s="176">
        <f t="shared" si="20"/>
        <v>1.35</v>
      </c>
      <c r="K48" s="176">
        <f t="shared" si="21"/>
        <v>0.67021276595744683</v>
      </c>
      <c r="L48" s="176">
        <f t="shared" si="22"/>
        <v>0.39622641509433965</v>
      </c>
      <c r="M48" s="451">
        <f t="shared" si="14"/>
        <v>350</v>
      </c>
      <c r="N48" s="201">
        <f t="shared" si="23"/>
        <v>350</v>
      </c>
      <c r="O48" s="221">
        <f t="shared" si="24"/>
        <v>3.6168427845446471</v>
      </c>
      <c r="P48" s="177">
        <f t="shared" si="25"/>
        <v>1.06154714850367</v>
      </c>
      <c r="Q48" s="177">
        <f t="shared" si="26"/>
        <v>1.007855400436354</v>
      </c>
      <c r="R48" s="177">
        <f t="shared" si="27"/>
        <v>0.24067085953878403</v>
      </c>
    </row>
    <row r="49" spans="3:18" x14ac:dyDescent="0.25">
      <c r="C49" s="174">
        <v>43</v>
      </c>
      <c r="D49" s="5">
        <f t="shared" si="28"/>
        <v>14.15</v>
      </c>
      <c r="E49" s="451">
        <f t="shared" si="15"/>
        <v>23.85</v>
      </c>
      <c r="F49" s="221">
        <f t="shared" si="16"/>
        <v>0.62763157894736843</v>
      </c>
      <c r="G49" s="176">
        <f t="shared" si="17"/>
        <v>17.295721875000002</v>
      </c>
      <c r="H49" s="221">
        <f t="shared" si="18"/>
        <v>1.1530481250000002</v>
      </c>
      <c r="I49" s="451">
        <f t="shared" si="19"/>
        <v>38</v>
      </c>
      <c r="J49" s="176">
        <f t="shared" si="20"/>
        <v>1.35</v>
      </c>
      <c r="K49" s="176">
        <f t="shared" si="21"/>
        <v>0.66784452296819796</v>
      </c>
      <c r="L49" s="176">
        <f t="shared" si="22"/>
        <v>0.39622641509433965</v>
      </c>
      <c r="M49" s="451">
        <f t="shared" si="14"/>
        <v>350</v>
      </c>
      <c r="N49" s="201">
        <f t="shared" si="23"/>
        <v>350</v>
      </c>
      <c r="O49" s="221">
        <f t="shared" si="24"/>
        <v>3.6248925886143928</v>
      </c>
      <c r="P49" s="177">
        <f t="shared" si="25"/>
        <v>1.0639097744360899</v>
      </c>
      <c r="Q49" s="177">
        <f t="shared" si="26"/>
        <v>1.0123466472807956</v>
      </c>
      <c r="R49" s="177">
        <f t="shared" si="27"/>
        <v>0.24067085953878403</v>
      </c>
    </row>
    <row r="50" spans="3:18" x14ac:dyDescent="0.25">
      <c r="C50" s="174">
        <v>44</v>
      </c>
      <c r="D50" s="5">
        <f t="shared" si="28"/>
        <v>14.2</v>
      </c>
      <c r="E50" s="451">
        <f t="shared" si="15"/>
        <v>23.85</v>
      </c>
      <c r="F50" s="221">
        <f t="shared" si="16"/>
        <v>0.62680683311432339</v>
      </c>
      <c r="G50" s="176">
        <f t="shared" si="17"/>
        <v>17.334029566360055</v>
      </c>
      <c r="H50" s="221">
        <f t="shared" si="18"/>
        <v>1.1556019710906704</v>
      </c>
      <c r="I50" s="451">
        <f t="shared" si="19"/>
        <v>38.049999999999997</v>
      </c>
      <c r="J50" s="176">
        <f t="shared" si="20"/>
        <v>1.35</v>
      </c>
      <c r="K50" s="176">
        <f t="shared" si="21"/>
        <v>0.66549295774647899</v>
      </c>
      <c r="L50" s="176">
        <f t="shared" si="22"/>
        <v>0.39622641509433965</v>
      </c>
      <c r="M50" s="451">
        <f t="shared" si="14"/>
        <v>350</v>
      </c>
      <c r="N50" s="201">
        <f t="shared" si="23"/>
        <v>350</v>
      </c>
      <c r="O50" s="221">
        <f t="shared" si="24"/>
        <v>3.6329212368258736</v>
      </c>
      <c r="P50" s="177">
        <f t="shared" si="25"/>
        <v>1.0662661911019335</v>
      </c>
      <c r="Q50" s="177">
        <f t="shared" si="26"/>
        <v>1.016836036062958</v>
      </c>
      <c r="R50" s="177">
        <f t="shared" si="27"/>
        <v>0.24067085953878403</v>
      </c>
    </row>
    <row r="51" spans="3:18" x14ac:dyDescent="0.25">
      <c r="C51" s="174">
        <v>45</v>
      </c>
      <c r="D51" s="5">
        <f t="shared" si="28"/>
        <v>14.25</v>
      </c>
      <c r="E51" s="451">
        <f t="shared" si="15"/>
        <v>23.85</v>
      </c>
      <c r="F51" s="221">
        <f t="shared" si="16"/>
        <v>0.62598425196850394</v>
      </c>
      <c r="G51" s="176">
        <f t="shared" si="17"/>
        <v>17.372236712598426</v>
      </c>
      <c r="H51" s="221">
        <f t="shared" si="18"/>
        <v>1.1581491141732283</v>
      </c>
      <c r="I51" s="451">
        <f t="shared" si="19"/>
        <v>38.1</v>
      </c>
      <c r="J51" s="176">
        <f t="shared" si="20"/>
        <v>1.35</v>
      </c>
      <c r="K51" s="176">
        <f t="shared" si="21"/>
        <v>0.66315789473684217</v>
      </c>
      <c r="L51" s="176">
        <f t="shared" si="22"/>
        <v>0.39622641509433965</v>
      </c>
      <c r="M51" s="451">
        <f t="shared" si="14"/>
        <v>350</v>
      </c>
      <c r="N51" s="201">
        <f t="shared" si="23"/>
        <v>350</v>
      </c>
      <c r="O51" s="221">
        <f t="shared" si="24"/>
        <v>3.6409288124698698</v>
      </c>
      <c r="P51" s="177">
        <f t="shared" si="25"/>
        <v>1.0686164229471316</v>
      </c>
      <c r="Q51" s="177">
        <f t="shared" si="26"/>
        <v>1.0213235349940086</v>
      </c>
      <c r="R51" s="177">
        <f t="shared" si="27"/>
        <v>0.24067085953878403</v>
      </c>
    </row>
    <row r="52" spans="3:18" x14ac:dyDescent="0.25">
      <c r="C52" s="174">
        <v>46</v>
      </c>
      <c r="D52" s="5">
        <f t="shared" si="28"/>
        <v>14.3</v>
      </c>
      <c r="E52" s="451">
        <f t="shared" si="15"/>
        <v>23.85</v>
      </c>
      <c r="F52" s="221">
        <f t="shared" si="16"/>
        <v>0.62516382699868933</v>
      </c>
      <c r="G52" s="176">
        <f t="shared" si="17"/>
        <v>17.410343709043246</v>
      </c>
      <c r="H52" s="221">
        <f t="shared" si="18"/>
        <v>1.1606895806028832</v>
      </c>
      <c r="I52" s="451">
        <f t="shared" si="19"/>
        <v>38.150000000000006</v>
      </c>
      <c r="J52" s="176">
        <f t="shared" si="20"/>
        <v>1.35</v>
      </c>
      <c r="K52" s="176">
        <f t="shared" si="21"/>
        <v>0.66083916083916094</v>
      </c>
      <c r="L52" s="176">
        <f t="shared" si="22"/>
        <v>0.39622641509433965</v>
      </c>
      <c r="M52" s="451">
        <f t="shared" si="14"/>
        <v>350</v>
      </c>
      <c r="N52" s="201">
        <f t="shared" si="23"/>
        <v>350</v>
      </c>
      <c r="O52" s="221">
        <f t="shared" si="24"/>
        <v>3.6489153984005136</v>
      </c>
      <c r="P52" s="177">
        <f t="shared" si="25"/>
        <v>1.0709604942894588</v>
      </c>
      <c r="Q52" s="177">
        <f t="shared" si="26"/>
        <v>1.025809112656501</v>
      </c>
      <c r="R52" s="177">
        <f t="shared" si="27"/>
        <v>0.24067085953878403</v>
      </c>
    </row>
    <row r="53" spans="3:18" x14ac:dyDescent="0.25">
      <c r="C53" s="174">
        <v>47</v>
      </c>
      <c r="D53" s="5">
        <f t="shared" si="28"/>
        <v>14.35</v>
      </c>
      <c r="E53" s="451">
        <f t="shared" si="15"/>
        <v>23.85</v>
      </c>
      <c r="F53" s="221">
        <f t="shared" si="16"/>
        <v>0.62434554973821987</v>
      </c>
      <c r="G53" s="176">
        <f t="shared" si="17"/>
        <v>17.448350948952875</v>
      </c>
      <c r="H53" s="221">
        <f t="shared" si="18"/>
        <v>1.1632233965968584</v>
      </c>
      <c r="I53" s="451">
        <f t="shared" si="19"/>
        <v>38.200000000000003</v>
      </c>
      <c r="J53" s="176">
        <f t="shared" si="20"/>
        <v>1.35</v>
      </c>
      <c r="K53" s="176">
        <f t="shared" si="21"/>
        <v>0.65853658536585369</v>
      </c>
      <c r="L53" s="176">
        <f t="shared" si="22"/>
        <v>0.39622641509433965</v>
      </c>
      <c r="M53" s="451">
        <f t="shared" si="14"/>
        <v>350</v>
      </c>
      <c r="N53" s="201">
        <f t="shared" si="23"/>
        <v>350</v>
      </c>
      <c r="O53" s="221">
        <f t="shared" si="24"/>
        <v>3.656881077038145</v>
      </c>
      <c r="P53" s="177">
        <f t="shared" si="25"/>
        <v>1.0732984293193715</v>
      </c>
      <c r="Q53" s="177">
        <f t="shared" si="26"/>
        <v>1.0302927380006026</v>
      </c>
      <c r="R53" s="177">
        <f t="shared" si="27"/>
        <v>0.24067085953878403</v>
      </c>
    </row>
    <row r="54" spans="3:18" x14ac:dyDescent="0.25">
      <c r="C54" s="174">
        <v>48</v>
      </c>
      <c r="D54" s="5">
        <f t="shared" si="28"/>
        <v>14.4</v>
      </c>
      <c r="E54" s="451">
        <f t="shared" si="15"/>
        <v>23.85</v>
      </c>
      <c r="F54" s="221">
        <f t="shared" si="16"/>
        <v>0.62352941176470589</v>
      </c>
      <c r="G54" s="176">
        <f t="shared" si="17"/>
        <v>17.486258823529408</v>
      </c>
      <c r="H54" s="221">
        <f t="shared" si="18"/>
        <v>1.1657505882352939</v>
      </c>
      <c r="I54" s="451">
        <f t="shared" si="19"/>
        <v>38.25</v>
      </c>
      <c r="J54" s="176">
        <f t="shared" si="20"/>
        <v>1.35</v>
      </c>
      <c r="K54" s="176">
        <f t="shared" si="21"/>
        <v>0.65625000000000011</v>
      </c>
      <c r="L54" s="176">
        <f t="shared" si="22"/>
        <v>0.39622641509433965</v>
      </c>
      <c r="M54" s="451">
        <f t="shared" si="14"/>
        <v>350</v>
      </c>
      <c r="N54" s="201">
        <f t="shared" si="23"/>
        <v>350</v>
      </c>
      <c r="O54" s="221">
        <f t="shared" si="24"/>
        <v>3.6648259303721487</v>
      </c>
      <c r="P54" s="177">
        <f t="shared" si="25"/>
        <v>1.0756302521008403</v>
      </c>
      <c r="Q54" s="177">
        <f t="shared" si="26"/>
        <v>1.0347743803403713</v>
      </c>
      <c r="R54" s="177">
        <f t="shared" si="27"/>
        <v>0.24067085953878403</v>
      </c>
    </row>
    <row r="55" spans="3:18" x14ac:dyDescent="0.25">
      <c r="C55" s="174">
        <v>49</v>
      </c>
      <c r="D55" s="5">
        <f t="shared" si="28"/>
        <v>14.45</v>
      </c>
      <c r="E55" s="451">
        <f t="shared" si="15"/>
        <v>23.85</v>
      </c>
      <c r="F55" s="221">
        <f t="shared" si="16"/>
        <v>0.62271540469973896</v>
      </c>
      <c r="G55" s="176">
        <f t="shared" si="17"/>
        <v>17.524067721932113</v>
      </c>
      <c r="H55" s="221">
        <f t="shared" si="18"/>
        <v>1.1682711814621409</v>
      </c>
      <c r="I55" s="451">
        <f t="shared" si="19"/>
        <v>38.299999999999997</v>
      </c>
      <c r="J55" s="176">
        <f t="shared" si="20"/>
        <v>1.35</v>
      </c>
      <c r="K55" s="176">
        <f t="shared" si="21"/>
        <v>0.6539792387543254</v>
      </c>
      <c r="L55" s="176">
        <f t="shared" si="22"/>
        <v>0.39622641509433965</v>
      </c>
      <c r="M55" s="451">
        <f t="shared" si="14"/>
        <v>350</v>
      </c>
      <c r="N55" s="201">
        <f t="shared" si="23"/>
        <v>350</v>
      </c>
      <c r="O55" s="221">
        <f t="shared" si="24"/>
        <v>3.6727500399637663</v>
      </c>
      <c r="P55" s="177">
        <f t="shared" si="25"/>
        <v>1.0779559865721744</v>
      </c>
      <c r="Q55" s="177">
        <f t="shared" si="26"/>
        <v>1.0392540093500604</v>
      </c>
      <c r="R55" s="177">
        <f t="shared" si="27"/>
        <v>0.24067085953878403</v>
      </c>
    </row>
    <row r="56" spans="3:18" x14ac:dyDescent="0.25">
      <c r="C56" s="174">
        <v>50</v>
      </c>
      <c r="D56" s="5">
        <f t="shared" si="28"/>
        <v>14.5</v>
      </c>
      <c r="E56" s="451">
        <f t="shared" si="15"/>
        <v>23.85</v>
      </c>
      <c r="F56" s="221">
        <f t="shared" si="16"/>
        <v>0.62190352020860495</v>
      </c>
      <c r="G56" s="176">
        <f t="shared" si="17"/>
        <v>17.561778031290743</v>
      </c>
      <c r="H56" s="221">
        <f t="shared" si="18"/>
        <v>1.1707852020860494</v>
      </c>
      <c r="I56" s="451">
        <f t="shared" si="19"/>
        <v>38.35</v>
      </c>
      <c r="J56" s="176">
        <f t="shared" si="20"/>
        <v>1.35</v>
      </c>
      <c r="K56" s="176">
        <f t="shared" si="21"/>
        <v>0.65172413793103456</v>
      </c>
      <c r="L56" s="176">
        <f t="shared" si="22"/>
        <v>0.39622641509433965</v>
      </c>
      <c r="M56" s="451">
        <f t="shared" si="14"/>
        <v>350</v>
      </c>
      <c r="N56" s="201">
        <f t="shared" si="23"/>
        <v>350</v>
      </c>
      <c r="O56" s="221">
        <f t="shared" si="24"/>
        <v>3.6806534869488861</v>
      </c>
      <c r="P56" s="177">
        <f t="shared" si="25"/>
        <v>1.0802756565468428</v>
      </c>
      <c r="Q56" s="177">
        <f t="shared" si="26"/>
        <v>1.0437315950604726</v>
      </c>
      <c r="R56" s="177">
        <f t="shared" si="27"/>
        <v>0.24067085953878403</v>
      </c>
    </row>
    <row r="57" spans="3:18" x14ac:dyDescent="0.25">
      <c r="C57" s="174">
        <v>51</v>
      </c>
      <c r="D57" s="5">
        <f t="shared" si="28"/>
        <v>14.55</v>
      </c>
      <c r="E57" s="451">
        <f t="shared" si="15"/>
        <v>23.85</v>
      </c>
      <c r="F57" s="221">
        <f t="shared" si="16"/>
        <v>0.62109375</v>
      </c>
      <c r="G57" s="176">
        <f t="shared" si="17"/>
        <v>17.59939013671875</v>
      </c>
      <c r="H57" s="221">
        <f t="shared" si="18"/>
        <v>1.1732926757812501</v>
      </c>
      <c r="I57" s="451">
        <f t="shared" si="19"/>
        <v>38.400000000000006</v>
      </c>
      <c r="J57" s="176">
        <f t="shared" si="20"/>
        <v>1.35</v>
      </c>
      <c r="K57" s="176">
        <f t="shared" si="21"/>
        <v>0.64948453608247425</v>
      </c>
      <c r="L57" s="176">
        <f t="shared" si="22"/>
        <v>0.39622641509433965</v>
      </c>
      <c r="M57" s="451">
        <f t="shared" si="14"/>
        <v>350</v>
      </c>
      <c r="N57" s="201">
        <f t="shared" si="23"/>
        <v>350</v>
      </c>
      <c r="O57" s="221">
        <f t="shared" si="24"/>
        <v>3.6885363520408165</v>
      </c>
      <c r="P57" s="177">
        <f t="shared" si="25"/>
        <v>1.0825892857142858</v>
      </c>
      <c r="Q57" s="177">
        <f t="shared" si="26"/>
        <v>1.0482071078553492</v>
      </c>
      <c r="R57" s="177">
        <f t="shared" si="27"/>
        <v>0.24067085953878403</v>
      </c>
    </row>
    <row r="58" spans="3:18" x14ac:dyDescent="0.25">
      <c r="C58" s="174">
        <v>52</v>
      </c>
      <c r="D58" s="5">
        <f t="shared" si="28"/>
        <v>14.6</v>
      </c>
      <c r="E58" s="451">
        <f t="shared" si="15"/>
        <v>23.85</v>
      </c>
      <c r="F58" s="221">
        <f t="shared" si="16"/>
        <v>0.62028608582574774</v>
      </c>
      <c r="G58" s="176">
        <f t="shared" si="17"/>
        <v>17.636904421326392</v>
      </c>
      <c r="H58" s="221">
        <f t="shared" si="18"/>
        <v>1.175793628088426</v>
      </c>
      <c r="I58" s="451">
        <f t="shared" si="19"/>
        <v>38.450000000000003</v>
      </c>
      <c r="J58" s="176">
        <f t="shared" si="20"/>
        <v>1.35</v>
      </c>
      <c r="K58" s="176">
        <f t="shared" si="21"/>
        <v>0.64726027397260288</v>
      </c>
      <c r="L58" s="176">
        <f t="shared" si="22"/>
        <v>0.39622641509433965</v>
      </c>
      <c r="M58" s="451">
        <f t="shared" si="14"/>
        <v>350</v>
      </c>
      <c r="N58" s="201">
        <f t="shared" si="23"/>
        <v>350</v>
      </c>
      <c r="O58" s="221">
        <f t="shared" si="24"/>
        <v>3.6963987155330269</v>
      </c>
      <c r="P58" s="177">
        <f t="shared" si="25"/>
        <v>1.0848968976407205</v>
      </c>
      <c r="Q58" s="177">
        <f t="shared" si="26"/>
        <v>1.052680518467793</v>
      </c>
      <c r="R58" s="177">
        <f t="shared" si="27"/>
        <v>0.24067085953878403</v>
      </c>
    </row>
    <row r="59" spans="3:18" x14ac:dyDescent="0.25">
      <c r="C59" s="174">
        <v>53</v>
      </c>
      <c r="D59" s="5">
        <f t="shared" si="28"/>
        <v>14.65</v>
      </c>
      <c r="E59" s="451">
        <f t="shared" si="15"/>
        <v>23.85</v>
      </c>
      <c r="F59" s="221">
        <f t="shared" si="16"/>
        <v>0.61948051948051952</v>
      </c>
      <c r="G59" s="176">
        <f t="shared" si="17"/>
        <v>17.674321266233765</v>
      </c>
      <c r="H59" s="221">
        <f t="shared" si="18"/>
        <v>1.1782880844155843</v>
      </c>
      <c r="I59" s="451">
        <f t="shared" si="19"/>
        <v>38.5</v>
      </c>
      <c r="J59" s="176">
        <f t="shared" si="20"/>
        <v>1.35</v>
      </c>
      <c r="K59" s="176">
        <f t="shared" si="21"/>
        <v>0.6450511945392492</v>
      </c>
      <c r="L59" s="176">
        <f t="shared" si="22"/>
        <v>0.39622641509433965</v>
      </c>
      <c r="M59" s="451">
        <f t="shared" si="14"/>
        <v>350</v>
      </c>
      <c r="N59" s="201">
        <f t="shared" si="23"/>
        <v>350</v>
      </c>
      <c r="O59" s="221">
        <f t="shared" si="24"/>
        <v>3.7042406573018818</v>
      </c>
      <c r="P59" s="177">
        <f t="shared" si="25"/>
        <v>1.0871985157699442</v>
      </c>
      <c r="Q59" s="177">
        <f t="shared" si="26"/>
        <v>1.0571517979767382</v>
      </c>
      <c r="R59" s="177">
        <f t="shared" si="27"/>
        <v>0.24067085953878403</v>
      </c>
    </row>
    <row r="60" spans="3:18" x14ac:dyDescent="0.25">
      <c r="C60" s="174">
        <v>54</v>
      </c>
      <c r="D60" s="5">
        <f t="shared" si="28"/>
        <v>14.7</v>
      </c>
      <c r="E60" s="451">
        <f t="shared" si="15"/>
        <v>23.85</v>
      </c>
      <c r="F60" s="221">
        <f t="shared" si="16"/>
        <v>0.61867704280155655</v>
      </c>
      <c r="G60" s="176">
        <f t="shared" si="17"/>
        <v>17.711641050583658</v>
      </c>
      <c r="H60" s="221">
        <f t="shared" si="18"/>
        <v>1.1807760700389105</v>
      </c>
      <c r="I60" s="451">
        <f t="shared" si="19"/>
        <v>38.549999999999997</v>
      </c>
      <c r="J60" s="176">
        <f t="shared" si="20"/>
        <v>1.35</v>
      </c>
      <c r="K60" s="176">
        <f t="shared" si="21"/>
        <v>0.6428571428571429</v>
      </c>
      <c r="L60" s="176">
        <f t="shared" si="22"/>
        <v>0.39622641509433965</v>
      </c>
      <c r="M60" s="451">
        <f t="shared" si="14"/>
        <v>350</v>
      </c>
      <c r="N60" s="201">
        <f t="shared" si="23"/>
        <v>350</v>
      </c>
      <c r="O60" s="221">
        <f t="shared" si="24"/>
        <v>3.7120622568093382</v>
      </c>
      <c r="P60" s="177">
        <f t="shared" si="25"/>
        <v>1.0894941634241244</v>
      </c>
      <c r="Q60" s="177">
        <f t="shared" si="26"/>
        <v>1.0616209178034488</v>
      </c>
      <c r="R60" s="177">
        <f t="shared" si="27"/>
        <v>0.24067085953878403</v>
      </c>
    </row>
    <row r="61" spans="3:18" x14ac:dyDescent="0.25">
      <c r="C61" s="174">
        <v>55</v>
      </c>
      <c r="D61" s="5">
        <f t="shared" si="28"/>
        <v>14.75</v>
      </c>
      <c r="E61" s="451">
        <f t="shared" si="15"/>
        <v>23.85</v>
      </c>
      <c r="F61" s="221">
        <f t="shared" si="16"/>
        <v>0.61787564766839376</v>
      </c>
      <c r="G61" s="176">
        <f t="shared" si="17"/>
        <v>17.7488641515544</v>
      </c>
      <c r="H61" s="221">
        <f t="shared" si="18"/>
        <v>1.1832576101036267</v>
      </c>
      <c r="I61" s="451">
        <f t="shared" si="19"/>
        <v>38.6</v>
      </c>
      <c r="J61" s="176">
        <f t="shared" si="20"/>
        <v>1.35</v>
      </c>
      <c r="K61" s="176">
        <f t="shared" si="21"/>
        <v>0.64067796610169492</v>
      </c>
      <c r="L61" s="176">
        <f t="shared" si="22"/>
        <v>0.39622641509433965</v>
      </c>
      <c r="M61" s="451">
        <f t="shared" si="14"/>
        <v>350</v>
      </c>
      <c r="N61" s="201">
        <f t="shared" si="23"/>
        <v>350</v>
      </c>
      <c r="O61" s="221">
        <f t="shared" si="24"/>
        <v>3.7198635931056359</v>
      </c>
      <c r="P61" s="177">
        <f t="shared" si="25"/>
        <v>1.0917838638045891</v>
      </c>
      <c r="Q61" s="177">
        <f t="shared" si="26"/>
        <v>1.0660878497080595</v>
      </c>
      <c r="R61" s="177">
        <f t="shared" si="27"/>
        <v>0.24067085953878403</v>
      </c>
    </row>
    <row r="62" spans="3:18" x14ac:dyDescent="0.25">
      <c r="C62" s="174">
        <v>56</v>
      </c>
      <c r="D62" s="5">
        <f t="shared" si="28"/>
        <v>14.8</v>
      </c>
      <c r="E62" s="451">
        <f t="shared" si="15"/>
        <v>23.85</v>
      </c>
      <c r="F62" s="221">
        <f t="shared" si="16"/>
        <v>0.61707632600258722</v>
      </c>
      <c r="G62" s="176">
        <f t="shared" si="17"/>
        <v>17.785990944372568</v>
      </c>
      <c r="H62" s="221">
        <f t="shared" si="18"/>
        <v>1.1857327296248379</v>
      </c>
      <c r="I62" s="451">
        <f t="shared" si="19"/>
        <v>38.650000000000006</v>
      </c>
      <c r="J62" s="176">
        <f t="shared" si="20"/>
        <v>1.35</v>
      </c>
      <c r="K62" s="176">
        <f t="shared" si="21"/>
        <v>0.63851351351351349</v>
      </c>
      <c r="L62" s="176">
        <f t="shared" si="22"/>
        <v>0.39622641509433965</v>
      </c>
      <c r="M62" s="451">
        <f t="shared" si="14"/>
        <v>350</v>
      </c>
      <c r="N62" s="201">
        <f t="shared" si="23"/>
        <v>350</v>
      </c>
      <c r="O62" s="221">
        <f t="shared" si="24"/>
        <v>3.7276447448319563</v>
      </c>
      <c r="P62" s="177">
        <f t="shared" si="25"/>
        <v>1.0940676399926077</v>
      </c>
      <c r="Q62" s="177">
        <f t="shared" si="26"/>
        <v>1.0705525657861505</v>
      </c>
      <c r="R62" s="177">
        <f t="shared" si="27"/>
        <v>0.24067085953878403</v>
      </c>
    </row>
    <row r="63" spans="3:18" x14ac:dyDescent="0.25">
      <c r="C63" s="174">
        <v>57</v>
      </c>
      <c r="D63" s="5">
        <f t="shared" si="28"/>
        <v>14.85</v>
      </c>
      <c r="E63" s="451">
        <f t="shared" si="15"/>
        <v>23.85</v>
      </c>
      <c r="F63" s="221">
        <f t="shared" si="16"/>
        <v>0.61627906976744184</v>
      </c>
      <c r="G63" s="176">
        <f t="shared" si="17"/>
        <v>17.823021802325577</v>
      </c>
      <c r="H63" s="221">
        <f t="shared" si="18"/>
        <v>1.1882014534883718</v>
      </c>
      <c r="I63" s="451">
        <f t="shared" si="19"/>
        <v>38.700000000000003</v>
      </c>
      <c r="J63" s="176">
        <f t="shared" si="20"/>
        <v>1.35</v>
      </c>
      <c r="K63" s="176">
        <f t="shared" si="21"/>
        <v>0.63636363636363635</v>
      </c>
      <c r="L63" s="176">
        <f t="shared" si="22"/>
        <v>0.39622641509433965</v>
      </c>
      <c r="M63" s="451">
        <f t="shared" si="14"/>
        <v>350</v>
      </c>
      <c r="N63" s="201">
        <f t="shared" si="23"/>
        <v>350</v>
      </c>
      <c r="O63" s="221">
        <f t="shared" si="24"/>
        <v>3.7354057902230662</v>
      </c>
      <c r="P63" s="177">
        <f t="shared" si="25"/>
        <v>1.0963455149501662</v>
      </c>
      <c r="Q63" s="177">
        <f t="shared" si="26"/>
        <v>1.0750150384653592</v>
      </c>
      <c r="R63" s="177">
        <f t="shared" si="27"/>
        <v>0.24067085953878403</v>
      </c>
    </row>
    <row r="64" spans="3:18" x14ac:dyDescent="0.25">
      <c r="C64" s="174">
        <v>58</v>
      </c>
      <c r="D64" s="5">
        <f t="shared" si="28"/>
        <v>14.9</v>
      </c>
      <c r="E64" s="451">
        <f t="shared" si="15"/>
        <v>23.85</v>
      </c>
      <c r="F64" s="221">
        <f t="shared" si="16"/>
        <v>0.61548387096774193</v>
      </c>
      <c r="G64" s="176">
        <f t="shared" si="17"/>
        <v>17.859957096774192</v>
      </c>
      <c r="H64" s="221">
        <f t="shared" si="18"/>
        <v>1.1906638064516128</v>
      </c>
      <c r="I64" s="451">
        <f t="shared" si="19"/>
        <v>38.75</v>
      </c>
      <c r="J64" s="176">
        <f t="shared" si="20"/>
        <v>1.35</v>
      </c>
      <c r="K64" s="176">
        <f t="shared" si="21"/>
        <v>0.63422818791946312</v>
      </c>
      <c r="L64" s="176">
        <f t="shared" si="22"/>
        <v>0.39622641509433965</v>
      </c>
      <c r="M64" s="451">
        <f t="shared" si="14"/>
        <v>350</v>
      </c>
      <c r="N64" s="201">
        <f t="shared" si="23"/>
        <v>350</v>
      </c>
      <c r="O64" s="221">
        <f t="shared" si="24"/>
        <v>3.743146807109941</v>
      </c>
      <c r="P64" s="177">
        <f t="shared" si="25"/>
        <v>1.0986175115207373</v>
      </c>
      <c r="Q64" s="177">
        <f t="shared" si="26"/>
        <v>1.079475240502028</v>
      </c>
      <c r="R64" s="177">
        <f t="shared" si="27"/>
        <v>0.24067085953878403</v>
      </c>
    </row>
    <row r="65" spans="3:18" x14ac:dyDescent="0.25">
      <c r="C65" s="174">
        <v>59</v>
      </c>
      <c r="D65" s="5">
        <f t="shared" si="28"/>
        <v>14.95</v>
      </c>
      <c r="E65" s="451">
        <f t="shared" si="15"/>
        <v>23.85</v>
      </c>
      <c r="F65" s="221">
        <f t="shared" si="16"/>
        <v>0.61469072164948457</v>
      </c>
      <c r="G65" s="176">
        <f t="shared" si="17"/>
        <v>17.896797197164947</v>
      </c>
      <c r="H65" s="221">
        <f t="shared" si="18"/>
        <v>1.1931198131443297</v>
      </c>
      <c r="I65" s="451">
        <f t="shared" si="19"/>
        <v>38.799999999999997</v>
      </c>
      <c r="J65" s="176">
        <f t="shared" si="20"/>
        <v>1.35</v>
      </c>
      <c r="K65" s="176">
        <f t="shared" si="21"/>
        <v>0.63210702341137126</v>
      </c>
      <c r="L65" s="176">
        <f t="shared" si="22"/>
        <v>0.39622641509433965</v>
      </c>
      <c r="M65" s="451">
        <f t="shared" si="14"/>
        <v>350</v>
      </c>
      <c r="N65" s="201">
        <f t="shared" si="23"/>
        <v>350</v>
      </c>
      <c r="O65" s="221">
        <f t="shared" si="24"/>
        <v>3.7508678729223646</v>
      </c>
      <c r="P65" s="177">
        <f t="shared" si="25"/>
        <v>1.100883652430044</v>
      </c>
      <c r="Q65" s="177">
        <f t="shared" si="26"/>
        <v>1.0839331449778868</v>
      </c>
      <c r="R65" s="177">
        <f t="shared" si="27"/>
        <v>0.24067085953878403</v>
      </c>
    </row>
    <row r="66" spans="3:18" x14ac:dyDescent="0.25">
      <c r="C66" s="174">
        <v>60</v>
      </c>
      <c r="D66" s="5">
        <f t="shared" si="28"/>
        <v>15</v>
      </c>
      <c r="E66" s="451">
        <f t="shared" si="15"/>
        <v>23.85</v>
      </c>
      <c r="F66" s="221">
        <f t="shared" si="16"/>
        <v>0.61389961389961389</v>
      </c>
      <c r="G66" s="176">
        <f t="shared" si="17"/>
        <v>17.933542471042468</v>
      </c>
      <c r="H66" s="221">
        <f t="shared" si="18"/>
        <v>1.195569498069498</v>
      </c>
      <c r="I66" s="451">
        <f t="shared" si="19"/>
        <v>38.85</v>
      </c>
      <c r="J66" s="176">
        <f t="shared" si="20"/>
        <v>1.35</v>
      </c>
      <c r="K66" s="176">
        <f t="shared" si="21"/>
        <v>0.63000000000000012</v>
      </c>
      <c r="L66" s="176">
        <f t="shared" si="22"/>
        <v>0.39622641509433965</v>
      </c>
      <c r="M66" s="451">
        <f t="shared" si="14"/>
        <v>350</v>
      </c>
      <c r="N66" s="201">
        <f t="shared" si="23"/>
        <v>350</v>
      </c>
      <c r="O66" s="221">
        <f t="shared" si="24"/>
        <v>3.7585690646915135</v>
      </c>
      <c r="P66" s="177">
        <f t="shared" si="25"/>
        <v>1.1031439602868174</v>
      </c>
      <c r="Q66" s="177">
        <f t="shared" si="26"/>
        <v>1.0883887252967701</v>
      </c>
      <c r="R66" s="177">
        <f t="shared" si="27"/>
        <v>0.24067085953878403</v>
      </c>
    </row>
    <row r="67" spans="3:18" x14ac:dyDescent="0.25">
      <c r="C67" s="174">
        <v>61</v>
      </c>
      <c r="D67" s="5">
        <f t="shared" si="28"/>
        <v>15.05</v>
      </c>
      <c r="E67" s="451">
        <f t="shared" si="15"/>
        <v>23.85</v>
      </c>
      <c r="F67" s="221">
        <f t="shared" si="16"/>
        <v>0.61311053984575825</v>
      </c>
      <c r="G67" s="176">
        <f t="shared" si="17"/>
        <v>17.97019328406169</v>
      </c>
      <c r="H67" s="221">
        <f t="shared" si="18"/>
        <v>1.1980128856041126</v>
      </c>
      <c r="I67" s="451">
        <f t="shared" si="19"/>
        <v>38.900000000000006</v>
      </c>
      <c r="J67" s="176">
        <f t="shared" si="20"/>
        <v>1.35</v>
      </c>
      <c r="K67" s="176">
        <f t="shared" si="21"/>
        <v>0.62790697674418605</v>
      </c>
      <c r="L67" s="176">
        <f t="shared" si="22"/>
        <v>0.39622641509433965</v>
      </c>
      <c r="M67" s="451">
        <f t="shared" si="14"/>
        <v>350</v>
      </c>
      <c r="N67" s="201">
        <f t="shared" si="23"/>
        <v>350</v>
      </c>
      <c r="O67" s="221">
        <f t="shared" si="24"/>
        <v>3.7662504590525159</v>
      </c>
      <c r="P67" s="177">
        <f t="shared" si="25"/>
        <v>1.1053984575835476</v>
      </c>
      <c r="Q67" s="177">
        <f t="shared" si="26"/>
        <v>1.0928419551813695</v>
      </c>
      <c r="R67" s="177">
        <f t="shared" si="27"/>
        <v>0.24067085953878403</v>
      </c>
    </row>
    <row r="68" spans="3:18" x14ac:dyDescent="0.25">
      <c r="C68" s="174">
        <v>62</v>
      </c>
      <c r="D68" s="5">
        <f t="shared" si="28"/>
        <v>15.1</v>
      </c>
      <c r="E68" s="451">
        <f t="shared" si="15"/>
        <v>23.85</v>
      </c>
      <c r="F68" s="221">
        <f t="shared" si="16"/>
        <v>0.61232349165596922</v>
      </c>
      <c r="G68" s="176">
        <f t="shared" si="17"/>
        <v>18.006749999999997</v>
      </c>
      <c r="H68" s="221">
        <f t="shared" si="18"/>
        <v>1.2004499999999998</v>
      </c>
      <c r="I68" s="451">
        <f t="shared" si="19"/>
        <v>38.950000000000003</v>
      </c>
      <c r="J68" s="176">
        <f t="shared" si="20"/>
        <v>1.35</v>
      </c>
      <c r="K68" s="176">
        <f t="shared" si="21"/>
        <v>0.62582781456953651</v>
      </c>
      <c r="L68" s="176">
        <f t="shared" si="22"/>
        <v>0.39622641509433965</v>
      </c>
      <c r="M68" s="451">
        <f t="shared" si="14"/>
        <v>350</v>
      </c>
      <c r="N68" s="201">
        <f t="shared" si="23"/>
        <v>350</v>
      </c>
      <c r="O68" s="221">
        <f t="shared" si="24"/>
        <v>3.7739121322469935</v>
      </c>
      <c r="P68" s="177">
        <f t="shared" si="25"/>
        <v>1.1076471666972307</v>
      </c>
      <c r="Q68" s="177">
        <f t="shared" si="26"/>
        <v>1.0972928086700178</v>
      </c>
      <c r="R68" s="177">
        <f t="shared" si="27"/>
        <v>0.24067085953878403</v>
      </c>
    </row>
    <row r="69" spans="3:18" x14ac:dyDescent="0.25">
      <c r="C69" s="174">
        <v>63</v>
      </c>
      <c r="D69" s="5">
        <f t="shared" si="28"/>
        <v>15.15</v>
      </c>
      <c r="E69" s="451">
        <f t="shared" si="15"/>
        <v>23.85</v>
      </c>
      <c r="F69" s="221">
        <f t="shared" si="16"/>
        <v>0.61153846153846159</v>
      </c>
      <c r="G69" s="176">
        <f t="shared" si="17"/>
        <v>18.04321298076923</v>
      </c>
      <c r="H69" s="221">
        <f t="shared" si="18"/>
        <v>1.2028808653846152</v>
      </c>
      <c r="I69" s="451">
        <f t="shared" si="19"/>
        <v>39</v>
      </c>
      <c r="J69" s="176">
        <f t="shared" si="20"/>
        <v>1.35</v>
      </c>
      <c r="K69" s="176">
        <f t="shared" si="21"/>
        <v>0.62376237623762387</v>
      </c>
      <c r="L69" s="176">
        <f t="shared" si="22"/>
        <v>0.39622641509433965</v>
      </c>
      <c r="M69" s="451">
        <f t="shared" si="14"/>
        <v>350</v>
      </c>
      <c r="N69" s="201">
        <f t="shared" si="23"/>
        <v>350</v>
      </c>
      <c r="O69" s="221">
        <f t="shared" si="24"/>
        <v>3.7815541601255891</v>
      </c>
      <c r="P69" s="177">
        <f t="shared" si="25"/>
        <v>1.1098901098901099</v>
      </c>
      <c r="Q69" s="177">
        <f t="shared" si="26"/>
        <v>1.1017412601135128</v>
      </c>
      <c r="R69" s="177">
        <f t="shared" si="27"/>
        <v>0.24067085953878403</v>
      </c>
    </row>
    <row r="70" spans="3:18" x14ac:dyDescent="0.25">
      <c r="C70" s="174">
        <v>64</v>
      </c>
      <c r="D70" s="5">
        <f t="shared" si="28"/>
        <v>15.2</v>
      </c>
      <c r="E70" s="451">
        <f t="shared" ref="E70:E106" si="29">(Vout+Vfwd1)*Nps</f>
        <v>23.85</v>
      </c>
      <c r="F70" s="221">
        <f t="shared" ref="F70:F106" si="30">(Vout+Vfwd1)*Nps/((Vout+Vfwd1)*Nps+D70)</f>
        <v>0.61075544174135732</v>
      </c>
      <c r="G70" s="176">
        <f t="shared" ref="G70:G101" si="31">F70*D70*Isw_max*0.5*Efficiency</f>
        <v>18.079582586427655</v>
      </c>
      <c r="H70" s="221">
        <f t="shared" ref="H70:H101" si="32">G70/Vout</f>
        <v>1.2053055057618436</v>
      </c>
      <c r="I70" s="451">
        <f t="shared" ref="I70:I106" si="33">(Vout+Vfwd1)*Nps+D70</f>
        <v>39.049999999999997</v>
      </c>
      <c r="J70" s="176">
        <f t="shared" ref="J70:J106" si="34">MIN(2*Vout*Iout/(Efficiency*D70*F70), 1.35)</f>
        <v>1.35</v>
      </c>
      <c r="K70" s="176">
        <f t="shared" ref="K70:K101" si="35">L*J70/D70*1000000</f>
        <v>0.62171052631578949</v>
      </c>
      <c r="L70" s="176">
        <f t="shared" ref="L70:L106" si="36">L*J70/((Vout+Vfwd1)*Nps)*1000000</f>
        <v>0.39622641509433965</v>
      </c>
      <c r="M70" s="451">
        <f t="shared" si="14"/>
        <v>350</v>
      </c>
      <c r="N70" s="201">
        <f t="shared" ref="N70:N106" si="37">IF(1/((350000*L)*(1/D70+1/E70))&gt;Isw_min, 350, 0.001/((Isw_min*L)*(1/D70+1/E70)))</f>
        <v>350</v>
      </c>
      <c r="O70" s="221">
        <f t="shared" ref="O70:O101" si="38">1/((N70*1000*L)*(1/D70+1/E70))</f>
        <v>3.7891766181504614</v>
      </c>
      <c r="P70" s="177">
        <f t="shared" ref="P70:P101" si="39">L*O70/E70*1000000</f>
        <v>1.1121273093104078</v>
      </c>
      <c r="Q70" s="177">
        <f t="shared" ref="Q70:Q101" si="40">0.5*P70*O70*Nps*N70/1000</f>
        <v>1.1061872841719655</v>
      </c>
      <c r="R70" s="177">
        <f t="shared" ref="R70:R106" si="41">L*Isw_min/E70*1000000</f>
        <v>0.24067085953878403</v>
      </c>
    </row>
    <row r="71" spans="3:18" x14ac:dyDescent="0.25">
      <c r="C71" s="174">
        <v>65</v>
      </c>
      <c r="D71" s="5">
        <f t="shared" ref="D71:D102" si="42">C71/100*(VIN_max-VIN_min)+VIN_min</f>
        <v>15.25</v>
      </c>
      <c r="E71" s="451">
        <f t="shared" si="29"/>
        <v>23.85</v>
      </c>
      <c r="F71" s="221">
        <f t="shared" si="30"/>
        <v>0.60997442455242967</v>
      </c>
      <c r="G71" s="176">
        <f t="shared" si="31"/>
        <v>18.115859175191815</v>
      </c>
      <c r="H71" s="221">
        <f t="shared" si="32"/>
        <v>1.2077239450127877</v>
      </c>
      <c r="I71" s="451">
        <f t="shared" si="33"/>
        <v>39.1</v>
      </c>
      <c r="J71" s="176">
        <f t="shared" si="34"/>
        <v>1.35</v>
      </c>
      <c r="K71" s="176">
        <f t="shared" si="35"/>
        <v>0.61967213114754105</v>
      </c>
      <c r="L71" s="176">
        <f t="shared" si="36"/>
        <v>0.39622641509433965</v>
      </c>
      <c r="M71" s="451">
        <f t="shared" ref="M71:M106" si="43">MIN(1/(K71+L71)*1000, 350)</f>
        <v>350</v>
      </c>
      <c r="N71" s="201">
        <f t="shared" si="37"/>
        <v>350</v>
      </c>
      <c r="O71" s="221">
        <f t="shared" si="38"/>
        <v>3.7967795813977765</v>
      </c>
      <c r="P71" s="177">
        <f t="shared" si="39"/>
        <v>1.114358786993058</v>
      </c>
      <c r="Q71" s="177">
        <f t="shared" si="40"/>
        <v>1.1106308558116895</v>
      </c>
      <c r="R71" s="177">
        <f t="shared" si="41"/>
        <v>0.24067085953878403</v>
      </c>
    </row>
    <row r="72" spans="3:18" x14ac:dyDescent="0.25">
      <c r="C72" s="174">
        <v>66</v>
      </c>
      <c r="D72" s="5">
        <f t="shared" si="42"/>
        <v>15.3</v>
      </c>
      <c r="E72" s="451">
        <f t="shared" si="29"/>
        <v>23.85</v>
      </c>
      <c r="F72" s="221">
        <f t="shared" si="30"/>
        <v>0.6091954022988505</v>
      </c>
      <c r="G72" s="176">
        <f t="shared" si="31"/>
        <v>18.152043103448275</v>
      </c>
      <c r="H72" s="221">
        <f t="shared" si="32"/>
        <v>1.2101362068965515</v>
      </c>
      <c r="I72" s="451">
        <f t="shared" si="33"/>
        <v>39.150000000000006</v>
      </c>
      <c r="J72" s="176">
        <f t="shared" si="34"/>
        <v>1.35</v>
      </c>
      <c r="K72" s="176">
        <f t="shared" si="35"/>
        <v>0.61764705882352944</v>
      </c>
      <c r="L72" s="176">
        <f t="shared" si="36"/>
        <v>0.39622641509433965</v>
      </c>
      <c r="M72" s="451">
        <f t="shared" si="43"/>
        <v>350</v>
      </c>
      <c r="N72" s="201">
        <f t="shared" si="37"/>
        <v>350</v>
      </c>
      <c r="O72" s="221">
        <f t="shared" si="38"/>
        <v>3.8043631245601688</v>
      </c>
      <c r="P72" s="177">
        <f t="shared" si="39"/>
        <v>1.1165845648604269</v>
      </c>
      <c r="Q72" s="177">
        <f t="shared" si="40"/>
        <v>1.1150719503021183</v>
      </c>
      <c r="R72" s="177">
        <f t="shared" si="41"/>
        <v>0.24067085953878403</v>
      </c>
    </row>
    <row r="73" spans="3:18" x14ac:dyDescent="0.25">
      <c r="C73" s="174">
        <v>67</v>
      </c>
      <c r="D73" s="5">
        <f t="shared" si="42"/>
        <v>15.35</v>
      </c>
      <c r="E73" s="451">
        <f t="shared" si="29"/>
        <v>23.85</v>
      </c>
      <c r="F73" s="221">
        <f t="shared" si="30"/>
        <v>0.60841836734693877</v>
      </c>
      <c r="G73" s="176">
        <f t="shared" si="31"/>
        <v>18.188134725765302</v>
      </c>
      <c r="H73" s="221">
        <f t="shared" si="32"/>
        <v>1.2125423150510202</v>
      </c>
      <c r="I73" s="451">
        <f t="shared" si="33"/>
        <v>39.200000000000003</v>
      </c>
      <c r="J73" s="176">
        <f t="shared" si="34"/>
        <v>1.35</v>
      </c>
      <c r="K73" s="176">
        <f t="shared" si="35"/>
        <v>0.61563517915309451</v>
      </c>
      <c r="L73" s="176">
        <f t="shared" si="36"/>
        <v>0.39622641509433965</v>
      </c>
      <c r="M73" s="451">
        <f t="shared" si="43"/>
        <v>350</v>
      </c>
      <c r="N73" s="201">
        <f t="shared" si="37"/>
        <v>350</v>
      </c>
      <c r="O73" s="221">
        <f t="shared" si="38"/>
        <v>3.8119273219491876</v>
      </c>
      <c r="P73" s="177">
        <f t="shared" si="39"/>
        <v>1.1188046647230319</v>
      </c>
      <c r="Q73" s="177">
        <f t="shared" si="40"/>
        <v>1.1195105432127554</v>
      </c>
      <c r="R73" s="177">
        <f t="shared" si="41"/>
        <v>0.24067085953878403</v>
      </c>
    </row>
    <row r="74" spans="3:18" x14ac:dyDescent="0.25">
      <c r="C74" s="174">
        <v>68</v>
      </c>
      <c r="D74" s="5">
        <f t="shared" si="42"/>
        <v>15.4</v>
      </c>
      <c r="E74" s="451">
        <f t="shared" si="29"/>
        <v>23.85</v>
      </c>
      <c r="F74" s="221">
        <f t="shared" si="30"/>
        <v>0.60764331210191092</v>
      </c>
      <c r="G74" s="176">
        <f t="shared" si="31"/>
        <v>18.224134394904461</v>
      </c>
      <c r="H74" s="221">
        <f t="shared" si="32"/>
        <v>1.2149422929936307</v>
      </c>
      <c r="I74" s="451">
        <f t="shared" si="33"/>
        <v>39.25</v>
      </c>
      <c r="J74" s="176">
        <f t="shared" si="34"/>
        <v>1.35</v>
      </c>
      <c r="K74" s="176">
        <f t="shared" si="35"/>
        <v>0.61363636363636365</v>
      </c>
      <c r="L74" s="176">
        <f t="shared" si="36"/>
        <v>0.39622641509433965</v>
      </c>
      <c r="M74" s="451">
        <f t="shared" si="43"/>
        <v>350</v>
      </c>
      <c r="N74" s="201">
        <f t="shared" si="37"/>
        <v>350</v>
      </c>
      <c r="O74" s="221">
        <f t="shared" si="38"/>
        <v>3.8194722474977256</v>
      </c>
      <c r="P74" s="177">
        <f t="shared" si="39"/>
        <v>1.1210191082802548</v>
      </c>
      <c r="Q74" s="177">
        <f t="shared" si="40"/>
        <v>1.1239466104101588</v>
      </c>
      <c r="R74" s="177">
        <f t="shared" si="41"/>
        <v>0.24067085953878403</v>
      </c>
    </row>
    <row r="75" spans="3:18" x14ac:dyDescent="0.25">
      <c r="C75" s="174">
        <v>69</v>
      </c>
      <c r="D75" s="5">
        <f t="shared" si="42"/>
        <v>15.45</v>
      </c>
      <c r="E75" s="451">
        <f t="shared" si="29"/>
        <v>23.85</v>
      </c>
      <c r="F75" s="221">
        <f t="shared" si="30"/>
        <v>0.60687022900763365</v>
      </c>
      <c r="G75" s="176">
        <f t="shared" si="31"/>
        <v>18.260042461832057</v>
      </c>
      <c r="H75" s="221">
        <f t="shared" si="32"/>
        <v>1.2173361641221372</v>
      </c>
      <c r="I75" s="451">
        <f t="shared" si="33"/>
        <v>39.299999999999997</v>
      </c>
      <c r="J75" s="176">
        <f t="shared" si="34"/>
        <v>1.35</v>
      </c>
      <c r="K75" s="176">
        <f t="shared" si="35"/>
        <v>0.61165048543689327</v>
      </c>
      <c r="L75" s="176">
        <f t="shared" si="36"/>
        <v>0.39622641509433965</v>
      </c>
      <c r="M75" s="451">
        <f t="shared" si="43"/>
        <v>350</v>
      </c>
      <c r="N75" s="201">
        <f t="shared" si="37"/>
        <v>350</v>
      </c>
      <c r="O75" s="221">
        <f t="shared" si="38"/>
        <v>3.8269979747624236</v>
      </c>
      <c r="P75" s="177">
        <f t="shared" si="39"/>
        <v>1.1232279171210469</v>
      </c>
      <c r="Q75" s="177">
        <f t="shared" si="40"/>
        <v>1.1283801280549512</v>
      </c>
      <c r="R75" s="177">
        <f t="shared" si="41"/>
        <v>0.24067085953878403</v>
      </c>
    </row>
    <row r="76" spans="3:18" x14ac:dyDescent="0.25">
      <c r="C76" s="174">
        <v>70</v>
      </c>
      <c r="D76" s="5">
        <f t="shared" si="42"/>
        <v>15.5</v>
      </c>
      <c r="E76" s="451">
        <f t="shared" si="29"/>
        <v>23.85</v>
      </c>
      <c r="F76" s="221">
        <f t="shared" si="30"/>
        <v>0.60609911054637866</v>
      </c>
      <c r="G76" s="176">
        <f t="shared" si="31"/>
        <v>18.295859275730621</v>
      </c>
      <c r="H76" s="221">
        <f t="shared" si="32"/>
        <v>1.2197239517153746</v>
      </c>
      <c r="I76" s="451">
        <f t="shared" si="33"/>
        <v>39.35</v>
      </c>
      <c r="J76" s="176">
        <f t="shared" si="34"/>
        <v>1.35</v>
      </c>
      <c r="K76" s="176">
        <f t="shared" si="35"/>
        <v>0.60967741935483877</v>
      </c>
      <c r="L76" s="176">
        <f t="shared" si="36"/>
        <v>0.39622641509433965</v>
      </c>
      <c r="M76" s="451">
        <f t="shared" si="43"/>
        <v>350</v>
      </c>
      <c r="N76" s="201">
        <f t="shared" si="37"/>
        <v>350</v>
      </c>
      <c r="O76" s="221">
        <f t="shared" si="38"/>
        <v>3.8345045769260686</v>
      </c>
      <c r="P76" s="177">
        <f t="shared" si="39"/>
        <v>1.1254311127246324</v>
      </c>
      <c r="Q76" s="177">
        <f t="shared" si="40"/>
        <v>1.1328110725988703</v>
      </c>
      <c r="R76" s="177">
        <f t="shared" si="41"/>
        <v>0.24067085953878403</v>
      </c>
    </row>
    <row r="77" spans="3:18" x14ac:dyDescent="0.25">
      <c r="C77" s="174">
        <v>71</v>
      </c>
      <c r="D77" s="5">
        <f t="shared" si="42"/>
        <v>15.55</v>
      </c>
      <c r="E77" s="451">
        <f t="shared" si="29"/>
        <v>23.85</v>
      </c>
      <c r="F77" s="221">
        <f t="shared" si="30"/>
        <v>0.60532994923857864</v>
      </c>
      <c r="G77" s="176">
        <f t="shared" si="31"/>
        <v>18.331585184010148</v>
      </c>
      <c r="H77" s="221">
        <f t="shared" si="32"/>
        <v>1.2221056789340099</v>
      </c>
      <c r="I77" s="451">
        <f t="shared" si="33"/>
        <v>39.400000000000006</v>
      </c>
      <c r="J77" s="176">
        <f t="shared" si="34"/>
        <v>1.35</v>
      </c>
      <c r="K77" s="176">
        <f t="shared" si="35"/>
        <v>0.60771704180064312</v>
      </c>
      <c r="L77" s="176">
        <f t="shared" si="36"/>
        <v>0.39622641509433965</v>
      </c>
      <c r="M77" s="451">
        <f t="shared" si="43"/>
        <v>350</v>
      </c>
      <c r="N77" s="201">
        <f t="shared" si="37"/>
        <v>350</v>
      </c>
      <c r="O77" s="221">
        <f t="shared" si="38"/>
        <v>3.8419921267999588</v>
      </c>
      <c r="P77" s="177">
        <f t="shared" si="39"/>
        <v>1.1276287164612038</v>
      </c>
      <c r="Q77" s="177">
        <f t="shared" si="40"/>
        <v>1.1372394207818406</v>
      </c>
      <c r="R77" s="177">
        <f t="shared" si="41"/>
        <v>0.24067085953878403</v>
      </c>
    </row>
    <row r="78" spans="3:18" x14ac:dyDescent="0.25">
      <c r="C78" s="174">
        <v>72</v>
      </c>
      <c r="D78" s="5">
        <f t="shared" si="42"/>
        <v>15.6</v>
      </c>
      <c r="E78" s="451">
        <f t="shared" si="29"/>
        <v>23.85</v>
      </c>
      <c r="F78" s="221">
        <f t="shared" si="30"/>
        <v>0.6045627376425855</v>
      </c>
      <c r="G78" s="176">
        <f t="shared" si="31"/>
        <v>18.367220532319386</v>
      </c>
      <c r="H78" s="221">
        <f t="shared" si="32"/>
        <v>1.2244813688212923</v>
      </c>
      <c r="I78" s="451">
        <f t="shared" si="33"/>
        <v>39.450000000000003</v>
      </c>
      <c r="J78" s="176">
        <f t="shared" si="34"/>
        <v>1.35</v>
      </c>
      <c r="K78" s="176">
        <f t="shared" si="35"/>
        <v>0.60576923076923084</v>
      </c>
      <c r="L78" s="176">
        <f t="shared" si="36"/>
        <v>0.39622641509433965</v>
      </c>
      <c r="M78" s="451">
        <f t="shared" si="43"/>
        <v>350</v>
      </c>
      <c r="N78" s="201">
        <f t="shared" si="37"/>
        <v>350</v>
      </c>
      <c r="O78" s="221">
        <f t="shared" si="38"/>
        <v>3.849460696826259</v>
      </c>
      <c r="P78" s="177">
        <f t="shared" si="39"/>
        <v>1.1298207495926125</v>
      </c>
      <c r="Q78" s="177">
        <f t="shared" si="40"/>
        <v>1.1416651496290806</v>
      </c>
      <c r="R78" s="177">
        <f t="shared" si="41"/>
        <v>0.24067085953878403</v>
      </c>
    </row>
    <row r="79" spans="3:18" x14ac:dyDescent="0.25">
      <c r="C79" s="174">
        <v>73</v>
      </c>
      <c r="D79" s="5">
        <f t="shared" si="42"/>
        <v>15.65</v>
      </c>
      <c r="E79" s="451">
        <f t="shared" si="29"/>
        <v>23.85</v>
      </c>
      <c r="F79" s="221">
        <f t="shared" si="30"/>
        <v>0.60379746835443038</v>
      </c>
      <c r="G79" s="176">
        <f t="shared" si="31"/>
        <v>18.402765664556963</v>
      </c>
      <c r="H79" s="221">
        <f t="shared" si="32"/>
        <v>1.2268510443037974</v>
      </c>
      <c r="I79" s="451">
        <f t="shared" si="33"/>
        <v>39.5</v>
      </c>
      <c r="J79" s="176">
        <f t="shared" si="34"/>
        <v>1.35</v>
      </c>
      <c r="K79" s="176">
        <f t="shared" si="35"/>
        <v>0.60383386581469656</v>
      </c>
      <c r="L79" s="176">
        <f t="shared" si="36"/>
        <v>0.39622641509433965</v>
      </c>
      <c r="M79" s="451">
        <f t="shared" si="43"/>
        <v>350</v>
      </c>
      <c r="N79" s="201">
        <f t="shared" si="37"/>
        <v>350</v>
      </c>
      <c r="O79" s="221">
        <f t="shared" si="38"/>
        <v>3.8569103590803411</v>
      </c>
      <c r="P79" s="177">
        <f t="shared" si="39"/>
        <v>1.132007233273056</v>
      </c>
      <c r="Q79" s="177">
        <f t="shared" si="40"/>
        <v>1.1460882364482408</v>
      </c>
      <c r="R79" s="177">
        <f t="shared" si="41"/>
        <v>0.24067085953878403</v>
      </c>
    </row>
    <row r="80" spans="3:18" x14ac:dyDescent="0.25">
      <c r="C80" s="174">
        <v>74</v>
      </c>
      <c r="D80" s="5">
        <f t="shared" si="42"/>
        <v>15.7</v>
      </c>
      <c r="E80" s="451">
        <f t="shared" si="29"/>
        <v>23.85</v>
      </c>
      <c r="F80" s="221">
        <f t="shared" si="30"/>
        <v>0.60303413400758543</v>
      </c>
      <c r="G80" s="176">
        <f t="shared" si="31"/>
        <v>18.438220922882426</v>
      </c>
      <c r="H80" s="221">
        <f t="shared" si="32"/>
        <v>1.2292147281921617</v>
      </c>
      <c r="I80" s="451">
        <f t="shared" si="33"/>
        <v>39.549999999999997</v>
      </c>
      <c r="J80" s="176">
        <f t="shared" si="34"/>
        <v>1.35</v>
      </c>
      <c r="K80" s="176">
        <f t="shared" si="35"/>
        <v>0.6019108280254778</v>
      </c>
      <c r="L80" s="176">
        <f t="shared" si="36"/>
        <v>0.39622641509433965</v>
      </c>
      <c r="M80" s="451">
        <f t="shared" si="43"/>
        <v>350</v>
      </c>
      <c r="N80" s="201">
        <f t="shared" si="37"/>
        <v>350</v>
      </c>
      <c r="O80" s="221">
        <f t="shared" si="38"/>
        <v>3.8643411852730982</v>
      </c>
      <c r="P80" s="177">
        <f t="shared" si="39"/>
        <v>1.1341881885497562</v>
      </c>
      <c r="Q80" s="177">
        <f t="shared" si="40"/>
        <v>1.1505086588265669</v>
      </c>
      <c r="R80" s="177">
        <f t="shared" si="41"/>
        <v>0.24067085953878403</v>
      </c>
    </row>
    <row r="81" spans="3:18" x14ac:dyDescent="0.25">
      <c r="C81" s="174">
        <v>75</v>
      </c>
      <c r="D81" s="5">
        <f t="shared" si="42"/>
        <v>15.75</v>
      </c>
      <c r="E81" s="451">
        <f t="shared" si="29"/>
        <v>23.85</v>
      </c>
      <c r="F81" s="221">
        <f t="shared" si="30"/>
        <v>0.60227272727272729</v>
      </c>
      <c r="G81" s="176">
        <f t="shared" si="31"/>
        <v>18.47358664772727</v>
      </c>
      <c r="H81" s="221">
        <f t="shared" si="32"/>
        <v>1.231572443181818</v>
      </c>
      <c r="I81" s="451">
        <f t="shared" si="33"/>
        <v>39.6</v>
      </c>
      <c r="J81" s="176">
        <f t="shared" si="34"/>
        <v>1.35</v>
      </c>
      <c r="K81" s="176">
        <f t="shared" si="35"/>
        <v>0.60000000000000009</v>
      </c>
      <c r="L81" s="176">
        <f t="shared" si="36"/>
        <v>0.39622641509433965</v>
      </c>
      <c r="M81" s="451">
        <f t="shared" si="43"/>
        <v>350</v>
      </c>
      <c r="N81" s="201">
        <f t="shared" si="37"/>
        <v>350</v>
      </c>
      <c r="O81" s="221">
        <f t="shared" si="38"/>
        <v>3.8717532467532467</v>
      </c>
      <c r="P81" s="177">
        <f t="shared" si="39"/>
        <v>1.1363636363636365</v>
      </c>
      <c r="Q81" s="177">
        <f t="shared" si="40"/>
        <v>1.1549263946280994</v>
      </c>
      <c r="R81" s="177">
        <f t="shared" si="41"/>
        <v>0.24067085953878403</v>
      </c>
    </row>
    <row r="82" spans="3:18" x14ac:dyDescent="0.25">
      <c r="C82" s="174">
        <v>76</v>
      </c>
      <c r="D82" s="5">
        <f t="shared" si="42"/>
        <v>15.8</v>
      </c>
      <c r="E82" s="451">
        <f t="shared" si="29"/>
        <v>23.85</v>
      </c>
      <c r="F82" s="221">
        <f t="shared" si="30"/>
        <v>0.60151324085750313</v>
      </c>
      <c r="G82" s="176">
        <f t="shared" si="31"/>
        <v>18.508863177805797</v>
      </c>
      <c r="H82" s="221">
        <f t="shared" si="32"/>
        <v>1.2339242118537197</v>
      </c>
      <c r="I82" s="451">
        <f t="shared" si="33"/>
        <v>39.650000000000006</v>
      </c>
      <c r="J82" s="176">
        <f t="shared" si="34"/>
        <v>1.35</v>
      </c>
      <c r="K82" s="176">
        <f t="shared" si="35"/>
        <v>0.59810126582278478</v>
      </c>
      <c r="L82" s="176">
        <f t="shared" si="36"/>
        <v>0.39622641509433965</v>
      </c>
      <c r="M82" s="451">
        <f t="shared" si="43"/>
        <v>350</v>
      </c>
      <c r="N82" s="201">
        <f t="shared" si="37"/>
        <v>350</v>
      </c>
      <c r="O82" s="221">
        <f t="shared" si="38"/>
        <v>3.8791466145096121</v>
      </c>
      <c r="P82" s="177">
        <f t="shared" si="39"/>
        <v>1.1385335975499908</v>
      </c>
      <c r="Q82" s="177">
        <f t="shared" si="40"/>
        <v>1.1593414219908924</v>
      </c>
      <c r="R82" s="177">
        <f t="shared" si="41"/>
        <v>0.24067085953878403</v>
      </c>
    </row>
    <row r="83" spans="3:18" x14ac:dyDescent="0.25">
      <c r="C83" s="174">
        <v>77</v>
      </c>
      <c r="D83" s="5">
        <f t="shared" si="42"/>
        <v>15.85</v>
      </c>
      <c r="E83" s="451">
        <f t="shared" si="29"/>
        <v>23.85</v>
      </c>
      <c r="F83" s="221">
        <f t="shared" si="30"/>
        <v>0.60075566750629728</v>
      </c>
      <c r="G83" s="176">
        <f t="shared" si="31"/>
        <v>18.544050850125942</v>
      </c>
      <c r="H83" s="221">
        <f t="shared" si="32"/>
        <v>1.2362700566750628</v>
      </c>
      <c r="I83" s="451">
        <f t="shared" si="33"/>
        <v>39.700000000000003</v>
      </c>
      <c r="J83" s="176">
        <f t="shared" si="34"/>
        <v>1.35</v>
      </c>
      <c r="K83" s="176">
        <f t="shared" si="35"/>
        <v>0.59621451104100953</v>
      </c>
      <c r="L83" s="176">
        <f t="shared" si="36"/>
        <v>0.39622641509433965</v>
      </c>
      <c r="M83" s="451">
        <f t="shared" si="43"/>
        <v>350</v>
      </c>
      <c r="N83" s="201">
        <f t="shared" si="37"/>
        <v>350</v>
      </c>
      <c r="O83" s="221">
        <f t="shared" si="38"/>
        <v>3.8865213591733925</v>
      </c>
      <c r="P83" s="177">
        <f t="shared" si="39"/>
        <v>1.1406980928391506</v>
      </c>
      <c r="Q83" s="177">
        <f t="shared" si="40"/>
        <v>1.1637537193242744</v>
      </c>
      <c r="R83" s="177">
        <f t="shared" si="41"/>
        <v>0.24067085953878403</v>
      </c>
    </row>
    <row r="84" spans="3:18" x14ac:dyDescent="0.25">
      <c r="C84" s="174">
        <v>78</v>
      </c>
      <c r="D84" s="5">
        <f t="shared" si="42"/>
        <v>15.9</v>
      </c>
      <c r="E84" s="451">
        <f t="shared" si="29"/>
        <v>23.85</v>
      </c>
      <c r="F84" s="221">
        <f t="shared" si="30"/>
        <v>0.60000000000000009</v>
      </c>
      <c r="G84" s="176">
        <f t="shared" si="31"/>
        <v>18.579149999999998</v>
      </c>
      <c r="H84" s="221">
        <f t="shared" si="32"/>
        <v>1.23861</v>
      </c>
      <c r="I84" s="451">
        <f t="shared" si="33"/>
        <v>39.75</v>
      </c>
      <c r="J84" s="176">
        <f t="shared" si="34"/>
        <v>1.35</v>
      </c>
      <c r="K84" s="176">
        <f t="shared" si="35"/>
        <v>0.59433962264150952</v>
      </c>
      <c r="L84" s="176">
        <f t="shared" si="36"/>
        <v>0.39622641509433965</v>
      </c>
      <c r="M84" s="451">
        <f t="shared" si="43"/>
        <v>350</v>
      </c>
      <c r="N84" s="201">
        <f t="shared" si="37"/>
        <v>350</v>
      </c>
      <c r="O84" s="221">
        <f t="shared" si="38"/>
        <v>3.8938775510204087</v>
      </c>
      <c r="P84" s="177">
        <f t="shared" si="39"/>
        <v>1.142857142857143</v>
      </c>
      <c r="Q84" s="177">
        <f t="shared" si="40"/>
        <v>1.1681632653061229</v>
      </c>
      <c r="R84" s="177">
        <f t="shared" si="41"/>
        <v>0.24067085953878403</v>
      </c>
    </row>
    <row r="85" spans="3:18" x14ac:dyDescent="0.25">
      <c r="C85" s="174">
        <v>79</v>
      </c>
      <c r="D85" s="5">
        <f t="shared" si="42"/>
        <v>15.95</v>
      </c>
      <c r="E85" s="451">
        <f t="shared" si="29"/>
        <v>23.85</v>
      </c>
      <c r="F85" s="221">
        <f t="shared" si="30"/>
        <v>0.59924623115577902</v>
      </c>
      <c r="G85" s="176">
        <f t="shared" si="31"/>
        <v>18.614160961055276</v>
      </c>
      <c r="H85" s="221">
        <f t="shared" si="32"/>
        <v>1.2409440640703517</v>
      </c>
      <c r="I85" s="451">
        <f t="shared" si="33"/>
        <v>39.799999999999997</v>
      </c>
      <c r="J85" s="176">
        <f t="shared" si="34"/>
        <v>1.35</v>
      </c>
      <c r="K85" s="176">
        <f t="shared" si="35"/>
        <v>0.59247648902821326</v>
      </c>
      <c r="L85" s="176">
        <f t="shared" si="36"/>
        <v>0.39622641509433965</v>
      </c>
      <c r="M85" s="451">
        <f t="shared" si="43"/>
        <v>350</v>
      </c>
      <c r="N85" s="201">
        <f t="shared" si="37"/>
        <v>350</v>
      </c>
      <c r="O85" s="221">
        <f t="shared" si="38"/>
        <v>3.9012152599733354</v>
      </c>
      <c r="P85" s="177">
        <f t="shared" si="39"/>
        <v>1.1450107681263457</v>
      </c>
      <c r="Q85" s="177">
        <f t="shared" si="40"/>
        <v>1.1725700388801761</v>
      </c>
      <c r="R85" s="177">
        <f t="shared" si="41"/>
        <v>0.24067085953878403</v>
      </c>
    </row>
    <row r="86" spans="3:18" x14ac:dyDescent="0.25">
      <c r="C86" s="174">
        <v>80</v>
      </c>
      <c r="D86" s="5">
        <f t="shared" si="42"/>
        <v>16</v>
      </c>
      <c r="E86" s="451">
        <f t="shared" si="29"/>
        <v>23.85</v>
      </c>
      <c r="F86" s="221">
        <f t="shared" si="30"/>
        <v>0.59849435382685068</v>
      </c>
      <c r="G86" s="176">
        <f t="shared" si="31"/>
        <v>18.649084065244665</v>
      </c>
      <c r="H86" s="221">
        <f t="shared" si="32"/>
        <v>1.2432722710163111</v>
      </c>
      <c r="I86" s="451">
        <f t="shared" si="33"/>
        <v>39.85</v>
      </c>
      <c r="J86" s="176">
        <f t="shared" si="34"/>
        <v>1.35</v>
      </c>
      <c r="K86" s="176">
        <f t="shared" si="35"/>
        <v>0.59062500000000007</v>
      </c>
      <c r="L86" s="176">
        <f t="shared" si="36"/>
        <v>0.39622641509433965</v>
      </c>
      <c r="M86" s="451">
        <f t="shared" si="43"/>
        <v>350</v>
      </c>
      <c r="N86" s="201">
        <f t="shared" si="37"/>
        <v>350</v>
      </c>
      <c r="O86" s="221">
        <f t="shared" si="38"/>
        <v>3.9085345556039224</v>
      </c>
      <c r="P86" s="177">
        <f t="shared" si="39"/>
        <v>1.1471589890661407</v>
      </c>
      <c r="Q86" s="177">
        <f t="shared" si="40"/>
        <v>1.1769740192533766</v>
      </c>
      <c r="R86" s="177">
        <f t="shared" si="41"/>
        <v>0.24067085953878403</v>
      </c>
    </row>
    <row r="87" spans="3:18" x14ac:dyDescent="0.25">
      <c r="C87" s="174">
        <v>81</v>
      </c>
      <c r="D87" s="5">
        <f t="shared" si="42"/>
        <v>16.05</v>
      </c>
      <c r="E87" s="451">
        <f t="shared" si="29"/>
        <v>23.85</v>
      </c>
      <c r="F87" s="221">
        <f t="shared" si="30"/>
        <v>0.59774436090225558</v>
      </c>
      <c r="G87" s="176">
        <f t="shared" si="31"/>
        <v>18.683919642857138</v>
      </c>
      <c r="H87" s="221">
        <f t="shared" si="32"/>
        <v>1.2455946428571425</v>
      </c>
      <c r="I87" s="451">
        <f t="shared" si="33"/>
        <v>39.900000000000006</v>
      </c>
      <c r="J87" s="176">
        <f t="shared" si="34"/>
        <v>1.35</v>
      </c>
      <c r="K87" s="176">
        <f t="shared" si="35"/>
        <v>0.58878504672897192</v>
      </c>
      <c r="L87" s="176">
        <f t="shared" si="36"/>
        <v>0.39622641509433965</v>
      </c>
      <c r="M87" s="451">
        <f t="shared" si="43"/>
        <v>350</v>
      </c>
      <c r="N87" s="201">
        <f t="shared" si="37"/>
        <v>350</v>
      </c>
      <c r="O87" s="221">
        <f t="shared" si="38"/>
        <v>3.9158355071351854</v>
      </c>
      <c r="P87" s="177">
        <f t="shared" si="39"/>
        <v>1.1493018259935555</v>
      </c>
      <c r="Q87" s="177">
        <f t="shared" si="40"/>
        <v>1.1813751858932282</v>
      </c>
      <c r="R87" s="177">
        <f t="shared" si="41"/>
        <v>0.24067085953878403</v>
      </c>
    </row>
    <row r="88" spans="3:18" x14ac:dyDescent="0.25">
      <c r="C88" s="174">
        <v>82</v>
      </c>
      <c r="D88" s="5">
        <f t="shared" si="42"/>
        <v>16.100000000000001</v>
      </c>
      <c r="E88" s="451">
        <f t="shared" si="29"/>
        <v>23.85</v>
      </c>
      <c r="F88" s="221">
        <f t="shared" si="30"/>
        <v>0.59699624530663331</v>
      </c>
      <c r="G88" s="176">
        <f t="shared" si="31"/>
        <v>18.71866802252816</v>
      </c>
      <c r="H88" s="221">
        <f t="shared" si="32"/>
        <v>1.2479112015018774</v>
      </c>
      <c r="I88" s="451">
        <f t="shared" si="33"/>
        <v>39.950000000000003</v>
      </c>
      <c r="J88" s="176">
        <f t="shared" si="34"/>
        <v>1.35</v>
      </c>
      <c r="K88" s="176">
        <f t="shared" si="35"/>
        <v>0.58695652173913049</v>
      </c>
      <c r="L88" s="176">
        <f t="shared" si="36"/>
        <v>0.39622641509433965</v>
      </c>
      <c r="M88" s="451">
        <f t="shared" si="43"/>
        <v>350</v>
      </c>
      <c r="N88" s="201">
        <f t="shared" si="37"/>
        <v>350</v>
      </c>
      <c r="O88" s="221">
        <f t="shared" si="38"/>
        <v>3.9231181834435906</v>
      </c>
      <c r="P88" s="177">
        <f t="shared" si="39"/>
        <v>1.1514392991239049</v>
      </c>
      <c r="Q88" s="177">
        <f t="shared" si="40"/>
        <v>1.1857735185251903</v>
      </c>
      <c r="R88" s="177">
        <f t="shared" si="41"/>
        <v>0.24067085953878403</v>
      </c>
    </row>
    <row r="89" spans="3:18" x14ac:dyDescent="0.25">
      <c r="C89" s="174">
        <v>83</v>
      </c>
      <c r="D89" s="5">
        <f t="shared" si="42"/>
        <v>16.149999999999999</v>
      </c>
      <c r="E89" s="451">
        <f t="shared" si="29"/>
        <v>23.85</v>
      </c>
      <c r="F89" s="221">
        <f t="shared" si="30"/>
        <v>0.59625000000000006</v>
      </c>
      <c r="G89" s="176">
        <f t="shared" si="31"/>
        <v>18.753329531249996</v>
      </c>
      <c r="H89" s="221">
        <f t="shared" si="32"/>
        <v>1.2502219687499998</v>
      </c>
      <c r="I89" s="451">
        <f t="shared" si="33"/>
        <v>40</v>
      </c>
      <c r="J89" s="176">
        <f t="shared" si="34"/>
        <v>1.35</v>
      </c>
      <c r="K89" s="176">
        <f t="shared" si="35"/>
        <v>0.58513931888544901</v>
      </c>
      <c r="L89" s="176">
        <f t="shared" si="36"/>
        <v>0.39622641509433965</v>
      </c>
      <c r="M89" s="451">
        <f t="shared" si="43"/>
        <v>350</v>
      </c>
      <c r="N89" s="201">
        <f t="shared" si="37"/>
        <v>350</v>
      </c>
      <c r="O89" s="221">
        <f t="shared" si="38"/>
        <v>3.9303826530612236</v>
      </c>
      <c r="P89" s="177">
        <f t="shared" si="39"/>
        <v>1.153571428571428</v>
      </c>
      <c r="Q89" s="177">
        <f t="shared" si="40"/>
        <v>1.1901689971301013</v>
      </c>
      <c r="R89" s="177">
        <f t="shared" si="41"/>
        <v>0.24067085953878403</v>
      </c>
    </row>
    <row r="90" spans="3:18" x14ac:dyDescent="0.25">
      <c r="C90" s="174">
        <v>84</v>
      </c>
      <c r="D90" s="5">
        <f t="shared" si="42"/>
        <v>16.2</v>
      </c>
      <c r="E90" s="451">
        <f t="shared" si="29"/>
        <v>23.85</v>
      </c>
      <c r="F90" s="221">
        <f t="shared" si="30"/>
        <v>0.59550561797752821</v>
      </c>
      <c r="G90" s="176">
        <f t="shared" si="31"/>
        <v>18.787904494382023</v>
      </c>
      <c r="H90" s="221">
        <f t="shared" si="32"/>
        <v>1.2525269662921348</v>
      </c>
      <c r="I90" s="451">
        <f t="shared" si="33"/>
        <v>40.049999999999997</v>
      </c>
      <c r="J90" s="176">
        <f t="shared" si="34"/>
        <v>1.35</v>
      </c>
      <c r="K90" s="176">
        <f t="shared" si="35"/>
        <v>0.58333333333333337</v>
      </c>
      <c r="L90" s="176">
        <f t="shared" si="36"/>
        <v>0.39622641509433965</v>
      </c>
      <c r="M90" s="451">
        <f t="shared" si="43"/>
        <v>350</v>
      </c>
      <c r="N90" s="201">
        <f t="shared" si="37"/>
        <v>350</v>
      </c>
      <c r="O90" s="221">
        <f t="shared" si="38"/>
        <v>3.9376289841779406</v>
      </c>
      <c r="P90" s="177">
        <f t="shared" si="39"/>
        <v>1.1556982343499196</v>
      </c>
      <c r="Q90" s="177">
        <f t="shared" si="40"/>
        <v>1.1945616019416223</v>
      </c>
      <c r="R90" s="177">
        <f t="shared" si="41"/>
        <v>0.24067085953878403</v>
      </c>
    </row>
    <row r="91" spans="3:18" x14ac:dyDescent="0.25">
      <c r="C91" s="174">
        <v>85</v>
      </c>
      <c r="D91" s="5">
        <f t="shared" si="42"/>
        <v>16.25</v>
      </c>
      <c r="E91" s="451">
        <f t="shared" si="29"/>
        <v>23.85</v>
      </c>
      <c r="F91" s="221">
        <f t="shared" si="30"/>
        <v>0.59476309226932667</v>
      </c>
      <c r="G91" s="176">
        <f t="shared" si="31"/>
        <v>18.822393235660847</v>
      </c>
      <c r="H91" s="221">
        <f t="shared" si="32"/>
        <v>1.2548262157107231</v>
      </c>
      <c r="I91" s="451">
        <f t="shared" si="33"/>
        <v>40.1</v>
      </c>
      <c r="J91" s="176">
        <f t="shared" si="34"/>
        <v>1.35</v>
      </c>
      <c r="K91" s="176">
        <f t="shared" si="35"/>
        <v>0.58153846153846167</v>
      </c>
      <c r="L91" s="176">
        <f t="shared" si="36"/>
        <v>0.39622641509433965</v>
      </c>
      <c r="M91" s="451">
        <f t="shared" si="43"/>
        <v>350</v>
      </c>
      <c r="N91" s="201">
        <f t="shared" si="37"/>
        <v>350</v>
      </c>
      <c r="O91" s="221">
        <f t="shared" si="38"/>
        <v>3.9448572446434933</v>
      </c>
      <c r="P91" s="177">
        <f t="shared" si="39"/>
        <v>1.1578197363733524</v>
      </c>
      <c r="Q91" s="177">
        <f t="shared" si="40"/>
        <v>1.1989513134437053</v>
      </c>
      <c r="R91" s="177">
        <f t="shared" si="41"/>
        <v>0.24067085953878403</v>
      </c>
    </row>
    <row r="92" spans="3:18" x14ac:dyDescent="0.25">
      <c r="C92" s="174">
        <v>86</v>
      </c>
      <c r="D92" s="5">
        <f t="shared" si="42"/>
        <v>16.3</v>
      </c>
      <c r="E92" s="451">
        <f t="shared" si="29"/>
        <v>23.85</v>
      </c>
      <c r="F92" s="221">
        <f t="shared" si="30"/>
        <v>0.59402241594022409</v>
      </c>
      <c r="G92" s="176">
        <f t="shared" si="31"/>
        <v>18.856796077210458</v>
      </c>
      <c r="H92" s="221">
        <f t="shared" si="32"/>
        <v>1.2571197384806971</v>
      </c>
      <c r="I92" s="451">
        <f t="shared" si="33"/>
        <v>40.150000000000006</v>
      </c>
      <c r="J92" s="176">
        <f t="shared" si="34"/>
        <v>1.35</v>
      </c>
      <c r="K92" s="176">
        <f t="shared" si="35"/>
        <v>0.57975460122699396</v>
      </c>
      <c r="L92" s="176">
        <f t="shared" si="36"/>
        <v>0.39622641509433965</v>
      </c>
      <c r="M92" s="451">
        <f t="shared" si="43"/>
        <v>350</v>
      </c>
      <c r="N92" s="201">
        <f t="shared" si="37"/>
        <v>350</v>
      </c>
      <c r="O92" s="221">
        <f t="shared" si="38"/>
        <v>3.9520675019696547</v>
      </c>
      <c r="P92" s="177">
        <f t="shared" si="39"/>
        <v>1.1599359544565024</v>
      </c>
      <c r="Q92" s="177">
        <f t="shared" si="40"/>
        <v>1.2033381123680953</v>
      </c>
      <c r="R92" s="177">
        <f t="shared" si="41"/>
        <v>0.24067085953878403</v>
      </c>
    </row>
    <row r="93" spans="3:18" x14ac:dyDescent="0.25">
      <c r="C93" s="174">
        <v>87</v>
      </c>
      <c r="D93" s="5">
        <f t="shared" si="42"/>
        <v>16.350000000000001</v>
      </c>
      <c r="E93" s="451">
        <f t="shared" si="29"/>
        <v>23.85</v>
      </c>
      <c r="F93" s="221">
        <f t="shared" si="30"/>
        <v>0.59328358208955223</v>
      </c>
      <c r="G93" s="176">
        <f t="shared" si="31"/>
        <v>18.891113339552234</v>
      </c>
      <c r="H93" s="221">
        <f t="shared" si="32"/>
        <v>1.259407555970149</v>
      </c>
      <c r="I93" s="451">
        <f t="shared" si="33"/>
        <v>40.200000000000003</v>
      </c>
      <c r="J93" s="176">
        <f t="shared" si="34"/>
        <v>1.35</v>
      </c>
      <c r="K93" s="176">
        <f t="shared" si="35"/>
        <v>0.57798165137614688</v>
      </c>
      <c r="L93" s="176">
        <f t="shared" si="36"/>
        <v>0.39622641509433965</v>
      </c>
      <c r="M93" s="451">
        <f t="shared" si="43"/>
        <v>350</v>
      </c>
      <c r="N93" s="201">
        <f t="shared" si="37"/>
        <v>350</v>
      </c>
      <c r="O93" s="221">
        <f t="shared" si="38"/>
        <v>3.9592598233323182</v>
      </c>
      <c r="P93" s="177">
        <f t="shared" si="39"/>
        <v>1.1620469083155651</v>
      </c>
      <c r="Q93" s="177">
        <f t="shared" si="40"/>
        <v>1.2077219796918546</v>
      </c>
      <c r="R93" s="177">
        <f t="shared" si="41"/>
        <v>0.24067085953878403</v>
      </c>
    </row>
    <row r="94" spans="3:18" x14ac:dyDescent="0.25">
      <c r="C94" s="174">
        <v>88</v>
      </c>
      <c r="D94" s="5">
        <f t="shared" si="42"/>
        <v>16.399999999999999</v>
      </c>
      <c r="E94" s="451">
        <f t="shared" si="29"/>
        <v>23.85</v>
      </c>
      <c r="F94" s="221">
        <f t="shared" si="30"/>
        <v>0.59254658385093173</v>
      </c>
      <c r="G94" s="176">
        <f t="shared" si="31"/>
        <v>18.925345341614904</v>
      </c>
      <c r="H94" s="221">
        <f t="shared" si="32"/>
        <v>1.2616896894409935</v>
      </c>
      <c r="I94" s="451">
        <f t="shared" si="33"/>
        <v>40.25</v>
      </c>
      <c r="J94" s="176">
        <f t="shared" si="34"/>
        <v>1.35</v>
      </c>
      <c r="K94" s="176">
        <f t="shared" si="35"/>
        <v>0.57621951219512202</v>
      </c>
      <c r="L94" s="176">
        <f t="shared" si="36"/>
        <v>0.39622641509433965</v>
      </c>
      <c r="M94" s="451">
        <f t="shared" si="43"/>
        <v>350</v>
      </c>
      <c r="N94" s="201">
        <f t="shared" si="37"/>
        <v>350</v>
      </c>
      <c r="O94" s="221">
        <f t="shared" si="38"/>
        <v>3.9664342755735831</v>
      </c>
      <c r="P94" s="177">
        <f t="shared" si="39"/>
        <v>1.1641526175687664</v>
      </c>
      <c r="Q94" s="177">
        <f t="shared" si="40"/>
        <v>1.2121028966349083</v>
      </c>
      <c r="R94" s="177">
        <f t="shared" si="41"/>
        <v>0.24067085953878403</v>
      </c>
    </row>
    <row r="95" spans="3:18" x14ac:dyDescent="0.25">
      <c r="C95" s="174">
        <v>89</v>
      </c>
      <c r="D95" s="5">
        <f t="shared" si="42"/>
        <v>16.45</v>
      </c>
      <c r="E95" s="451">
        <f t="shared" si="29"/>
        <v>23.85</v>
      </c>
      <c r="F95" s="221">
        <f t="shared" si="30"/>
        <v>0.59181141439205964</v>
      </c>
      <c r="G95" s="176">
        <f t="shared" si="31"/>
        <v>18.95949240074442</v>
      </c>
      <c r="H95" s="221">
        <f t="shared" si="32"/>
        <v>1.2639661600496279</v>
      </c>
      <c r="I95" s="451">
        <f t="shared" si="33"/>
        <v>40.299999999999997</v>
      </c>
      <c r="J95" s="176">
        <f t="shared" si="34"/>
        <v>1.35</v>
      </c>
      <c r="K95" s="176">
        <f t="shared" si="35"/>
        <v>0.57446808510638303</v>
      </c>
      <c r="L95" s="176">
        <f t="shared" si="36"/>
        <v>0.39622641509433965</v>
      </c>
      <c r="M95" s="451">
        <f t="shared" si="43"/>
        <v>350</v>
      </c>
      <c r="N95" s="201">
        <f t="shared" si="37"/>
        <v>350</v>
      </c>
      <c r="O95" s="221">
        <f t="shared" si="38"/>
        <v>3.9735909252038284</v>
      </c>
      <c r="P95" s="177">
        <f t="shared" si="39"/>
        <v>1.1662531017369726</v>
      </c>
      <c r="Q95" s="177">
        <f t="shared" si="40"/>
        <v>1.2164808446576236</v>
      </c>
      <c r="R95" s="177">
        <f t="shared" si="41"/>
        <v>0.24067085953878403</v>
      </c>
    </row>
    <row r="96" spans="3:18" x14ac:dyDescent="0.25">
      <c r="C96" s="174">
        <v>90</v>
      </c>
      <c r="D96" s="5">
        <f t="shared" si="42"/>
        <v>16.5</v>
      </c>
      <c r="E96" s="451">
        <f t="shared" si="29"/>
        <v>23.85</v>
      </c>
      <c r="F96" s="221">
        <f t="shared" si="30"/>
        <v>0.59107806691449816</v>
      </c>
      <c r="G96" s="176">
        <f t="shared" si="31"/>
        <v>18.993554832713752</v>
      </c>
      <c r="H96" s="221">
        <f t="shared" si="32"/>
        <v>1.2662369888475835</v>
      </c>
      <c r="I96" s="451">
        <f t="shared" si="33"/>
        <v>40.35</v>
      </c>
      <c r="J96" s="176">
        <f t="shared" si="34"/>
        <v>1.35</v>
      </c>
      <c r="K96" s="176">
        <f t="shared" si="35"/>
        <v>0.57272727272727286</v>
      </c>
      <c r="L96" s="176">
        <f t="shared" si="36"/>
        <v>0.39622641509433965</v>
      </c>
      <c r="M96" s="451">
        <f t="shared" si="43"/>
        <v>350</v>
      </c>
      <c r="N96" s="201">
        <f t="shared" si="37"/>
        <v>350</v>
      </c>
      <c r="O96" s="221">
        <f t="shared" si="38"/>
        <v>3.9807298384037626</v>
      </c>
      <c r="P96" s="177">
        <f t="shared" si="39"/>
        <v>1.1683483802442907</v>
      </c>
      <c r="Q96" s="177">
        <f t="shared" si="40"/>
        <v>1.2208558054584024</v>
      </c>
      <c r="R96" s="177">
        <f t="shared" si="41"/>
        <v>0.24067085953878403</v>
      </c>
    </row>
    <row r="97" spans="3:18" x14ac:dyDescent="0.25">
      <c r="C97" s="174">
        <v>91</v>
      </c>
      <c r="D97" s="5">
        <f t="shared" si="42"/>
        <v>16.55</v>
      </c>
      <c r="E97" s="451">
        <f t="shared" si="29"/>
        <v>23.85</v>
      </c>
      <c r="F97" s="221">
        <f t="shared" si="30"/>
        <v>0.59034653465346532</v>
      </c>
      <c r="G97" s="176">
        <f t="shared" si="31"/>
        <v>19.02753295173267</v>
      </c>
      <c r="H97" s="221">
        <f t="shared" si="32"/>
        <v>1.2685021967821781</v>
      </c>
      <c r="I97" s="451">
        <f t="shared" si="33"/>
        <v>40.400000000000006</v>
      </c>
      <c r="J97" s="176">
        <f t="shared" si="34"/>
        <v>1.35</v>
      </c>
      <c r="K97" s="176">
        <f t="shared" si="35"/>
        <v>0.57099697885196377</v>
      </c>
      <c r="L97" s="176">
        <f t="shared" si="36"/>
        <v>0.39622641509433965</v>
      </c>
      <c r="M97" s="451">
        <f t="shared" si="43"/>
        <v>350</v>
      </c>
      <c r="N97" s="201">
        <f t="shared" si="37"/>
        <v>350</v>
      </c>
      <c r="O97" s="221">
        <f t="shared" si="38"/>
        <v>3.98785108102647</v>
      </c>
      <c r="P97" s="177">
        <f t="shared" si="39"/>
        <v>1.1704384724186705</v>
      </c>
      <c r="Q97" s="177">
        <f t="shared" si="40"/>
        <v>1.2252277609713134</v>
      </c>
      <c r="R97" s="177">
        <f t="shared" si="41"/>
        <v>0.24067085953878403</v>
      </c>
    </row>
    <row r="98" spans="3:18" x14ac:dyDescent="0.25">
      <c r="C98" s="174">
        <v>92</v>
      </c>
      <c r="D98" s="5">
        <f t="shared" si="42"/>
        <v>16.600000000000001</v>
      </c>
      <c r="E98" s="451">
        <f t="shared" si="29"/>
        <v>23.85</v>
      </c>
      <c r="F98" s="221">
        <f t="shared" si="30"/>
        <v>0.58961681087762674</v>
      </c>
      <c r="G98" s="176">
        <f t="shared" si="31"/>
        <v>19.061427070457356</v>
      </c>
      <c r="H98" s="221">
        <f t="shared" si="32"/>
        <v>1.2707618046971569</v>
      </c>
      <c r="I98" s="451">
        <f t="shared" si="33"/>
        <v>40.450000000000003</v>
      </c>
      <c r="J98" s="176">
        <f t="shared" si="34"/>
        <v>1.35</v>
      </c>
      <c r="K98" s="176">
        <f t="shared" si="35"/>
        <v>0.56927710843373491</v>
      </c>
      <c r="L98" s="176">
        <f t="shared" si="36"/>
        <v>0.39622641509433965</v>
      </c>
      <c r="M98" s="451">
        <f t="shared" si="43"/>
        <v>350</v>
      </c>
      <c r="N98" s="201">
        <f t="shared" si="37"/>
        <v>350</v>
      </c>
      <c r="O98" s="221">
        <f t="shared" si="38"/>
        <v>3.9949547185994305</v>
      </c>
      <c r="P98" s="177">
        <f t="shared" si="39"/>
        <v>1.1725233974924953</v>
      </c>
      <c r="Q98" s="177">
        <f t="shared" si="40"/>
        <v>1.229596693363731</v>
      </c>
      <c r="R98" s="177">
        <f t="shared" si="41"/>
        <v>0.24067085953878403</v>
      </c>
    </row>
    <row r="99" spans="3:18" x14ac:dyDescent="0.25">
      <c r="C99" s="174">
        <v>93</v>
      </c>
      <c r="D99" s="5">
        <f t="shared" si="42"/>
        <v>16.649999999999999</v>
      </c>
      <c r="E99" s="451">
        <f t="shared" si="29"/>
        <v>23.85</v>
      </c>
      <c r="F99" s="221">
        <f t="shared" si="30"/>
        <v>0.58888888888888891</v>
      </c>
      <c r="G99" s="176">
        <f t="shared" si="31"/>
        <v>19.0952375</v>
      </c>
      <c r="H99" s="221">
        <f t="shared" si="32"/>
        <v>1.2730158333333332</v>
      </c>
      <c r="I99" s="451">
        <f t="shared" si="33"/>
        <v>40.5</v>
      </c>
      <c r="J99" s="176">
        <f t="shared" si="34"/>
        <v>1.35</v>
      </c>
      <c r="K99" s="176">
        <f t="shared" si="35"/>
        <v>0.56756756756756777</v>
      </c>
      <c r="L99" s="176">
        <f t="shared" si="36"/>
        <v>0.39622641509433965</v>
      </c>
      <c r="M99" s="451">
        <f t="shared" si="43"/>
        <v>350</v>
      </c>
      <c r="N99" s="201">
        <f t="shared" si="37"/>
        <v>350</v>
      </c>
      <c r="O99" s="221">
        <f t="shared" si="38"/>
        <v>4.00204081632653</v>
      </c>
      <c r="P99" s="177">
        <f t="shared" si="39"/>
        <v>1.1746031746031742</v>
      </c>
      <c r="Q99" s="177">
        <f t="shared" si="40"/>
        <v>1.233962585034013</v>
      </c>
      <c r="R99" s="177">
        <f t="shared" si="41"/>
        <v>0.24067085953878403</v>
      </c>
    </row>
    <row r="100" spans="3:18" x14ac:dyDescent="0.25">
      <c r="C100" s="174">
        <v>94</v>
      </c>
      <c r="D100" s="5">
        <f t="shared" si="42"/>
        <v>16.7</v>
      </c>
      <c r="E100" s="451">
        <f t="shared" si="29"/>
        <v>23.85</v>
      </c>
      <c r="F100" s="221">
        <f t="shared" si="30"/>
        <v>0.58816276202219486</v>
      </c>
      <c r="G100" s="176">
        <f t="shared" si="31"/>
        <v>19.128964549938345</v>
      </c>
      <c r="H100" s="221">
        <f t="shared" si="32"/>
        <v>1.275264303329223</v>
      </c>
      <c r="I100" s="451">
        <f t="shared" si="33"/>
        <v>40.549999999999997</v>
      </c>
      <c r="J100" s="176">
        <f t="shared" si="34"/>
        <v>1.35</v>
      </c>
      <c r="K100" s="176">
        <f t="shared" si="35"/>
        <v>0.56586826347305397</v>
      </c>
      <c r="L100" s="176">
        <f t="shared" si="36"/>
        <v>0.39622641509433965</v>
      </c>
      <c r="M100" s="451">
        <f t="shared" si="43"/>
        <v>350</v>
      </c>
      <c r="N100" s="201">
        <f t="shared" si="37"/>
        <v>350</v>
      </c>
      <c r="O100" s="221">
        <f t="shared" si="38"/>
        <v>4.0091094390900626</v>
      </c>
      <c r="P100" s="177">
        <f t="shared" si="39"/>
        <v>1.1766778227937289</v>
      </c>
      <c r="Q100" s="177">
        <f t="shared" si="40"/>
        <v>1.2383254186091992</v>
      </c>
      <c r="R100" s="177">
        <f t="shared" si="41"/>
        <v>0.24067085953878403</v>
      </c>
    </row>
    <row r="101" spans="3:18" x14ac:dyDescent="0.25">
      <c r="C101" s="174">
        <v>95</v>
      </c>
      <c r="D101" s="5">
        <f t="shared" si="42"/>
        <v>16.75</v>
      </c>
      <c r="E101" s="451">
        <f t="shared" si="29"/>
        <v>23.85</v>
      </c>
      <c r="F101" s="221">
        <f t="shared" si="30"/>
        <v>0.58743842364532017</v>
      </c>
      <c r="G101" s="176">
        <f t="shared" si="31"/>
        <v>19.162608528325116</v>
      </c>
      <c r="H101" s="221">
        <f t="shared" si="32"/>
        <v>1.2775072352216743</v>
      </c>
      <c r="I101" s="451">
        <f t="shared" si="33"/>
        <v>40.6</v>
      </c>
      <c r="J101" s="176">
        <f t="shared" si="34"/>
        <v>1.35</v>
      </c>
      <c r="K101" s="176">
        <f t="shared" si="35"/>
        <v>0.56417910447761199</v>
      </c>
      <c r="L101" s="176">
        <f t="shared" si="36"/>
        <v>0.39622641509433965</v>
      </c>
      <c r="M101" s="451">
        <f t="shared" si="43"/>
        <v>350</v>
      </c>
      <c r="N101" s="201">
        <f t="shared" si="37"/>
        <v>350</v>
      </c>
      <c r="O101" s="221">
        <f t="shared" si="38"/>
        <v>4.0161606514526991</v>
      </c>
      <c r="P101" s="177">
        <f t="shared" si="39"/>
        <v>1.1787473610133707</v>
      </c>
      <c r="Q101" s="177">
        <f t="shared" si="40"/>
        <v>1.2426851769427221</v>
      </c>
      <c r="R101" s="177">
        <f t="shared" si="41"/>
        <v>0.24067085953878403</v>
      </c>
    </row>
    <row r="102" spans="3:18" x14ac:dyDescent="0.25">
      <c r="C102" s="174">
        <v>96</v>
      </c>
      <c r="D102" s="5">
        <f t="shared" si="42"/>
        <v>16.8</v>
      </c>
      <c r="E102" s="451">
        <f t="shared" si="29"/>
        <v>23.85</v>
      </c>
      <c r="F102" s="221">
        <f t="shared" si="30"/>
        <v>0.58671586715867152</v>
      </c>
      <c r="G102" s="176">
        <f t="shared" ref="G102:G106" si="44">F102*D102*Isw_max*0.5*Efficiency</f>
        <v>19.19616974169741</v>
      </c>
      <c r="H102" s="221">
        <f t="shared" ref="H102:H106" si="45">G102/Vout</f>
        <v>1.2797446494464941</v>
      </c>
      <c r="I102" s="451">
        <f t="shared" si="33"/>
        <v>40.650000000000006</v>
      </c>
      <c r="J102" s="176">
        <f t="shared" si="34"/>
        <v>1.35</v>
      </c>
      <c r="K102" s="176">
        <f t="shared" ref="K102:K106" si="46">L*J102/D102*1000000</f>
        <v>0.5625</v>
      </c>
      <c r="L102" s="176">
        <f t="shared" si="36"/>
        <v>0.39622641509433965</v>
      </c>
      <c r="M102" s="451">
        <f t="shared" si="43"/>
        <v>350</v>
      </c>
      <c r="N102" s="201">
        <f t="shared" si="37"/>
        <v>350</v>
      </c>
      <c r="O102" s="221">
        <f t="shared" ref="O102:O106" si="47">1/((N102*1000*L)*(1/D102+1/E102))</f>
        <v>4.0231945176594621</v>
      </c>
      <c r="P102" s="177">
        <f t="shared" ref="P102:P106" si="48">L*O102/E102*1000000</f>
        <v>1.1808118081180812</v>
      </c>
      <c r="Q102" s="177">
        <f t="shared" ref="Q102:Q106" si="49">0.5*P102*O102*Nps*N102/1000</f>
        <v>1.2470418431121579</v>
      </c>
      <c r="R102" s="177">
        <f t="shared" si="41"/>
        <v>0.24067085953878403</v>
      </c>
    </row>
    <row r="103" spans="3:18" x14ac:dyDescent="0.25">
      <c r="C103" s="174">
        <v>97</v>
      </c>
      <c r="D103" s="5">
        <f t="shared" ref="D103:D106" si="50">C103/100*(VIN_max-VIN_min)+VIN_min</f>
        <v>16.850000000000001</v>
      </c>
      <c r="E103" s="451">
        <f t="shared" si="29"/>
        <v>23.85</v>
      </c>
      <c r="F103" s="221">
        <f t="shared" si="30"/>
        <v>0.58599508599508598</v>
      </c>
      <c r="G103" s="176">
        <f t="shared" si="44"/>
        <v>19.229648495085993</v>
      </c>
      <c r="H103" s="221">
        <f t="shared" si="45"/>
        <v>1.2819765663390661</v>
      </c>
      <c r="I103" s="451">
        <f t="shared" si="33"/>
        <v>40.700000000000003</v>
      </c>
      <c r="J103" s="176">
        <f t="shared" si="34"/>
        <v>1.35</v>
      </c>
      <c r="K103" s="176">
        <f t="shared" si="46"/>
        <v>0.56083086053412456</v>
      </c>
      <c r="L103" s="176">
        <f t="shared" si="36"/>
        <v>0.39622641509433965</v>
      </c>
      <c r="M103" s="451">
        <f t="shared" si="43"/>
        <v>350</v>
      </c>
      <c r="N103" s="201">
        <f t="shared" si="37"/>
        <v>350</v>
      </c>
      <c r="O103" s="221">
        <f t="shared" si="47"/>
        <v>4.0302111016396731</v>
      </c>
      <c r="P103" s="177">
        <f t="shared" si="48"/>
        <v>1.1828711828711826</v>
      </c>
      <c r="Q103" s="177">
        <f t="shared" si="49"/>
        <v>1.2513954004169869</v>
      </c>
      <c r="R103" s="177">
        <f t="shared" si="41"/>
        <v>0.24067085953878403</v>
      </c>
    </row>
    <row r="104" spans="3:18" x14ac:dyDescent="0.25">
      <c r="C104" s="174">
        <v>98</v>
      </c>
      <c r="D104" s="5">
        <f t="shared" si="50"/>
        <v>16.899999999999999</v>
      </c>
      <c r="E104" s="451">
        <f t="shared" si="29"/>
        <v>23.85</v>
      </c>
      <c r="F104" s="221">
        <f t="shared" si="30"/>
        <v>0.58527607361963196</v>
      </c>
      <c r="G104" s="176">
        <f t="shared" si="44"/>
        <v>19.263045092024537</v>
      </c>
      <c r="H104" s="221">
        <f t="shared" si="45"/>
        <v>1.2842030061349692</v>
      </c>
      <c r="I104" s="451">
        <f t="shared" si="33"/>
        <v>40.75</v>
      </c>
      <c r="J104" s="176">
        <f t="shared" si="34"/>
        <v>1.35</v>
      </c>
      <c r="K104" s="176">
        <f t="shared" si="46"/>
        <v>0.55917159763313629</v>
      </c>
      <c r="L104" s="176">
        <f t="shared" si="36"/>
        <v>0.39622641509433965</v>
      </c>
      <c r="M104" s="451">
        <f t="shared" si="43"/>
        <v>350</v>
      </c>
      <c r="N104" s="201">
        <f t="shared" si="37"/>
        <v>350</v>
      </c>
      <c r="O104" s="221">
        <f t="shared" si="47"/>
        <v>4.0372104670088893</v>
      </c>
      <c r="P104" s="177">
        <f t="shared" si="48"/>
        <v>1.1849255039439086</v>
      </c>
      <c r="Q104" s="177">
        <f t="shared" si="49"/>
        <v>1.2557458323763844</v>
      </c>
      <c r="R104" s="177">
        <f t="shared" si="41"/>
        <v>0.24067085953878403</v>
      </c>
    </row>
    <row r="105" spans="3:18" x14ac:dyDescent="0.25">
      <c r="C105" s="174">
        <v>99</v>
      </c>
      <c r="D105" s="5">
        <f t="shared" si="50"/>
        <v>16.95</v>
      </c>
      <c r="E105" s="451">
        <f t="shared" si="29"/>
        <v>23.85</v>
      </c>
      <c r="F105" s="221">
        <f t="shared" si="30"/>
        <v>0.5845588235294118</v>
      </c>
      <c r="G105" s="176">
        <f t="shared" si="44"/>
        <v>19.296359834558821</v>
      </c>
      <c r="H105" s="221">
        <f t="shared" si="45"/>
        <v>1.286423988970588</v>
      </c>
      <c r="I105" s="451">
        <f t="shared" si="33"/>
        <v>40.799999999999997</v>
      </c>
      <c r="J105" s="176">
        <f t="shared" si="34"/>
        <v>1.35</v>
      </c>
      <c r="K105" s="176">
        <f t="shared" si="46"/>
        <v>0.5575221238938054</v>
      </c>
      <c r="L105" s="176">
        <f t="shared" si="36"/>
        <v>0.39622641509433965</v>
      </c>
      <c r="M105" s="451">
        <f t="shared" si="43"/>
        <v>350</v>
      </c>
      <c r="N105" s="201">
        <f t="shared" si="37"/>
        <v>350</v>
      </c>
      <c r="O105" s="221">
        <f t="shared" si="47"/>
        <v>4.0441926770708285</v>
      </c>
      <c r="P105" s="177">
        <f t="shared" si="48"/>
        <v>1.1869747899159664</v>
      </c>
      <c r="Q105" s="177">
        <f t="shared" si="49"/>
        <v>1.260093122727032</v>
      </c>
      <c r="R105" s="177">
        <f t="shared" si="41"/>
        <v>0.24067085953878403</v>
      </c>
    </row>
    <row r="106" spans="3:18" x14ac:dyDescent="0.25">
      <c r="C106" s="174">
        <v>100</v>
      </c>
      <c r="D106" s="5">
        <f t="shared" si="50"/>
        <v>17</v>
      </c>
      <c r="E106" s="451">
        <f t="shared" si="29"/>
        <v>23.85</v>
      </c>
      <c r="F106" s="221">
        <f t="shared" si="30"/>
        <v>0.58384332925336602</v>
      </c>
      <c r="G106" s="176">
        <f t="shared" si="44"/>
        <v>19.329593023255811</v>
      </c>
      <c r="H106" s="221">
        <f t="shared" si="45"/>
        <v>1.2886395348837207</v>
      </c>
      <c r="I106" s="451">
        <f t="shared" si="33"/>
        <v>40.85</v>
      </c>
      <c r="J106" s="176">
        <f t="shared" si="34"/>
        <v>1.35</v>
      </c>
      <c r="K106" s="176">
        <f t="shared" si="46"/>
        <v>0.55588235294117649</v>
      </c>
      <c r="L106" s="176">
        <f t="shared" si="36"/>
        <v>0.39622641509433965</v>
      </c>
      <c r="M106" s="451">
        <f t="shared" si="43"/>
        <v>350</v>
      </c>
      <c r="N106" s="201">
        <f t="shared" si="37"/>
        <v>350</v>
      </c>
      <c r="O106" s="221">
        <f t="shared" si="47"/>
        <v>4.0511577948192743</v>
      </c>
      <c r="P106" s="177">
        <f t="shared" si="48"/>
        <v>1.1890190592760972</v>
      </c>
      <c r="Q106" s="177">
        <f t="shared" si="49"/>
        <v>1.2644372554209482</v>
      </c>
      <c r="R106" s="177">
        <f t="shared" si="41"/>
        <v>0.24067085953878403</v>
      </c>
    </row>
  </sheetData>
  <mergeCells count="1">
    <mergeCell ref="F4:O4"/>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CC133"/>
  <sheetViews>
    <sheetView showWhiteSpace="0" zoomScaleNormal="100" workbookViewId="0">
      <pane ySplit="5" topLeftCell="A9" activePane="bottomLeft" state="frozen"/>
      <selection pane="bottomLeft" activeCell="B26" sqref="B26"/>
    </sheetView>
  </sheetViews>
  <sheetFormatPr defaultColWidth="9.109375" defaultRowHeight="13.2" x14ac:dyDescent="0.25"/>
  <cols>
    <col min="1" max="1" width="15.6640625" style="174" customWidth="1"/>
    <col min="2" max="2" width="11.5546875" style="174" customWidth="1"/>
    <col min="3" max="3" width="9.109375" style="174"/>
    <col min="4" max="4" width="12.44140625" style="174" bestFit="1" customWidth="1"/>
    <col min="5" max="5" width="51.44140625" style="174" customWidth="1"/>
    <col min="6" max="6" width="13.44140625" style="174" customWidth="1"/>
    <col min="7" max="7" width="10" style="174" customWidth="1"/>
    <col min="8" max="8" width="6.88671875" style="174" customWidth="1"/>
    <col min="9" max="9" width="12.44140625" style="174" bestFit="1" customWidth="1"/>
    <col min="10" max="10" width="9.109375" style="220" customWidth="1"/>
    <col min="11" max="11" width="8.88671875"/>
    <col min="13" max="13" width="10.88671875" customWidth="1"/>
    <col min="14" max="14" width="12" style="174" customWidth="1"/>
    <col min="15" max="15" width="12.6640625" style="220" customWidth="1"/>
    <col min="16" max="16" width="11.44140625" style="220" customWidth="1"/>
    <col min="17" max="17" width="12.44140625" style="220" customWidth="1"/>
    <col min="18" max="19" width="10.5546875" style="201" customWidth="1"/>
    <col min="20" max="20" width="10" style="201" customWidth="1"/>
    <col min="21" max="21" width="10.5546875" style="201" customWidth="1"/>
    <col min="22" max="22" width="8.44140625" style="220" customWidth="1"/>
    <col min="23" max="23" width="9.33203125" style="220" customWidth="1"/>
    <col min="24" max="24" width="9.44140625" style="174" customWidth="1"/>
    <col min="25" max="25" width="9.44140625" style="220" customWidth="1"/>
    <col min="26" max="26" width="8.33203125" style="221" customWidth="1"/>
    <col min="27" max="27" width="9.5546875" style="220" customWidth="1"/>
    <col min="28" max="28" width="9.44140625" style="220" bestFit="1" customWidth="1"/>
    <col min="29" max="29" width="8.5546875" style="220" customWidth="1"/>
    <col min="30" max="30" width="9.6640625" style="222" customWidth="1"/>
    <col min="31" max="31" width="9.109375" style="222" customWidth="1"/>
    <col min="32" max="32" width="8.109375" style="220" customWidth="1"/>
    <col min="33" max="33" width="10.33203125" style="220" customWidth="1"/>
    <col min="34" max="34" width="9.44140625" style="220" customWidth="1"/>
    <col min="35" max="35" width="8.88671875"/>
    <col min="36" max="36" width="9.6640625" style="220" customWidth="1"/>
    <col min="37" max="37" width="11.5546875" style="220" customWidth="1"/>
    <col min="38" max="38" width="10.109375" style="220" customWidth="1"/>
    <col min="39" max="39" width="11.109375" style="220" customWidth="1"/>
    <col min="40" max="40" width="9.109375" style="220"/>
    <col min="41" max="41" width="10.33203125" style="220" customWidth="1"/>
    <col min="42" max="42" width="9.88671875" style="220" customWidth="1"/>
    <col min="43" max="43" width="9.6640625" style="220" customWidth="1"/>
    <col min="44" max="44" width="10.33203125" style="220" customWidth="1"/>
    <col min="45" max="45" width="10.109375" style="220" customWidth="1"/>
    <col min="46" max="46" width="10.44140625" style="220" customWidth="1"/>
    <col min="47" max="47" width="11.33203125" style="220" customWidth="1"/>
    <col min="48" max="48" width="11.6640625" style="220" customWidth="1"/>
    <col min="49" max="49" width="10.44140625" style="220" customWidth="1"/>
    <col min="50" max="50" width="11.44140625" style="220" customWidth="1"/>
    <col min="51" max="51" width="10.109375" style="220" customWidth="1"/>
    <col min="52" max="52" width="10" style="176" bestFit="1" customWidth="1"/>
    <col min="53" max="55" width="12.6640625" style="349" customWidth="1"/>
    <col min="56" max="56" width="14" style="349" customWidth="1"/>
    <col min="57" max="57" width="12.88671875" style="349" customWidth="1"/>
    <col min="58" max="58" width="10.44140625" style="349" customWidth="1"/>
    <col min="59" max="59" width="9" style="349" customWidth="1"/>
    <col min="60" max="60" width="8.88671875" style="349" customWidth="1"/>
    <col min="61" max="61" width="10.88671875" style="349" customWidth="1"/>
    <col min="62" max="62" width="11.109375" style="349" customWidth="1"/>
    <col min="63" max="64" width="9.109375" style="349"/>
    <col min="65" max="65" width="8.88671875" style="176" customWidth="1"/>
    <col min="66" max="66" width="9.109375" style="221"/>
    <col min="67" max="67" width="12.5546875" style="174" customWidth="1"/>
    <col min="68" max="68" width="13.5546875" style="176" customWidth="1"/>
    <col min="69" max="69" width="12.6640625" style="201" customWidth="1"/>
    <col min="70" max="70" width="3.6640625" style="174" customWidth="1"/>
    <col min="71" max="71" width="12.44140625" style="174" bestFit="1" customWidth="1"/>
    <col min="72" max="72" width="3.5546875" style="174" customWidth="1"/>
    <col min="73" max="73" width="9.109375" style="176"/>
    <col min="74" max="74" width="11.109375" style="176" customWidth="1"/>
    <col min="75" max="75" width="9.109375" style="176"/>
    <col min="76" max="76" width="4.6640625" style="174" customWidth="1"/>
    <col min="77" max="77" width="3.6640625" style="174" customWidth="1"/>
    <col min="78" max="78" width="12.44140625" style="174" customWidth="1"/>
    <col min="79" max="79" width="11.88671875" style="174" customWidth="1"/>
    <col min="80" max="80" width="11.5546875" style="174" customWidth="1"/>
    <col min="81" max="81" width="11.6640625" style="174" customWidth="1"/>
    <col min="82" max="82" width="9.109375" style="174"/>
    <col min="83" max="83" width="9.109375" style="174" customWidth="1"/>
    <col min="84" max="16384" width="9.109375" style="174"/>
  </cols>
  <sheetData>
    <row r="1" spans="1:81" x14ac:dyDescent="0.25">
      <c r="A1" s="707" t="s">
        <v>688</v>
      </c>
      <c r="B1" s="707"/>
      <c r="C1" s="707"/>
      <c r="D1" s="707"/>
      <c r="E1" s="707"/>
    </row>
    <row r="2" spans="1:81" ht="15.6" x14ac:dyDescent="0.25">
      <c r="A2" s="707"/>
      <c r="B2" s="707"/>
      <c r="C2" s="707"/>
      <c r="D2" s="707"/>
      <c r="E2" s="707"/>
      <c r="G2" s="708" t="s">
        <v>22</v>
      </c>
      <c r="H2" s="708"/>
      <c r="AF2" s="220">
        <v>1.9257738538542499E-2</v>
      </c>
      <c r="AG2" s="220">
        <v>7.417209872377299E-4</v>
      </c>
      <c r="AH2" s="220">
        <v>1.2403450565440797E-3</v>
      </c>
      <c r="AI2">
        <v>20</v>
      </c>
      <c r="AJ2" s="220">
        <v>7.1523178807947021</v>
      </c>
      <c r="AK2" s="220">
        <v>0</v>
      </c>
      <c r="AL2" s="220">
        <v>8.3629954314142624E-4</v>
      </c>
      <c r="AM2" s="220">
        <v>1.5780205303791562E-3</v>
      </c>
      <c r="AO2" s="272" t="e">
        <f>Ifb</f>
        <v>#NAME?</v>
      </c>
    </row>
    <row r="3" spans="1:81" ht="13.8" thickBot="1" x14ac:dyDescent="0.3">
      <c r="A3" s="707"/>
      <c r="B3" s="707"/>
      <c r="C3" s="707"/>
      <c r="D3" s="707"/>
      <c r="E3" s="707"/>
    </row>
    <row r="4" spans="1:81" ht="13.8" thickBot="1" x14ac:dyDescent="0.3">
      <c r="A4" s="709"/>
      <c r="B4" s="709"/>
      <c r="C4" s="709"/>
      <c r="D4" s="709"/>
      <c r="E4" s="709"/>
      <c r="H4" s="224" t="s">
        <v>23</v>
      </c>
      <c r="I4" s="225"/>
      <c r="J4" s="226"/>
      <c r="K4" s="710" t="s">
        <v>190</v>
      </c>
      <c r="L4" s="701"/>
      <c r="M4" s="702"/>
      <c r="N4" s="702"/>
      <c r="O4" s="702"/>
      <c r="P4" s="701"/>
      <c r="Q4" s="701"/>
      <c r="R4" s="702"/>
      <c r="S4" s="702"/>
      <c r="T4" s="702"/>
      <c r="U4" s="704"/>
      <c r="V4" s="227" t="s">
        <v>191</v>
      </c>
      <c r="W4" s="228"/>
      <c r="X4" s="229"/>
      <c r="Y4" s="230"/>
      <c r="Z4" s="231" t="s">
        <v>14</v>
      </c>
      <c r="AA4" s="232"/>
      <c r="AB4" s="226"/>
      <c r="AC4" s="233" t="s">
        <v>28</v>
      </c>
      <c r="AD4" s="234"/>
      <c r="AE4" s="235"/>
      <c r="AF4" s="227" t="s">
        <v>192</v>
      </c>
      <c r="AG4" s="228"/>
      <c r="AH4" s="228"/>
      <c r="AI4" s="450"/>
      <c r="AJ4" s="450"/>
      <c r="AK4" s="228"/>
      <c r="AL4" s="228"/>
      <c r="AM4" s="226"/>
      <c r="AN4" s="236" t="s">
        <v>193</v>
      </c>
      <c r="AO4" s="237"/>
      <c r="AP4" s="237"/>
      <c r="AQ4" s="459" t="s">
        <v>194</v>
      </c>
      <c r="AR4" s="460"/>
      <c r="AS4" s="460"/>
      <c r="AT4" s="237"/>
      <c r="AU4" s="238"/>
      <c r="AV4" s="239"/>
      <c r="AW4" s="240"/>
      <c r="AX4" s="227" t="s">
        <v>180</v>
      </c>
      <c r="AY4" s="228"/>
      <c r="AZ4" s="229"/>
      <c r="BA4" s="350"/>
      <c r="BB4" s="350"/>
      <c r="BC4" s="350"/>
      <c r="BD4" s="350"/>
      <c r="BE4" s="350"/>
      <c r="BF4" s="350"/>
      <c r="BG4" s="350"/>
      <c r="BH4" s="350"/>
      <c r="BI4" s="350"/>
      <c r="BJ4" s="350"/>
      <c r="BK4" s="350"/>
      <c r="BL4" s="350"/>
      <c r="BM4" s="343"/>
      <c r="BN4" s="347"/>
      <c r="BO4" s="229"/>
      <c r="BP4" s="345"/>
      <c r="BQ4" s="456"/>
      <c r="BR4" s="457"/>
      <c r="BS4" s="457"/>
      <c r="BT4" s="457"/>
      <c r="BU4" s="457"/>
      <c r="BV4" s="457"/>
      <c r="BW4" s="457"/>
      <c r="BX4" s="457"/>
      <c r="BY4" s="457"/>
      <c r="BZ4" s="457"/>
      <c r="CA4" s="457"/>
      <c r="CB4" s="457"/>
      <c r="CC4" s="458"/>
    </row>
    <row r="5" spans="1:81" ht="78" customHeight="1" thickBot="1" x14ac:dyDescent="0.55000000000000004">
      <c r="A5" s="241" t="s">
        <v>42</v>
      </c>
      <c r="B5" s="242"/>
      <c r="C5" s="242"/>
      <c r="D5" s="243"/>
      <c r="E5" s="244"/>
      <c r="F5" s="193"/>
      <c r="G5" s="193"/>
      <c r="H5" s="245" t="s">
        <v>25</v>
      </c>
      <c r="I5" s="246" t="s">
        <v>195</v>
      </c>
      <c r="J5" s="247" t="s">
        <v>196</v>
      </c>
      <c r="K5" s="255" t="s">
        <v>326</v>
      </c>
      <c r="L5" s="248" t="s">
        <v>48</v>
      </c>
      <c r="M5" s="248" t="s">
        <v>327</v>
      </c>
      <c r="N5" s="452" t="s">
        <v>197</v>
      </c>
      <c r="O5" s="539" t="s">
        <v>415</v>
      </c>
      <c r="P5" s="539" t="s">
        <v>416</v>
      </c>
      <c r="Q5" s="539" t="s">
        <v>417</v>
      </c>
      <c r="R5" s="249" t="s">
        <v>198</v>
      </c>
      <c r="S5" s="250" t="s">
        <v>199</v>
      </c>
      <c r="T5" s="250" t="s">
        <v>200</v>
      </c>
      <c r="U5" s="249" t="s">
        <v>331</v>
      </c>
      <c r="V5" s="251" t="s">
        <v>201</v>
      </c>
      <c r="W5" s="248" t="s">
        <v>202</v>
      </c>
      <c r="X5" s="246" t="s">
        <v>203</v>
      </c>
      <c r="Y5" s="247" t="s">
        <v>204</v>
      </c>
      <c r="Z5" s="252" t="s">
        <v>201</v>
      </c>
      <c r="AA5" s="248" t="s">
        <v>205</v>
      </c>
      <c r="AB5" s="247" t="s">
        <v>206</v>
      </c>
      <c r="AC5" s="251" t="s">
        <v>201</v>
      </c>
      <c r="AD5" s="253" t="s">
        <v>207</v>
      </c>
      <c r="AE5" s="254" t="s">
        <v>208</v>
      </c>
      <c r="AF5" s="251" t="s">
        <v>201</v>
      </c>
      <c r="AG5" s="248" t="s">
        <v>209</v>
      </c>
      <c r="AH5" s="248" t="s">
        <v>210</v>
      </c>
      <c r="AI5" s="248" t="s">
        <v>328</v>
      </c>
      <c r="AJ5" s="248" t="s">
        <v>325</v>
      </c>
      <c r="AK5" s="248" t="s">
        <v>211</v>
      </c>
      <c r="AL5" s="255" t="s">
        <v>212</v>
      </c>
      <c r="AM5" s="247" t="s">
        <v>213</v>
      </c>
      <c r="AN5" s="256" t="s">
        <v>201</v>
      </c>
      <c r="AO5" s="257" t="s">
        <v>214</v>
      </c>
      <c r="AP5" s="257" t="s">
        <v>215</v>
      </c>
      <c r="AQ5" s="257" t="s">
        <v>216</v>
      </c>
      <c r="AR5" s="257" t="s">
        <v>217</v>
      </c>
      <c r="AS5" s="258" t="s">
        <v>218</v>
      </c>
      <c r="AT5" s="256" t="s">
        <v>219</v>
      </c>
      <c r="AU5" s="256" t="s">
        <v>220</v>
      </c>
      <c r="AV5" s="256" t="s">
        <v>221</v>
      </c>
      <c r="AW5" s="259" t="s">
        <v>222</v>
      </c>
      <c r="AX5" s="251" t="s">
        <v>223</v>
      </c>
      <c r="AY5" s="248" t="s">
        <v>224</v>
      </c>
      <c r="AZ5" s="260" t="s">
        <v>225</v>
      </c>
      <c r="BA5" s="351" t="s">
        <v>226</v>
      </c>
      <c r="BB5" s="351" t="s">
        <v>227</v>
      </c>
      <c r="BC5" s="351" t="s">
        <v>228</v>
      </c>
      <c r="BD5" s="351" t="s">
        <v>229</v>
      </c>
      <c r="BE5" s="351" t="s">
        <v>230</v>
      </c>
      <c r="BF5" s="351" t="s">
        <v>231</v>
      </c>
      <c r="BG5" s="351" t="s">
        <v>232</v>
      </c>
      <c r="BH5" s="352" t="s">
        <v>233</v>
      </c>
      <c r="BI5" s="353" t="s">
        <v>234</v>
      </c>
      <c r="BJ5" s="354" t="s">
        <v>235</v>
      </c>
      <c r="BK5" s="355" t="s">
        <v>236</v>
      </c>
      <c r="BL5" s="354" t="s">
        <v>282</v>
      </c>
      <c r="BM5" s="344" t="s">
        <v>237</v>
      </c>
      <c r="BN5" s="348" t="s">
        <v>238</v>
      </c>
      <c r="BO5" s="261" t="s">
        <v>239</v>
      </c>
      <c r="BP5" s="346" t="s">
        <v>239</v>
      </c>
      <c r="BQ5" s="262" t="s">
        <v>240</v>
      </c>
      <c r="BR5" s="263"/>
      <c r="BS5" s="264" t="s">
        <v>241</v>
      </c>
      <c r="BT5" s="263"/>
      <c r="BU5" s="358" t="s">
        <v>284</v>
      </c>
      <c r="BV5" s="359" t="s">
        <v>285</v>
      </c>
      <c r="BW5" s="455" t="s">
        <v>283</v>
      </c>
      <c r="BX5" s="263"/>
      <c r="BY5" s="263"/>
      <c r="BZ5" s="454" t="s">
        <v>290</v>
      </c>
      <c r="CA5" s="259" t="s">
        <v>344</v>
      </c>
      <c r="CB5" s="359" t="s">
        <v>292</v>
      </c>
      <c r="CC5" s="455" t="s">
        <v>291</v>
      </c>
    </row>
    <row r="6" spans="1:81" x14ac:dyDescent="0.25">
      <c r="A6" s="265" t="s">
        <v>26</v>
      </c>
      <c r="B6" s="266" t="s">
        <v>43</v>
      </c>
      <c r="C6" s="267" t="s">
        <v>33</v>
      </c>
      <c r="D6" s="268" t="s">
        <v>90</v>
      </c>
      <c r="E6" s="269" t="s">
        <v>41</v>
      </c>
      <c r="F6" s="270"/>
      <c r="G6" s="270"/>
      <c r="H6" s="174">
        <v>0.1</v>
      </c>
      <c r="I6" s="465">
        <f t="shared" ref="I6:I37" si="0">IF(PLOT_TYPE=1, H6/100*Iout_max, min_I*EXP(H6*rr/100))</f>
        <v>1E-3</v>
      </c>
      <c r="J6" s="221"/>
      <c r="K6" s="221"/>
      <c r="L6" s="221"/>
      <c r="M6" s="221"/>
      <c r="N6" s="271"/>
      <c r="O6" s="176"/>
      <c r="P6" s="221"/>
      <c r="Q6" s="451"/>
      <c r="S6" s="272"/>
      <c r="T6" s="272"/>
      <c r="U6" s="272"/>
      <c r="AJ6" s="451"/>
      <c r="AY6" s="220">
        <f>Vout*I6</f>
        <v>1.4999999999999999E-2</v>
      </c>
      <c r="AZ6" s="273">
        <f>AY6/(AY6+AX6)</f>
        <v>1</v>
      </c>
      <c r="BA6" s="349">
        <f t="shared" ref="BA6:BA9" si="1">AG6/($AY6+$AX6)</f>
        <v>0</v>
      </c>
      <c r="BB6" s="349">
        <f>AO6/($AY6+$AX6)</f>
        <v>0</v>
      </c>
      <c r="BC6" s="349" t="e">
        <f t="shared" ref="BC6:BC9" si="2">Vin*R6*(QgBot+Qg)/($AY6+$AX6)</f>
        <v>#NAME?</v>
      </c>
      <c r="BD6" s="349">
        <f t="shared" ref="BD6:BD9" si="3">AK6/($AY6+$AX6)</f>
        <v>0</v>
      </c>
      <c r="BE6" s="349">
        <f t="shared" ref="BE6:BE9" si="4">AQ6/(AX6+AY6)</f>
        <v>0</v>
      </c>
      <c r="BF6" s="349">
        <f t="shared" ref="BF6:BF9" si="5">AR6/($AY6+$AX6)</f>
        <v>0</v>
      </c>
      <c r="BG6" s="349">
        <f t="shared" ref="BG6:BG9" si="6">W6/($AY6+$AX6)</f>
        <v>0</v>
      </c>
      <c r="BH6" s="349">
        <f t="shared" ref="BH6:BH9" si="7">X6/($AY6+$AX6)</f>
        <v>0</v>
      </c>
      <c r="BI6" s="349">
        <f t="shared" ref="BI6:BI9" si="8">(AB6+AE6)/($AY6+$AX6)</f>
        <v>0</v>
      </c>
      <c r="BJ6" s="223">
        <f>AT6/($AY6+$AX6)</f>
        <v>0</v>
      </c>
      <c r="BK6" s="223">
        <f>AX6/($AY6+$AX6)</f>
        <v>0</v>
      </c>
      <c r="BL6" s="223">
        <f>AZ6</f>
        <v>1</v>
      </c>
      <c r="BM6" s="176">
        <f>100*BL6</f>
        <v>100</v>
      </c>
      <c r="BN6" s="221" t="e">
        <f xml:space="preserve"> CHOOSE(MODE, I6*1000,#REF!)</f>
        <v>#REF!</v>
      </c>
      <c r="BO6" s="176">
        <v>59.702372085750142</v>
      </c>
      <c r="BP6" s="223">
        <f>BO6/100</f>
        <v>0.59702372085750144</v>
      </c>
      <c r="BQ6" s="274">
        <f t="shared" ref="BQ6:BQ9" si="9">R6/1000</f>
        <v>0</v>
      </c>
      <c r="BR6" s="275"/>
      <c r="BS6" s="223">
        <f>AL6/($AY6+$AX6)</f>
        <v>0</v>
      </c>
      <c r="BT6" s="276"/>
      <c r="BU6" s="176">
        <f>1000*AW6</f>
        <v>0</v>
      </c>
      <c r="BV6" s="176">
        <f>1000*AU6</f>
        <v>0</v>
      </c>
      <c r="BW6" s="176">
        <f t="shared" ref="BW6:BW9" si="10">1000*Y6</f>
        <v>0</v>
      </c>
      <c r="BX6" s="223"/>
      <c r="BY6" s="223"/>
      <c r="BZ6" s="176" t="e">
        <f xml:space="preserve"> IF(MODE=1, BM6,#REF!)</f>
        <v>#REF!</v>
      </c>
      <c r="CA6" s="176" t="e">
        <f xml:space="preserve"> IF(MODE=1, BU6,#REF!)</f>
        <v>#REF!</v>
      </c>
      <c r="CB6" s="176" t="e">
        <f xml:space="preserve"> IF(MODE=1, BV6,#REF!)</f>
        <v>#REF!</v>
      </c>
      <c r="CC6" s="176" t="e">
        <f xml:space="preserve"> IF(MODE=1, BW6,#REF!)</f>
        <v>#REF!</v>
      </c>
    </row>
    <row r="7" spans="1:81" x14ac:dyDescent="0.25">
      <c r="A7" s="422"/>
      <c r="B7" s="266"/>
      <c r="C7" s="267"/>
      <c r="D7" s="268"/>
      <c r="E7" s="269"/>
      <c r="F7" s="270"/>
      <c r="G7" s="270"/>
      <c r="H7" s="174">
        <v>1</v>
      </c>
      <c r="I7" s="465">
        <f t="shared" si="0"/>
        <v>0.01</v>
      </c>
      <c r="J7" s="221"/>
      <c r="K7" s="221"/>
      <c r="L7" s="221"/>
      <c r="M7" s="221"/>
      <c r="N7" s="271"/>
      <c r="O7" s="176"/>
      <c r="P7" s="221"/>
      <c r="Q7" s="451"/>
      <c r="S7" s="272"/>
      <c r="T7" s="272"/>
      <c r="U7" s="272"/>
      <c r="AJ7" s="451"/>
      <c r="AY7" s="220">
        <f>Vout*I7</f>
        <v>0.15</v>
      </c>
      <c r="AZ7" s="273">
        <f>AY7/(AY7+AX7)</f>
        <v>1</v>
      </c>
      <c r="BA7" s="349">
        <f t="shared" si="1"/>
        <v>0</v>
      </c>
      <c r="BB7" s="349">
        <f>AO7/($AY7+$AX7)</f>
        <v>0</v>
      </c>
      <c r="BC7" s="349" t="e">
        <f t="shared" si="2"/>
        <v>#NAME?</v>
      </c>
      <c r="BD7" s="349">
        <f t="shared" ref="BD7" si="11">AK7/($AY7+$AX7)</f>
        <v>0</v>
      </c>
      <c r="BE7" s="349">
        <f t="shared" ref="BE7" si="12">AQ7/(AX7+AY7)</f>
        <v>0</v>
      </c>
      <c r="BF7" s="349">
        <f t="shared" ref="BF7" si="13">AR7/($AY7+$AX7)</f>
        <v>0</v>
      </c>
      <c r="BG7" s="349">
        <f t="shared" si="6"/>
        <v>0</v>
      </c>
      <c r="BH7" s="349">
        <f t="shared" si="7"/>
        <v>0</v>
      </c>
      <c r="BI7" s="349">
        <f t="shared" si="8"/>
        <v>0</v>
      </c>
      <c r="BJ7" s="223">
        <f>AT7/($AY7+$AX7)</f>
        <v>0</v>
      </c>
      <c r="BK7" s="223">
        <f t="shared" ref="BK7:BK9" si="14">AX7/($AY7+$AX7)</f>
        <v>0</v>
      </c>
      <c r="BL7" s="223">
        <f>AZ7</f>
        <v>1</v>
      </c>
      <c r="BM7" s="176">
        <f>100*BL7</f>
        <v>100</v>
      </c>
      <c r="BN7" s="221" t="e">
        <f xml:space="preserve"> CHOOSE(MODE, I7*1000,#REF!)</f>
        <v>#REF!</v>
      </c>
      <c r="BO7" s="176">
        <v>83.682599061581868</v>
      </c>
      <c r="BP7" s="223">
        <f t="shared" ref="BP7:BP9" si="15">BO7/100</f>
        <v>0.83682599061581864</v>
      </c>
      <c r="BQ7" s="274">
        <f t="shared" si="9"/>
        <v>0</v>
      </c>
      <c r="BR7" s="275"/>
      <c r="BS7" s="223">
        <f>AL7/($AY7+$AX7)</f>
        <v>0</v>
      </c>
      <c r="BT7" s="276"/>
      <c r="BU7" s="176">
        <f>1000*AW7</f>
        <v>0</v>
      </c>
      <c r="BV7" s="176">
        <f>1000*AU7</f>
        <v>0</v>
      </c>
      <c r="BW7" s="176">
        <f t="shared" si="10"/>
        <v>0</v>
      </c>
      <c r="BX7" s="223"/>
      <c r="BY7" s="223"/>
      <c r="BZ7" s="176" t="e">
        <f xml:space="preserve"> IF(MODE=1, BM7,#REF!)</f>
        <v>#REF!</v>
      </c>
      <c r="CA7" s="176" t="e">
        <f xml:space="preserve"> IF(MODE=1, BU7,#REF!)</f>
        <v>#REF!</v>
      </c>
      <c r="CB7" s="176" t="e">
        <f xml:space="preserve"> IF(MODE=1, BV7,#REF!)</f>
        <v>#REF!</v>
      </c>
      <c r="CC7" s="176" t="e">
        <f xml:space="preserve"> IF(MODE=1, BW7,#REF!)</f>
        <v>#REF!</v>
      </c>
    </row>
    <row r="8" spans="1:81" x14ac:dyDescent="0.25">
      <c r="A8" s="277" t="s">
        <v>3</v>
      </c>
      <c r="B8" s="278">
        <f>Vin</f>
        <v>15</v>
      </c>
      <c r="C8" s="279" t="s">
        <v>0</v>
      </c>
      <c r="D8" s="198">
        <f>B8</f>
        <v>15</v>
      </c>
      <c r="E8" s="192" t="s">
        <v>3</v>
      </c>
      <c r="F8" s="270"/>
      <c r="G8" s="270"/>
      <c r="H8" s="174">
        <v>2</v>
      </c>
      <c r="I8" s="465">
        <f t="shared" si="0"/>
        <v>0.02</v>
      </c>
      <c r="J8" s="221"/>
      <c r="K8" s="221"/>
      <c r="L8" s="221"/>
      <c r="M8" s="221"/>
      <c r="N8" s="271"/>
      <c r="O8" s="176"/>
      <c r="P8" s="221"/>
      <c r="Q8" s="451"/>
      <c r="S8" s="272"/>
      <c r="T8" s="272"/>
      <c r="U8" s="272"/>
      <c r="AJ8" s="451"/>
      <c r="AY8" s="220">
        <f>Vout*I8</f>
        <v>0.3</v>
      </c>
      <c r="AZ8" s="273">
        <f>AY8/(AY8+AX8)</f>
        <v>1</v>
      </c>
      <c r="BA8" s="349">
        <f t="shared" si="1"/>
        <v>0</v>
      </c>
      <c r="BB8" s="349">
        <f t="shared" ref="BB8:BB9" si="16">AO8/($AY8+$AX8)</f>
        <v>0</v>
      </c>
      <c r="BC8" s="349" t="e">
        <f t="shared" si="2"/>
        <v>#NAME?</v>
      </c>
      <c r="BD8" s="349">
        <f t="shared" si="3"/>
        <v>0</v>
      </c>
      <c r="BE8" s="349">
        <f t="shared" si="4"/>
        <v>0</v>
      </c>
      <c r="BF8" s="349">
        <f t="shared" si="5"/>
        <v>0</v>
      </c>
      <c r="BG8" s="349">
        <f t="shared" si="6"/>
        <v>0</v>
      </c>
      <c r="BH8" s="349">
        <f t="shared" si="7"/>
        <v>0</v>
      </c>
      <c r="BI8" s="349">
        <f t="shared" si="8"/>
        <v>0</v>
      </c>
      <c r="BJ8" s="223">
        <f t="shared" ref="BJ8:BJ9" si="17">AT8/($AY8+$AX8)</f>
        <v>0</v>
      </c>
      <c r="BK8" s="223">
        <f t="shared" si="14"/>
        <v>0</v>
      </c>
      <c r="BL8" s="223">
        <f t="shared" ref="BL8:BL9" si="18">AZ8</f>
        <v>1</v>
      </c>
      <c r="BM8" s="176">
        <f t="shared" ref="BM8:BM9" si="19">100*BL8</f>
        <v>100</v>
      </c>
      <c r="BN8" s="221" t="e">
        <f xml:space="preserve"> CHOOSE(MODE, I8*1000,#REF!)</f>
        <v>#REF!</v>
      </c>
      <c r="BO8" s="176">
        <v>85.591306536493136</v>
      </c>
      <c r="BP8" s="223">
        <f t="shared" si="15"/>
        <v>0.85591306536493139</v>
      </c>
      <c r="BQ8" s="274">
        <f t="shared" si="9"/>
        <v>0</v>
      </c>
      <c r="BR8" s="275"/>
      <c r="BS8" s="223">
        <f t="shared" ref="BS8:BS9" si="20">AL8/($AY8+$AX8)</f>
        <v>0</v>
      </c>
      <c r="BT8" s="276"/>
      <c r="BU8" s="176">
        <f t="shared" ref="BU8:BU9" si="21">1000*AW8</f>
        <v>0</v>
      </c>
      <c r="BV8" s="176">
        <f t="shared" ref="BV8:BV9" si="22">1000*AU8</f>
        <v>0</v>
      </c>
      <c r="BW8" s="176">
        <f t="shared" si="10"/>
        <v>0</v>
      </c>
      <c r="BX8" s="223"/>
      <c r="BY8" s="223"/>
      <c r="BZ8" s="176" t="e">
        <f xml:space="preserve"> IF(MODE=1, BM8,#REF!)</f>
        <v>#REF!</v>
      </c>
      <c r="CA8" s="176" t="e">
        <f xml:space="preserve"> IF(MODE=1, BU8,#REF!)</f>
        <v>#REF!</v>
      </c>
      <c r="CB8" s="176" t="e">
        <f xml:space="preserve"> IF(MODE=1, BV8,#REF!)</f>
        <v>#REF!</v>
      </c>
      <c r="CC8" s="176" t="e">
        <f xml:space="preserve"> IF(MODE=1, BW8,#REF!)</f>
        <v>#REF!</v>
      </c>
    </row>
    <row r="9" spans="1:81" x14ac:dyDescent="0.25">
      <c r="A9" s="280" t="s">
        <v>4</v>
      </c>
      <c r="B9" s="278">
        <f>Vout</f>
        <v>15</v>
      </c>
      <c r="C9" s="279" t="s">
        <v>0</v>
      </c>
      <c r="D9" s="198">
        <f>B9</f>
        <v>15</v>
      </c>
      <c r="E9" s="192" t="s">
        <v>4</v>
      </c>
      <c r="F9" s="270"/>
      <c r="G9" s="270"/>
      <c r="H9" s="174">
        <v>3</v>
      </c>
      <c r="I9" s="465">
        <f t="shared" si="0"/>
        <v>0.03</v>
      </c>
      <c r="J9" s="221"/>
      <c r="K9" s="221"/>
      <c r="L9" s="221"/>
      <c r="M9" s="221"/>
      <c r="N9" s="271"/>
      <c r="O9" s="176"/>
      <c r="P9" s="221"/>
      <c r="Q9" s="451"/>
      <c r="S9" s="272"/>
      <c r="T9" s="272"/>
      <c r="U9" s="272"/>
      <c r="AJ9" s="451"/>
      <c r="AY9" s="220">
        <f>Vout*I9</f>
        <v>0.44999999999999996</v>
      </c>
      <c r="AZ9" s="273">
        <f t="shared" ref="AZ9" si="23">AY9/(AY9+AX9)</f>
        <v>1</v>
      </c>
      <c r="BA9" s="349">
        <f t="shared" si="1"/>
        <v>0</v>
      </c>
      <c r="BB9" s="349">
        <f t="shared" si="16"/>
        <v>0</v>
      </c>
      <c r="BC9" s="349" t="e">
        <f t="shared" si="2"/>
        <v>#NAME?</v>
      </c>
      <c r="BD9" s="349">
        <f t="shared" si="3"/>
        <v>0</v>
      </c>
      <c r="BE9" s="349">
        <f t="shared" si="4"/>
        <v>0</v>
      </c>
      <c r="BF9" s="349">
        <f t="shared" si="5"/>
        <v>0</v>
      </c>
      <c r="BG9" s="349">
        <f t="shared" si="6"/>
        <v>0</v>
      </c>
      <c r="BH9" s="349">
        <f t="shared" si="7"/>
        <v>0</v>
      </c>
      <c r="BI9" s="349">
        <f t="shared" si="8"/>
        <v>0</v>
      </c>
      <c r="BJ9" s="223">
        <f t="shared" si="17"/>
        <v>0</v>
      </c>
      <c r="BK9" s="223">
        <f t="shared" si="14"/>
        <v>0</v>
      </c>
      <c r="BL9" s="223">
        <f t="shared" si="18"/>
        <v>1</v>
      </c>
      <c r="BM9" s="176">
        <f t="shared" si="19"/>
        <v>100</v>
      </c>
      <c r="BN9" s="221" t="e">
        <f xml:space="preserve"> CHOOSE(MODE, I9*1000,#REF!)</f>
        <v>#REF!</v>
      </c>
      <c r="BO9" s="176">
        <v>86.246143423411425</v>
      </c>
      <c r="BP9" s="223">
        <f t="shared" si="15"/>
        <v>0.86246143423411425</v>
      </c>
      <c r="BQ9" s="274">
        <f t="shared" si="9"/>
        <v>0</v>
      </c>
      <c r="BR9" s="275"/>
      <c r="BS9" s="223">
        <f t="shared" si="20"/>
        <v>0</v>
      </c>
      <c r="BT9" s="276"/>
      <c r="BU9" s="176">
        <f t="shared" si="21"/>
        <v>0</v>
      </c>
      <c r="BV9" s="176">
        <f t="shared" si="22"/>
        <v>0</v>
      </c>
      <c r="BW9" s="176">
        <f t="shared" si="10"/>
        <v>0</v>
      </c>
      <c r="BX9" s="223"/>
      <c r="BY9" s="223"/>
      <c r="BZ9" s="176" t="e">
        <f xml:space="preserve"> IF(MODE=1, BM9,#REF!)</f>
        <v>#REF!</v>
      </c>
      <c r="CA9" s="176" t="e">
        <f xml:space="preserve"> IF(MODE=1, BU9,#REF!)</f>
        <v>#REF!</v>
      </c>
      <c r="CB9" s="176" t="e">
        <f xml:space="preserve"> IF(MODE=1, BV9,#REF!)</f>
        <v>#REF!</v>
      </c>
      <c r="CC9" s="176" t="e">
        <f xml:space="preserve"> IF(MODE=1, BW9,#REF!)</f>
        <v>#REF!</v>
      </c>
    </row>
    <row r="10" spans="1:81" x14ac:dyDescent="0.25">
      <c r="A10" s="280" t="s">
        <v>5</v>
      </c>
      <c r="B10" s="278">
        <f>Iout</f>
        <v>1</v>
      </c>
      <c r="C10" s="279" t="s">
        <v>1</v>
      </c>
      <c r="D10" s="198">
        <f>B10</f>
        <v>1</v>
      </c>
      <c r="E10" s="281" t="s">
        <v>242</v>
      </c>
      <c r="F10" s="270"/>
      <c r="G10" s="270"/>
      <c r="H10" s="174">
        <v>4</v>
      </c>
      <c r="I10" s="465">
        <f t="shared" si="0"/>
        <v>0.04</v>
      </c>
      <c r="J10" s="221"/>
      <c r="K10" s="221"/>
      <c r="L10" s="221"/>
      <c r="M10" s="221"/>
      <c r="N10" s="271"/>
      <c r="O10" s="176"/>
      <c r="P10" s="221"/>
      <c r="Q10" s="451"/>
      <c r="S10" s="272"/>
      <c r="T10" s="272"/>
      <c r="U10" s="272"/>
      <c r="AJ10" s="451"/>
      <c r="AZ10" s="273"/>
      <c r="BJ10" s="223"/>
      <c r="BK10" s="223"/>
      <c r="BL10" s="223"/>
      <c r="BO10" s="176"/>
      <c r="BP10" s="223"/>
      <c r="BQ10" s="274"/>
      <c r="BR10" s="275"/>
      <c r="BS10" s="223"/>
      <c r="BT10" s="276"/>
      <c r="BX10" s="223"/>
      <c r="BY10" s="223"/>
      <c r="BZ10" s="176"/>
      <c r="CA10" s="176"/>
      <c r="CB10" s="176"/>
      <c r="CC10" s="176"/>
    </row>
    <row r="11" spans="1:81" x14ac:dyDescent="0.25">
      <c r="A11" s="280" t="s">
        <v>139</v>
      </c>
      <c r="B11" s="652"/>
      <c r="C11" s="282" t="s">
        <v>243</v>
      </c>
      <c r="D11" s="296">
        <f>B11*1000</f>
        <v>0</v>
      </c>
      <c r="E11" s="281"/>
      <c r="F11" s="270"/>
      <c r="G11" s="270"/>
      <c r="H11" s="174">
        <v>5</v>
      </c>
      <c r="I11" s="465">
        <f t="shared" si="0"/>
        <v>0.05</v>
      </c>
      <c r="J11" s="221"/>
      <c r="K11" s="221"/>
      <c r="L11" s="221"/>
      <c r="M11" s="221"/>
      <c r="N11" s="271"/>
      <c r="O11" s="176"/>
      <c r="P11" s="221"/>
      <c r="Q11" s="451"/>
      <c r="S11" s="272"/>
      <c r="T11" s="272"/>
      <c r="U11" s="272"/>
      <c r="AJ11" s="451"/>
      <c r="AZ11" s="273"/>
      <c r="BJ11" s="223"/>
      <c r="BK11" s="223"/>
      <c r="BL11" s="223"/>
      <c r="BO11" s="176"/>
      <c r="BP11" s="223"/>
      <c r="BQ11" s="274"/>
      <c r="BR11" s="275"/>
      <c r="BS11" s="223"/>
      <c r="BT11" s="276"/>
      <c r="BX11" s="223"/>
      <c r="BY11" s="223"/>
      <c r="BZ11" s="176"/>
      <c r="CA11" s="176"/>
      <c r="CB11" s="176"/>
      <c r="CC11" s="176"/>
    </row>
    <row r="12" spans="1:81" x14ac:dyDescent="0.25">
      <c r="A12" s="280" t="s">
        <v>244</v>
      </c>
      <c r="B12" s="278">
        <v>25</v>
      </c>
      <c r="C12" s="279" t="s">
        <v>102</v>
      </c>
      <c r="D12" s="198">
        <f>B12</f>
        <v>25</v>
      </c>
      <c r="E12" s="281" t="s">
        <v>245</v>
      </c>
      <c r="F12" s="270">
        <f>Turns_Ratio</f>
        <v>5</v>
      </c>
      <c r="H12" s="174">
        <v>6</v>
      </c>
      <c r="I12" s="465">
        <f t="shared" si="0"/>
        <v>0.06</v>
      </c>
      <c r="J12" s="221"/>
      <c r="K12" s="221"/>
      <c r="L12" s="221"/>
      <c r="M12" s="221"/>
      <c r="N12" s="271"/>
      <c r="O12" s="176"/>
      <c r="P12" s="221"/>
      <c r="Q12" s="451"/>
      <c r="S12" s="272"/>
      <c r="T12" s="272"/>
      <c r="U12" s="272"/>
      <c r="AJ12" s="451"/>
      <c r="AZ12" s="273"/>
      <c r="BJ12" s="223"/>
      <c r="BK12" s="223"/>
      <c r="BL12" s="223"/>
      <c r="BO12" s="176"/>
      <c r="BP12" s="223"/>
      <c r="BQ12" s="274"/>
      <c r="BR12" s="275"/>
      <c r="BS12" s="223"/>
      <c r="BT12" s="276"/>
      <c r="BX12" s="223"/>
      <c r="BY12" s="223"/>
      <c r="BZ12" s="176"/>
      <c r="CA12" s="176"/>
      <c r="CB12" s="176"/>
      <c r="CC12" s="176"/>
    </row>
    <row r="13" spans="1:81" x14ac:dyDescent="0.25">
      <c r="A13" s="283" t="s">
        <v>246</v>
      </c>
      <c r="B13" s="284">
        <v>5</v>
      </c>
      <c r="C13" s="279" t="s">
        <v>0</v>
      </c>
      <c r="D13" s="198">
        <f>B13</f>
        <v>5</v>
      </c>
      <c r="E13" s="281"/>
      <c r="F13" s="270"/>
      <c r="G13" s="270"/>
      <c r="H13" s="174">
        <v>7</v>
      </c>
      <c r="I13" s="465">
        <f t="shared" si="0"/>
        <v>7.0000000000000007E-2</v>
      </c>
      <c r="J13" s="221"/>
      <c r="K13" s="221"/>
      <c r="L13" s="221"/>
      <c r="M13" s="221"/>
      <c r="N13" s="271"/>
      <c r="O13" s="176"/>
      <c r="P13" s="221"/>
      <c r="Q13" s="451"/>
      <c r="S13" s="272"/>
      <c r="T13" s="272"/>
      <c r="U13" s="272"/>
      <c r="AJ13" s="451"/>
      <c r="AZ13" s="273"/>
      <c r="BJ13" s="223"/>
      <c r="BK13" s="223"/>
      <c r="BL13" s="223"/>
      <c r="BO13" s="176"/>
      <c r="BP13" s="223"/>
      <c r="BQ13" s="274"/>
      <c r="BR13" s="275"/>
      <c r="BS13" s="223"/>
      <c r="BT13" s="276"/>
      <c r="BX13" s="223"/>
      <c r="BY13" s="223"/>
      <c r="BZ13" s="176"/>
      <c r="CA13" s="176"/>
      <c r="CB13" s="176"/>
      <c r="CC13" s="176"/>
    </row>
    <row r="14" spans="1:81" x14ac:dyDescent="0.25">
      <c r="F14" s="270"/>
      <c r="G14" s="270"/>
      <c r="H14" s="174">
        <v>8</v>
      </c>
      <c r="I14" s="465">
        <f t="shared" si="0"/>
        <v>0.08</v>
      </c>
      <c r="J14" s="221"/>
      <c r="K14" s="221"/>
      <c r="L14" s="221"/>
      <c r="M14" s="221"/>
      <c r="N14" s="271"/>
      <c r="O14" s="176"/>
      <c r="P14" s="221"/>
      <c r="Q14" s="451"/>
      <c r="S14" s="272"/>
      <c r="T14" s="272"/>
      <c r="U14" s="272"/>
      <c r="AJ14" s="451"/>
      <c r="AZ14" s="273"/>
      <c r="BJ14" s="223"/>
      <c r="BK14" s="223"/>
      <c r="BL14" s="223"/>
      <c r="BO14" s="176"/>
      <c r="BP14" s="223"/>
      <c r="BQ14" s="274"/>
      <c r="BR14" s="275"/>
      <c r="BS14" s="223"/>
      <c r="BT14" s="276"/>
      <c r="BX14" s="223"/>
      <c r="BY14" s="223"/>
      <c r="BZ14" s="176"/>
      <c r="CA14" s="176"/>
      <c r="CB14" s="176"/>
      <c r="CC14" s="176"/>
    </row>
    <row r="15" spans="1:81" x14ac:dyDescent="0.25">
      <c r="A15" s="285" t="s">
        <v>34</v>
      </c>
      <c r="B15" s="243"/>
      <c r="C15" s="243"/>
      <c r="D15" s="243"/>
      <c r="E15" s="244"/>
      <c r="F15" s="270"/>
      <c r="G15" s="270"/>
      <c r="H15" s="174">
        <v>9</v>
      </c>
      <c r="I15" s="465">
        <f t="shared" si="0"/>
        <v>0.09</v>
      </c>
      <c r="J15" s="221"/>
      <c r="K15" s="221"/>
      <c r="L15" s="221"/>
      <c r="M15" s="221"/>
      <c r="N15" s="271"/>
      <c r="O15" s="176"/>
      <c r="P15" s="221"/>
      <c r="Q15" s="451"/>
      <c r="S15" s="272"/>
      <c r="T15" s="272"/>
      <c r="U15" s="272"/>
      <c r="AJ15" s="451"/>
      <c r="AZ15" s="273"/>
      <c r="BJ15" s="223"/>
      <c r="BK15" s="223"/>
      <c r="BL15" s="223"/>
      <c r="BO15" s="176"/>
      <c r="BP15" s="223"/>
      <c r="BQ15" s="274"/>
      <c r="BR15" s="275"/>
      <c r="BS15" s="223"/>
      <c r="BT15" s="276"/>
      <c r="BX15" s="223"/>
      <c r="BY15" s="223"/>
      <c r="BZ15" s="176"/>
      <c r="CA15" s="176"/>
      <c r="CB15" s="176"/>
      <c r="CC15" s="176"/>
    </row>
    <row r="16" spans="1:81" x14ac:dyDescent="0.25">
      <c r="A16" s="286" t="s">
        <v>26</v>
      </c>
      <c r="B16" s="266" t="s">
        <v>6</v>
      </c>
      <c r="C16" s="287" t="s">
        <v>33</v>
      </c>
      <c r="D16" s="288" t="s">
        <v>90</v>
      </c>
      <c r="E16" s="269" t="s">
        <v>41</v>
      </c>
      <c r="F16" s="270"/>
      <c r="G16" s="270"/>
      <c r="H16" s="174">
        <v>10</v>
      </c>
      <c r="I16" s="465">
        <f t="shared" si="0"/>
        <v>0.1</v>
      </c>
      <c r="J16" s="221"/>
      <c r="K16" s="221"/>
      <c r="L16" s="221"/>
      <c r="M16" s="221"/>
      <c r="N16" s="271"/>
      <c r="O16" s="176"/>
      <c r="P16" s="221"/>
      <c r="Q16" s="451"/>
      <c r="S16" s="272"/>
      <c r="T16" s="272"/>
      <c r="U16" s="272"/>
      <c r="AJ16" s="451"/>
      <c r="AZ16" s="273"/>
      <c r="BJ16" s="223"/>
      <c r="BK16" s="223"/>
      <c r="BL16" s="223"/>
      <c r="BO16" s="176"/>
      <c r="BP16" s="223"/>
      <c r="BQ16" s="274"/>
      <c r="BR16" s="275"/>
      <c r="BS16" s="223"/>
      <c r="BT16" s="276"/>
      <c r="BX16" s="223"/>
      <c r="BY16" s="223"/>
      <c r="BZ16" s="176"/>
      <c r="CA16" s="176"/>
      <c r="CB16" s="176"/>
      <c r="CC16" s="176"/>
    </row>
    <row r="17" spans="1:81" x14ac:dyDescent="0.25">
      <c r="A17" s="289" t="s">
        <v>247</v>
      </c>
      <c r="B17" s="290">
        <f>Vout/Vin/Fsw*1000000</f>
        <v>4000</v>
      </c>
      <c r="C17" s="291" t="s">
        <v>248</v>
      </c>
      <c r="D17" s="292">
        <f>B17/1000000</f>
        <v>4.0000000000000001E-3</v>
      </c>
      <c r="E17" s="281" t="s">
        <v>249</v>
      </c>
      <c r="F17" s="270"/>
      <c r="G17" s="270"/>
      <c r="H17" s="174">
        <v>11</v>
      </c>
      <c r="I17" s="465">
        <f t="shared" si="0"/>
        <v>0.11</v>
      </c>
      <c r="J17" s="221"/>
      <c r="K17" s="221"/>
      <c r="L17" s="221"/>
      <c r="M17" s="221"/>
      <c r="N17" s="271"/>
      <c r="O17" s="176"/>
      <c r="P17" s="221"/>
      <c r="Q17" s="451"/>
      <c r="S17" s="272"/>
      <c r="T17" s="272"/>
      <c r="U17" s="272"/>
      <c r="AJ17" s="451"/>
      <c r="AZ17" s="273"/>
      <c r="BJ17" s="223"/>
      <c r="BK17" s="223"/>
      <c r="BL17" s="223"/>
      <c r="BO17" s="176"/>
      <c r="BP17" s="223"/>
      <c r="BQ17" s="274"/>
      <c r="BR17" s="275"/>
      <c r="BS17" s="223"/>
      <c r="BT17" s="276"/>
      <c r="BX17" s="223"/>
      <c r="BY17" s="223"/>
      <c r="BZ17" s="176"/>
      <c r="CA17" s="176"/>
      <c r="CB17" s="176"/>
      <c r="CC17" s="176"/>
    </row>
    <row r="18" spans="1:81" x14ac:dyDescent="0.25">
      <c r="A18" s="289" t="s">
        <v>250</v>
      </c>
      <c r="B18" s="290"/>
      <c r="C18" s="291" t="s">
        <v>248</v>
      </c>
      <c r="D18" s="293">
        <f>B18/1000000</f>
        <v>0</v>
      </c>
      <c r="E18" s="279" t="s">
        <v>251</v>
      </c>
      <c r="F18" s="270"/>
      <c r="G18" s="270"/>
      <c r="H18" s="174">
        <v>12</v>
      </c>
      <c r="I18" s="465">
        <f t="shared" si="0"/>
        <v>0.12</v>
      </c>
      <c r="J18" s="221"/>
      <c r="K18" s="221"/>
      <c r="L18" s="221"/>
      <c r="M18" s="221"/>
      <c r="N18" s="271"/>
      <c r="O18" s="176"/>
      <c r="P18" s="221"/>
      <c r="Q18" s="451"/>
      <c r="S18" s="272"/>
      <c r="T18" s="272"/>
      <c r="U18" s="272"/>
      <c r="AJ18" s="451"/>
      <c r="AZ18" s="273"/>
      <c r="BJ18" s="223"/>
      <c r="BK18" s="223"/>
      <c r="BL18" s="223"/>
      <c r="BO18" s="176"/>
      <c r="BP18" s="223"/>
      <c r="BQ18" s="274"/>
      <c r="BR18" s="275"/>
      <c r="BS18" s="223"/>
      <c r="BT18" s="276"/>
      <c r="BX18" s="223"/>
      <c r="BY18" s="223"/>
      <c r="BZ18" s="176"/>
      <c r="CA18" s="176"/>
      <c r="CB18" s="176"/>
      <c r="CC18" s="176"/>
    </row>
    <row r="19" spans="1:81" ht="15.6" x14ac:dyDescent="0.35">
      <c r="A19" s="283" t="s">
        <v>252</v>
      </c>
      <c r="B19" s="294">
        <f>(Vin-Vout-(Rdcr_pri+Rdson)*Iout)/L*OnTime*1000</f>
        <v>-62857.142857142855</v>
      </c>
      <c r="C19" s="281" t="s">
        <v>30</v>
      </c>
      <c r="D19" s="194">
        <f>B19/1000</f>
        <v>-62.857142857142854</v>
      </c>
      <c r="E19" s="279" t="s">
        <v>253</v>
      </c>
      <c r="F19" s="270"/>
      <c r="G19" s="270"/>
      <c r="H19" s="174">
        <v>13</v>
      </c>
      <c r="I19" s="465">
        <f t="shared" si="0"/>
        <v>0.13</v>
      </c>
      <c r="J19" s="221"/>
      <c r="K19" s="221"/>
      <c r="L19" s="221"/>
      <c r="M19" s="221"/>
      <c r="N19" s="271"/>
      <c r="O19" s="176"/>
      <c r="P19" s="221"/>
      <c r="Q19" s="451"/>
      <c r="S19" s="272"/>
      <c r="T19" s="272"/>
      <c r="U19" s="272"/>
      <c r="AJ19" s="451"/>
      <c r="AZ19" s="273"/>
      <c r="BJ19" s="223"/>
      <c r="BK19" s="223"/>
      <c r="BL19" s="223"/>
      <c r="BO19" s="176"/>
      <c r="BP19" s="223"/>
      <c r="BQ19" s="274"/>
      <c r="BR19" s="275"/>
      <c r="BS19" s="223"/>
      <c r="BT19" s="276"/>
      <c r="BX19" s="223"/>
      <c r="BY19" s="223"/>
      <c r="BZ19" s="176"/>
      <c r="CA19" s="176"/>
      <c r="CB19" s="176"/>
      <c r="CC19" s="176"/>
    </row>
    <row r="20" spans="1:81" x14ac:dyDescent="0.25">
      <c r="A20" s="289" t="s">
        <v>254</v>
      </c>
      <c r="B20" s="295">
        <f>'Design PSR Flyback Converter'!E13</f>
        <v>0.25</v>
      </c>
      <c r="C20" s="279" t="s">
        <v>2</v>
      </c>
      <c r="D20" s="296">
        <f>B20*1000</f>
        <v>250</v>
      </c>
      <c r="E20" s="281" t="s">
        <v>255</v>
      </c>
      <c r="F20" s="362"/>
      <c r="G20" s="270"/>
      <c r="H20" s="174">
        <v>14</v>
      </c>
      <c r="I20" s="465">
        <f t="shared" si="0"/>
        <v>0.14000000000000001</v>
      </c>
      <c r="J20" s="221"/>
      <c r="K20" s="221"/>
      <c r="L20" s="221"/>
      <c r="M20" s="221"/>
      <c r="N20" s="271"/>
      <c r="O20" s="176"/>
      <c r="P20" s="221"/>
      <c r="Q20" s="451"/>
      <c r="S20" s="272"/>
      <c r="T20" s="272"/>
      <c r="U20" s="272"/>
      <c r="AJ20" s="451"/>
      <c r="AZ20" s="273"/>
      <c r="BJ20" s="223"/>
      <c r="BK20" s="223"/>
      <c r="BL20" s="223"/>
      <c r="BO20" s="176"/>
      <c r="BP20" s="223"/>
      <c r="BQ20" s="274"/>
      <c r="BR20" s="275"/>
      <c r="BS20" s="223"/>
      <c r="BT20" s="276"/>
      <c r="BX20" s="223"/>
      <c r="BY20" s="223"/>
      <c r="BZ20" s="176"/>
      <c r="CA20" s="176"/>
      <c r="CB20" s="176"/>
      <c r="CC20" s="176"/>
    </row>
    <row r="21" spans="1:81" x14ac:dyDescent="0.25">
      <c r="A21" s="289" t="s">
        <v>421</v>
      </c>
      <c r="B21" s="294">
        <v>350</v>
      </c>
      <c r="C21" s="281" t="s">
        <v>2</v>
      </c>
      <c r="D21" s="296">
        <f>B21*1000</f>
        <v>350000</v>
      </c>
      <c r="E21" s="281" t="s">
        <v>422</v>
      </c>
      <c r="F21" s="270"/>
      <c r="G21" s="270"/>
      <c r="H21" s="174">
        <v>15</v>
      </c>
      <c r="I21" s="465">
        <f t="shared" si="0"/>
        <v>0.15</v>
      </c>
      <c r="J21" s="221"/>
      <c r="K21" s="221"/>
      <c r="L21" s="221"/>
      <c r="M21" s="221"/>
      <c r="N21" s="271"/>
      <c r="O21" s="176"/>
      <c r="P21" s="221"/>
      <c r="Q21" s="451"/>
      <c r="S21" s="272"/>
      <c r="T21" s="272"/>
      <c r="U21" s="272"/>
      <c r="AJ21" s="451"/>
      <c r="AZ21" s="273"/>
      <c r="BJ21" s="223"/>
      <c r="BK21" s="223"/>
      <c r="BL21" s="223"/>
      <c r="BO21" s="176"/>
      <c r="BP21" s="223"/>
      <c r="BQ21" s="274"/>
      <c r="BR21" s="275"/>
      <c r="BS21" s="223"/>
      <c r="BT21" s="276"/>
      <c r="BX21" s="223"/>
      <c r="BY21" s="223"/>
      <c r="BZ21" s="176"/>
      <c r="CA21" s="176"/>
      <c r="CB21" s="176"/>
      <c r="CC21" s="176"/>
    </row>
    <row r="22" spans="1:81" x14ac:dyDescent="0.25">
      <c r="A22" s="297" t="s">
        <v>38</v>
      </c>
      <c r="B22" s="298">
        <v>10</v>
      </c>
      <c r="C22" s="279" t="s">
        <v>32</v>
      </c>
      <c r="D22" s="299">
        <f>B22/1000000000</f>
        <v>1E-8</v>
      </c>
      <c r="E22" s="192" t="s">
        <v>256</v>
      </c>
      <c r="F22" s="270"/>
      <c r="G22" s="270"/>
      <c r="H22" s="174">
        <v>16</v>
      </c>
      <c r="I22" s="465">
        <f t="shared" si="0"/>
        <v>0.16</v>
      </c>
      <c r="J22" s="221"/>
      <c r="K22" s="221"/>
      <c r="L22" s="221"/>
      <c r="M22" s="221"/>
      <c r="N22" s="271"/>
      <c r="O22" s="176"/>
      <c r="P22" s="221"/>
      <c r="Q22" s="451"/>
      <c r="S22" s="272"/>
      <c r="T22" s="272"/>
      <c r="U22" s="272"/>
      <c r="AJ22" s="451"/>
      <c r="AZ22" s="273"/>
      <c r="BJ22" s="223"/>
      <c r="BK22" s="223"/>
      <c r="BL22" s="223"/>
      <c r="BO22" s="176"/>
      <c r="BP22" s="223"/>
      <c r="BQ22" s="274"/>
      <c r="BR22" s="275"/>
      <c r="BS22" s="223"/>
      <c r="BT22" s="276"/>
      <c r="BX22" s="223"/>
      <c r="BY22" s="223"/>
      <c r="BZ22" s="176"/>
      <c r="CA22" s="176"/>
      <c r="CB22" s="176"/>
      <c r="CC22" s="176"/>
    </row>
    <row r="23" spans="1:81" x14ac:dyDescent="0.25">
      <c r="A23" s="297" t="s">
        <v>39</v>
      </c>
      <c r="B23" s="298">
        <v>10</v>
      </c>
      <c r="C23" s="279" t="s">
        <v>32</v>
      </c>
      <c r="D23" s="299">
        <f>B23/1000000000</f>
        <v>1E-8</v>
      </c>
      <c r="E23" s="192" t="s">
        <v>257</v>
      </c>
      <c r="F23" s="270"/>
      <c r="G23" s="270"/>
      <c r="H23" s="174">
        <v>17</v>
      </c>
      <c r="I23" s="465">
        <f t="shared" si="0"/>
        <v>0.17</v>
      </c>
      <c r="J23" s="221"/>
      <c r="K23" s="221"/>
      <c r="L23" s="221"/>
      <c r="M23" s="221"/>
      <c r="N23" s="271"/>
      <c r="O23" s="176"/>
      <c r="P23" s="221"/>
      <c r="Q23" s="451"/>
      <c r="S23" s="272"/>
      <c r="T23" s="272"/>
      <c r="U23" s="272"/>
      <c r="AJ23" s="451"/>
      <c r="AZ23" s="273"/>
      <c r="BJ23" s="223"/>
      <c r="BK23" s="223"/>
      <c r="BL23" s="223"/>
      <c r="BO23" s="176"/>
      <c r="BP23" s="223"/>
      <c r="BQ23" s="274"/>
      <c r="BR23" s="275"/>
      <c r="BS23" s="223"/>
      <c r="BT23" s="276"/>
      <c r="BX23" s="223"/>
      <c r="BY23" s="223"/>
      <c r="BZ23" s="176"/>
      <c r="CA23" s="176"/>
      <c r="CB23" s="176"/>
      <c r="CC23" s="176"/>
    </row>
    <row r="24" spans="1:81" x14ac:dyDescent="0.25">
      <c r="A24" s="244"/>
      <c r="B24" s="244"/>
      <c r="C24" s="244"/>
      <c r="D24" s="244"/>
      <c r="E24" s="244"/>
      <c r="F24" s="270"/>
      <c r="G24" s="270"/>
      <c r="H24" s="174">
        <v>18</v>
      </c>
      <c r="I24" s="465">
        <f t="shared" si="0"/>
        <v>0.18</v>
      </c>
      <c r="J24" s="221"/>
      <c r="K24" s="221"/>
      <c r="L24" s="221"/>
      <c r="M24" s="221"/>
      <c r="N24" s="271"/>
      <c r="O24" s="176"/>
      <c r="P24" s="221"/>
      <c r="Q24" s="451"/>
      <c r="S24" s="272"/>
      <c r="T24" s="272"/>
      <c r="U24" s="272"/>
      <c r="AJ24" s="451"/>
      <c r="AZ24" s="273"/>
      <c r="BJ24" s="223"/>
      <c r="BK24" s="223"/>
      <c r="BL24" s="223"/>
      <c r="BO24" s="176"/>
      <c r="BP24" s="223"/>
      <c r="BQ24" s="274"/>
      <c r="BR24" s="275"/>
      <c r="BS24" s="223"/>
      <c r="BT24" s="276"/>
      <c r="BX24" s="223"/>
      <c r="BY24" s="223"/>
      <c r="BZ24" s="176"/>
      <c r="CA24" s="176"/>
      <c r="CB24" s="176"/>
      <c r="CC24" s="176"/>
    </row>
    <row r="25" spans="1:81" x14ac:dyDescent="0.25">
      <c r="A25" s="286" t="s">
        <v>29</v>
      </c>
      <c r="B25" s="267" t="s">
        <v>43</v>
      </c>
      <c r="C25" s="287" t="s">
        <v>33</v>
      </c>
      <c r="D25" s="288" t="s">
        <v>90</v>
      </c>
      <c r="E25" s="269" t="s">
        <v>41</v>
      </c>
      <c r="F25" s="270"/>
      <c r="G25" s="270"/>
      <c r="H25" s="174">
        <v>19</v>
      </c>
      <c r="I25" s="465">
        <f t="shared" si="0"/>
        <v>0.19</v>
      </c>
      <c r="J25" s="221"/>
      <c r="K25" s="221"/>
      <c r="L25" s="221"/>
      <c r="M25" s="221"/>
      <c r="N25" s="271"/>
      <c r="O25" s="176"/>
      <c r="P25" s="221"/>
      <c r="Q25" s="451"/>
      <c r="S25" s="272"/>
      <c r="T25" s="272"/>
      <c r="U25" s="272"/>
      <c r="AJ25" s="451"/>
      <c r="AZ25" s="273"/>
      <c r="BJ25" s="223"/>
      <c r="BK25" s="223"/>
      <c r="BL25" s="223"/>
      <c r="BO25" s="176"/>
      <c r="BP25" s="223"/>
      <c r="BQ25" s="274"/>
      <c r="BR25" s="275"/>
      <c r="BS25" s="223"/>
      <c r="BT25" s="276"/>
      <c r="BX25" s="223"/>
      <c r="BY25" s="223"/>
      <c r="BZ25" s="176"/>
      <c r="CA25" s="176"/>
      <c r="CB25" s="176"/>
      <c r="CC25" s="176"/>
    </row>
    <row r="26" spans="1:81" ht="13.8" thickBot="1" x14ac:dyDescent="0.3">
      <c r="A26" s="300" t="s">
        <v>27</v>
      </c>
      <c r="B26" s="281">
        <f>'Design PSR Flyback Converter'!L7</f>
        <v>7</v>
      </c>
      <c r="C26" s="291" t="s">
        <v>96</v>
      </c>
      <c r="D26" s="198">
        <f>B26/1000000</f>
        <v>6.9999999999999999E-6</v>
      </c>
      <c r="E26" s="281" t="s">
        <v>258</v>
      </c>
      <c r="F26" s="301"/>
      <c r="G26" s="270"/>
      <c r="H26" s="174">
        <v>20</v>
      </c>
      <c r="I26" s="465">
        <f t="shared" si="0"/>
        <v>0.2</v>
      </c>
      <c r="J26" s="221"/>
      <c r="K26" s="221"/>
      <c r="L26" s="221"/>
      <c r="M26" s="221"/>
      <c r="N26" s="271"/>
      <c r="O26" s="176"/>
      <c r="P26" s="221"/>
      <c r="Q26" s="451"/>
      <c r="S26" s="272"/>
      <c r="T26" s="272"/>
      <c r="U26" s="272"/>
      <c r="AJ26" s="451"/>
      <c r="AZ26" s="273"/>
      <c r="BJ26" s="223"/>
      <c r="BK26" s="223"/>
      <c r="BL26" s="223"/>
      <c r="BO26" s="176"/>
      <c r="BP26" s="223"/>
      <c r="BQ26" s="274"/>
      <c r="BR26" s="275"/>
      <c r="BS26" s="223"/>
      <c r="BT26" s="276"/>
      <c r="BX26" s="223"/>
      <c r="BY26" s="223"/>
      <c r="BZ26" s="176"/>
      <c r="CA26" s="176"/>
      <c r="CB26" s="176"/>
      <c r="CC26" s="176"/>
    </row>
    <row r="27" spans="1:81" ht="13.8" thickBot="1" x14ac:dyDescent="0.3">
      <c r="A27" s="302" t="s">
        <v>396</v>
      </c>
      <c r="B27" s="303">
        <f>'Design PSR Flyback Converter'!L8</f>
        <v>0</v>
      </c>
      <c r="C27" s="304" t="s">
        <v>259</v>
      </c>
      <c r="D27" s="198">
        <f>B27/1000</f>
        <v>0</v>
      </c>
      <c r="E27" s="281" t="s">
        <v>491</v>
      </c>
      <c r="F27" s="270"/>
      <c r="G27" s="270"/>
      <c r="H27" s="174">
        <v>21</v>
      </c>
      <c r="I27" s="465">
        <f t="shared" si="0"/>
        <v>0.21</v>
      </c>
      <c r="J27" s="221"/>
      <c r="K27" s="221"/>
      <c r="L27" s="221"/>
      <c r="M27" s="221"/>
      <c r="N27" s="271"/>
      <c r="O27" s="176"/>
      <c r="P27" s="221"/>
      <c r="Q27" s="451"/>
      <c r="S27" s="272"/>
      <c r="T27" s="272"/>
      <c r="U27" s="272"/>
      <c r="AJ27" s="451"/>
      <c r="AZ27" s="273"/>
      <c r="BJ27" s="223"/>
      <c r="BK27" s="223"/>
      <c r="BL27" s="223"/>
      <c r="BO27" s="176"/>
      <c r="BP27" s="223"/>
      <c r="BQ27" s="274"/>
      <c r="BR27" s="275"/>
      <c r="BS27" s="223"/>
      <c r="BT27" s="276"/>
      <c r="BX27" s="223"/>
      <c r="BY27" s="223"/>
      <c r="BZ27" s="176"/>
      <c r="CA27" s="176"/>
      <c r="CB27" s="176"/>
      <c r="CC27" s="176"/>
    </row>
    <row r="28" spans="1:81" ht="13.8" thickBot="1" x14ac:dyDescent="0.3">
      <c r="A28" s="302" t="s">
        <v>459</v>
      </c>
      <c r="B28" s="303">
        <f>'Design PSR Flyback Converter'!L9</f>
        <v>0</v>
      </c>
      <c r="C28" s="304" t="s">
        <v>259</v>
      </c>
      <c r="D28" s="198">
        <f>B28/1000</f>
        <v>0</v>
      </c>
      <c r="E28" s="281" t="s">
        <v>667</v>
      </c>
      <c r="F28" s="270"/>
      <c r="G28" s="270"/>
      <c r="H28" s="174">
        <v>22</v>
      </c>
      <c r="I28" s="465">
        <f t="shared" si="0"/>
        <v>0.22</v>
      </c>
      <c r="J28" s="221"/>
      <c r="K28" s="221"/>
      <c r="L28" s="221"/>
      <c r="M28" s="221"/>
      <c r="N28" s="271"/>
      <c r="O28" s="176"/>
      <c r="P28" s="221"/>
      <c r="Q28" s="451"/>
      <c r="S28" s="272"/>
      <c r="T28" s="272"/>
      <c r="U28" s="272"/>
      <c r="AJ28" s="451"/>
      <c r="AZ28" s="273"/>
      <c r="BJ28" s="223"/>
      <c r="BK28" s="223"/>
      <c r="BL28" s="223"/>
      <c r="BO28" s="176"/>
      <c r="BP28" s="223"/>
      <c r="BQ28" s="274"/>
      <c r="BR28" s="275"/>
      <c r="BS28" s="223"/>
      <c r="BT28" s="276"/>
      <c r="BX28" s="223"/>
      <c r="BY28" s="223"/>
      <c r="BZ28" s="176"/>
      <c r="CA28" s="176"/>
      <c r="CB28" s="176"/>
      <c r="CC28" s="176"/>
    </row>
    <row r="29" spans="1:81" ht="13.8" thickBot="1" x14ac:dyDescent="0.3">
      <c r="A29" s="305" t="s">
        <v>260</v>
      </c>
      <c r="B29" s="306">
        <v>0</v>
      </c>
      <c r="C29" s="304"/>
      <c r="D29" s="307">
        <f>B29</f>
        <v>0</v>
      </c>
      <c r="E29" s="308" t="s">
        <v>490</v>
      </c>
      <c r="F29" s="270"/>
      <c r="G29" s="270"/>
      <c r="H29" s="174">
        <v>23</v>
      </c>
      <c r="I29" s="465">
        <f t="shared" si="0"/>
        <v>0.23</v>
      </c>
      <c r="J29" s="221"/>
      <c r="K29" s="221"/>
      <c r="L29" s="221"/>
      <c r="M29" s="221"/>
      <c r="N29" s="271"/>
      <c r="O29" s="176"/>
      <c r="P29" s="221"/>
      <c r="Q29" s="451"/>
      <c r="S29" s="272"/>
      <c r="T29" s="272"/>
      <c r="U29" s="272"/>
      <c r="AJ29" s="451"/>
      <c r="AZ29" s="273"/>
      <c r="BJ29" s="223"/>
      <c r="BK29" s="223"/>
      <c r="BL29" s="223"/>
      <c r="BO29" s="176"/>
      <c r="BP29" s="223"/>
      <c r="BQ29" s="274"/>
      <c r="BR29" s="275"/>
      <c r="BS29" s="223"/>
      <c r="BT29" s="276"/>
      <c r="BX29" s="223"/>
      <c r="BY29" s="223"/>
      <c r="BZ29" s="176"/>
      <c r="CA29" s="176"/>
      <c r="CB29" s="176"/>
      <c r="CC29" s="176"/>
    </row>
    <row r="30" spans="1:81" ht="13.8" thickBot="1" x14ac:dyDescent="0.3">
      <c r="A30" s="309" t="s">
        <v>28</v>
      </c>
      <c r="B30" s="303">
        <f>'Design PSR Flyback Converter'!E17</f>
        <v>10</v>
      </c>
      <c r="C30" s="310" t="s">
        <v>97</v>
      </c>
      <c r="D30" s="311">
        <f>B30/1000000</f>
        <v>1.0000000000000001E-5</v>
      </c>
      <c r="E30" s="312" t="s">
        <v>60</v>
      </c>
      <c r="F30" s="270"/>
      <c r="G30" s="270"/>
      <c r="H30" s="174">
        <v>24</v>
      </c>
      <c r="I30" s="465">
        <f t="shared" si="0"/>
        <v>0.24</v>
      </c>
      <c r="J30" s="221"/>
      <c r="K30" s="221"/>
      <c r="L30" s="221"/>
      <c r="M30" s="221"/>
      <c r="N30" s="271"/>
      <c r="O30" s="176"/>
      <c r="P30" s="221"/>
      <c r="Q30" s="451"/>
      <c r="S30" s="272"/>
      <c r="T30" s="272"/>
      <c r="U30" s="272"/>
      <c r="AJ30" s="451"/>
      <c r="AZ30" s="273"/>
      <c r="BJ30" s="223"/>
      <c r="BK30" s="223"/>
      <c r="BL30" s="223"/>
      <c r="BO30" s="176"/>
      <c r="BP30" s="223"/>
      <c r="BQ30" s="274"/>
      <c r="BR30" s="275"/>
      <c r="BS30" s="223"/>
      <c r="BT30" s="276"/>
      <c r="BX30" s="223"/>
      <c r="BY30" s="223"/>
      <c r="BZ30" s="176"/>
      <c r="CA30" s="176"/>
      <c r="CB30" s="176"/>
      <c r="CC30" s="176"/>
    </row>
    <row r="31" spans="1:81" ht="13.8" thickBot="1" x14ac:dyDescent="0.3">
      <c r="A31" s="305" t="s">
        <v>261</v>
      </c>
      <c r="B31" s="303">
        <f>'Design PSR Flyback Converter'!E18</f>
        <v>3</v>
      </c>
      <c r="C31" s="304" t="s">
        <v>259</v>
      </c>
      <c r="D31" s="198">
        <f>B31/1000</f>
        <v>3.0000000000000001E-3</v>
      </c>
      <c r="E31" s="281" t="s">
        <v>262</v>
      </c>
      <c r="F31" s="270"/>
      <c r="G31" s="270"/>
      <c r="H31" s="174">
        <v>25</v>
      </c>
      <c r="I31" s="465">
        <f t="shared" si="0"/>
        <v>0.25</v>
      </c>
      <c r="J31" s="221"/>
      <c r="K31" s="221"/>
      <c r="L31" s="221"/>
      <c r="M31" s="221"/>
      <c r="N31" s="271"/>
      <c r="O31" s="176"/>
      <c r="P31" s="221"/>
      <c r="Q31" s="451"/>
      <c r="S31" s="272"/>
      <c r="T31" s="272"/>
      <c r="U31" s="272"/>
      <c r="AJ31" s="451"/>
      <c r="AZ31" s="273"/>
      <c r="BJ31" s="223"/>
      <c r="BK31" s="223"/>
      <c r="BL31" s="223"/>
      <c r="BO31" s="176"/>
      <c r="BP31" s="223"/>
      <c r="BQ31" s="274"/>
      <c r="BR31" s="275"/>
      <c r="BS31" s="223"/>
      <c r="BT31" s="276"/>
      <c r="BX31" s="223"/>
      <c r="BY31" s="223"/>
      <c r="BZ31" s="176"/>
      <c r="CA31" s="176"/>
      <c r="CB31" s="176"/>
      <c r="CC31" s="176"/>
    </row>
    <row r="32" spans="1:81" ht="13.8" thickBot="1" x14ac:dyDescent="0.3">
      <c r="A32" s="300" t="s">
        <v>14</v>
      </c>
      <c r="B32" s="361">
        <f>'Design PSR Flyback Converter'!E21</f>
        <v>44</v>
      </c>
      <c r="C32" s="291" t="s">
        <v>97</v>
      </c>
      <c r="D32" s="292">
        <f>B32/1000000</f>
        <v>4.3999999999999999E-5</v>
      </c>
      <c r="E32" s="281" t="s">
        <v>263</v>
      </c>
      <c r="F32" s="270"/>
      <c r="G32" s="270"/>
      <c r="H32" s="174">
        <v>26</v>
      </c>
      <c r="I32" s="465">
        <f t="shared" si="0"/>
        <v>0.26</v>
      </c>
      <c r="J32" s="221"/>
      <c r="K32" s="221"/>
      <c r="L32" s="221"/>
      <c r="M32" s="221"/>
      <c r="N32" s="271"/>
      <c r="O32" s="176"/>
      <c r="P32" s="221"/>
      <c r="Q32" s="451"/>
      <c r="S32" s="272"/>
      <c r="T32" s="272"/>
      <c r="U32" s="272"/>
      <c r="AJ32" s="451"/>
      <c r="AZ32" s="273"/>
      <c r="BJ32" s="223"/>
      <c r="BK32" s="223"/>
      <c r="BL32" s="223"/>
      <c r="BO32" s="176"/>
      <c r="BP32" s="223"/>
      <c r="BQ32" s="274"/>
      <c r="BR32" s="275"/>
      <c r="BS32" s="223"/>
      <c r="BT32" s="276"/>
      <c r="BX32" s="223"/>
      <c r="BY32" s="223"/>
      <c r="BZ32" s="176"/>
      <c r="CA32" s="176"/>
      <c r="CB32" s="176"/>
      <c r="CC32" s="176"/>
    </row>
    <row r="33" spans="1:81" x14ac:dyDescent="0.25">
      <c r="A33" s="305" t="s">
        <v>264</v>
      </c>
      <c r="B33" s="361">
        <f>'Design PSR Flyback Converter'!E22</f>
        <v>3</v>
      </c>
      <c r="C33" s="304" t="s">
        <v>259</v>
      </c>
      <c r="D33" s="198">
        <f>B33/1000</f>
        <v>3.0000000000000001E-3</v>
      </c>
      <c r="E33" s="281" t="s">
        <v>265</v>
      </c>
      <c r="F33" s="270"/>
      <c r="G33" s="270"/>
      <c r="H33" s="174">
        <v>27</v>
      </c>
      <c r="I33" s="465">
        <f t="shared" si="0"/>
        <v>0.27</v>
      </c>
      <c r="J33" s="221"/>
      <c r="K33" s="221"/>
      <c r="L33" s="221"/>
      <c r="M33" s="221"/>
      <c r="N33" s="271"/>
      <c r="O33" s="176"/>
      <c r="P33" s="221"/>
      <c r="Q33" s="451"/>
      <c r="S33" s="272"/>
      <c r="T33" s="272"/>
      <c r="U33" s="272"/>
      <c r="AJ33" s="451"/>
      <c r="AZ33" s="273"/>
      <c r="BJ33" s="223"/>
      <c r="BK33" s="223"/>
      <c r="BL33" s="223"/>
      <c r="BO33" s="176"/>
      <c r="BP33" s="223"/>
      <c r="BQ33" s="274"/>
      <c r="BR33" s="275"/>
      <c r="BS33" s="223"/>
      <c r="BT33" s="276"/>
      <c r="BX33" s="223"/>
      <c r="BY33" s="223"/>
      <c r="BZ33" s="176"/>
      <c r="CA33" s="176"/>
      <c r="CB33" s="176"/>
      <c r="CC33" s="176"/>
    </row>
    <row r="34" spans="1:81" x14ac:dyDescent="0.25">
      <c r="A34" s="313" t="s">
        <v>405</v>
      </c>
      <c r="B34" s="267"/>
      <c r="C34" s="313" t="s">
        <v>33</v>
      </c>
      <c r="D34" s="314" t="s">
        <v>90</v>
      </c>
      <c r="E34" s="315" t="s">
        <v>41</v>
      </c>
      <c r="F34" s="270"/>
      <c r="G34" s="270"/>
      <c r="H34" s="174">
        <v>28</v>
      </c>
      <c r="I34" s="465">
        <f t="shared" si="0"/>
        <v>0.28000000000000003</v>
      </c>
      <c r="J34" s="221"/>
      <c r="K34" s="221"/>
      <c r="L34" s="221"/>
      <c r="M34" s="221"/>
      <c r="N34" s="271"/>
      <c r="O34" s="176"/>
      <c r="P34" s="221"/>
      <c r="Q34" s="451"/>
      <c r="S34" s="272"/>
      <c r="T34" s="272"/>
      <c r="U34" s="272"/>
      <c r="AJ34" s="451"/>
      <c r="AZ34" s="273"/>
      <c r="BJ34" s="223"/>
      <c r="BK34" s="223"/>
      <c r="BL34" s="223"/>
      <c r="BO34" s="176"/>
      <c r="BP34" s="223"/>
      <c r="BQ34" s="274"/>
      <c r="BR34" s="275"/>
      <c r="BS34" s="223"/>
      <c r="BT34" s="276"/>
      <c r="BX34" s="223"/>
      <c r="BY34" s="223"/>
      <c r="BZ34" s="176"/>
      <c r="CA34" s="176"/>
      <c r="CB34" s="176"/>
      <c r="CC34" s="176"/>
    </row>
    <row r="35" spans="1:81" x14ac:dyDescent="0.25">
      <c r="A35" s="302" t="s">
        <v>410</v>
      </c>
      <c r="B35" s="316">
        <f>CHOOSE(VARIANT, 2.5, 4.1)</f>
        <v>4.0999999999999996</v>
      </c>
      <c r="C35" s="291" t="s">
        <v>1</v>
      </c>
      <c r="D35" s="273">
        <f>B35</f>
        <v>4.0999999999999996</v>
      </c>
      <c r="E35" s="192" t="s">
        <v>409</v>
      </c>
      <c r="F35" s="270"/>
      <c r="G35" s="270"/>
      <c r="H35" s="174">
        <v>29</v>
      </c>
      <c r="I35" s="465">
        <f t="shared" si="0"/>
        <v>0.28999999999999998</v>
      </c>
      <c r="J35" s="221"/>
      <c r="K35" s="221"/>
      <c r="L35" s="221"/>
      <c r="M35" s="221"/>
      <c r="N35" s="271"/>
      <c r="O35" s="176"/>
      <c r="P35" s="221"/>
      <c r="Q35" s="451"/>
      <c r="S35" s="272"/>
      <c r="T35" s="272"/>
      <c r="U35" s="272"/>
      <c r="AJ35" s="451"/>
      <c r="AZ35" s="273"/>
      <c r="BJ35" s="223"/>
      <c r="BK35" s="223"/>
      <c r="BL35" s="223"/>
      <c r="BO35" s="176"/>
      <c r="BP35" s="223"/>
      <c r="BQ35" s="274"/>
      <c r="BR35" s="275"/>
      <c r="BS35" s="223"/>
      <c r="BT35" s="276"/>
      <c r="BX35" s="223"/>
      <c r="BY35" s="223"/>
      <c r="BZ35" s="176"/>
      <c r="CA35" s="176"/>
      <c r="CB35" s="176"/>
      <c r="CC35" s="176"/>
    </row>
    <row r="36" spans="1:81" x14ac:dyDescent="0.25">
      <c r="A36" s="302" t="s">
        <v>418</v>
      </c>
      <c r="B36" s="316">
        <f>B35/5</f>
        <v>0.82</v>
      </c>
      <c r="C36" s="291" t="s">
        <v>1</v>
      </c>
      <c r="D36" s="273">
        <f>B36</f>
        <v>0.82</v>
      </c>
      <c r="E36" s="192" t="s">
        <v>419</v>
      </c>
      <c r="F36" s="270"/>
      <c r="G36" s="270"/>
      <c r="H36" s="174">
        <v>30</v>
      </c>
      <c r="I36" s="465">
        <f t="shared" si="0"/>
        <v>0.3</v>
      </c>
      <c r="J36" s="221"/>
      <c r="K36" s="221"/>
      <c r="L36" s="221"/>
      <c r="M36" s="221"/>
      <c r="N36" s="271"/>
      <c r="O36" s="176"/>
      <c r="P36" s="221"/>
      <c r="Q36" s="451"/>
      <c r="S36" s="272"/>
      <c r="T36" s="272"/>
      <c r="U36" s="272"/>
      <c r="AJ36" s="451"/>
      <c r="AZ36" s="273"/>
      <c r="BJ36" s="223"/>
      <c r="BK36" s="223"/>
      <c r="BL36" s="223"/>
      <c r="BO36" s="176"/>
      <c r="BP36" s="223"/>
      <c r="BQ36" s="274"/>
      <c r="BR36" s="275"/>
      <c r="BS36" s="223"/>
      <c r="BT36" s="276"/>
      <c r="BX36" s="223"/>
      <c r="BY36" s="223"/>
      <c r="BZ36" s="176"/>
      <c r="CA36" s="176"/>
      <c r="CB36" s="176"/>
      <c r="CC36" s="176"/>
    </row>
    <row r="37" spans="1:81" x14ac:dyDescent="0.25">
      <c r="A37" s="302" t="s">
        <v>710</v>
      </c>
      <c r="B37" s="316">
        <f>0.000000375</f>
        <v>3.7500000000000001E-7</v>
      </c>
      <c r="C37" s="291" t="s">
        <v>51</v>
      </c>
      <c r="D37" s="273">
        <f t="shared" ref="D37:D38" si="24">B37</f>
        <v>3.7500000000000001E-7</v>
      </c>
      <c r="E37" s="192" t="s">
        <v>708</v>
      </c>
      <c r="F37" s="270"/>
      <c r="G37" s="270"/>
      <c r="H37" s="174">
        <v>31</v>
      </c>
      <c r="I37" s="465">
        <f t="shared" si="0"/>
        <v>0.31</v>
      </c>
      <c r="J37" s="221"/>
      <c r="K37" s="221"/>
      <c r="L37" s="221"/>
      <c r="M37" s="221"/>
      <c r="N37" s="271"/>
      <c r="O37" s="176"/>
      <c r="P37" s="221"/>
      <c r="Q37" s="451"/>
      <c r="S37" s="272"/>
      <c r="T37" s="272"/>
      <c r="U37" s="272"/>
      <c r="AJ37" s="451"/>
      <c r="AZ37" s="273"/>
      <c r="BJ37" s="223"/>
      <c r="BK37" s="223"/>
      <c r="BL37" s="223"/>
      <c r="BO37" s="176"/>
      <c r="BP37" s="223"/>
      <c r="BQ37" s="274"/>
      <c r="BR37" s="275"/>
      <c r="BS37" s="223"/>
      <c r="BT37" s="276"/>
      <c r="BX37" s="223"/>
      <c r="BY37" s="223"/>
      <c r="BZ37" s="176"/>
      <c r="CA37" s="176"/>
      <c r="CB37" s="176"/>
      <c r="CC37" s="176"/>
    </row>
    <row r="38" spans="1:81" ht="13.8" thickBot="1" x14ac:dyDescent="0.3">
      <c r="A38" s="302" t="s">
        <v>711</v>
      </c>
      <c r="B38" s="662">
        <v>4.2500000000000001E-7</v>
      </c>
      <c r="C38" s="291" t="s">
        <v>51</v>
      </c>
      <c r="D38" s="273">
        <f t="shared" si="24"/>
        <v>4.2500000000000001E-7</v>
      </c>
      <c r="E38" s="192" t="s">
        <v>709</v>
      </c>
      <c r="H38" s="174">
        <v>32</v>
      </c>
      <c r="I38" s="465">
        <f t="shared" ref="I38:I69" si="25">IF(PLOT_TYPE=1, H38/100*Iout_max, min_I*EXP(H38*rr/100))</f>
        <v>0.32</v>
      </c>
      <c r="J38" s="221"/>
      <c r="K38" s="221"/>
      <c r="L38" s="221"/>
      <c r="M38" s="221"/>
      <c r="N38" s="271"/>
      <c r="O38" s="176"/>
      <c r="P38" s="221"/>
      <c r="Q38" s="451"/>
      <c r="S38" s="272"/>
      <c r="T38" s="272"/>
      <c r="U38" s="272"/>
      <c r="AJ38" s="451"/>
      <c r="AZ38" s="273"/>
      <c r="BJ38" s="223"/>
      <c r="BK38" s="223"/>
      <c r="BL38" s="223"/>
      <c r="BO38" s="176"/>
      <c r="BP38" s="223"/>
      <c r="BQ38" s="274"/>
      <c r="BR38" s="275"/>
      <c r="BS38" s="223"/>
      <c r="BT38" s="276"/>
      <c r="BX38" s="223"/>
      <c r="BY38" s="223"/>
      <c r="BZ38" s="176"/>
      <c r="CA38" s="176"/>
      <c r="CB38" s="176"/>
      <c r="CC38" s="176"/>
    </row>
    <row r="39" spans="1:81" ht="13.8" thickBot="1" x14ac:dyDescent="0.3">
      <c r="A39" s="317" t="s">
        <v>47</v>
      </c>
      <c r="B39" s="540">
        <v>1</v>
      </c>
      <c r="C39" s="291"/>
      <c r="D39" s="273">
        <f>B39</f>
        <v>1</v>
      </c>
      <c r="E39" s="192" t="s">
        <v>420</v>
      </c>
      <c r="H39" s="174">
        <v>33</v>
      </c>
      <c r="I39" s="465">
        <f t="shared" si="25"/>
        <v>0.33</v>
      </c>
      <c r="J39" s="221"/>
      <c r="K39" s="221"/>
      <c r="L39" s="221"/>
      <c r="M39" s="221"/>
      <c r="N39" s="271"/>
      <c r="O39" s="176"/>
      <c r="P39" s="221"/>
      <c r="Q39" s="451"/>
      <c r="S39" s="272"/>
      <c r="T39" s="272"/>
      <c r="U39" s="272"/>
      <c r="AJ39" s="451"/>
      <c r="AZ39" s="273"/>
      <c r="BJ39" s="223"/>
      <c r="BK39" s="223"/>
      <c r="BL39" s="223"/>
      <c r="BO39" s="176"/>
      <c r="BP39" s="223"/>
      <c r="BQ39" s="274"/>
      <c r="BR39" s="275"/>
      <c r="BS39" s="223"/>
      <c r="BT39" s="276"/>
      <c r="BX39" s="223"/>
      <c r="BY39" s="223"/>
      <c r="BZ39" s="176"/>
      <c r="CA39" s="176"/>
      <c r="CB39" s="176"/>
      <c r="CC39" s="176"/>
    </row>
    <row r="40" spans="1:81" x14ac:dyDescent="0.25">
      <c r="A40" s="302" t="s">
        <v>24</v>
      </c>
      <c r="B40" s="318">
        <v>290</v>
      </c>
      <c r="C40" s="291" t="s">
        <v>266</v>
      </c>
      <c r="D40" s="293">
        <f>B40/1000000</f>
        <v>2.9E-4</v>
      </c>
      <c r="E40" s="281" t="s">
        <v>492</v>
      </c>
      <c r="H40" s="174">
        <v>34</v>
      </c>
      <c r="I40" s="465">
        <f t="shared" si="25"/>
        <v>0.34</v>
      </c>
      <c r="J40" s="221"/>
      <c r="K40" s="221"/>
      <c r="L40" s="221"/>
      <c r="M40" s="221"/>
      <c r="N40" s="271"/>
      <c r="O40" s="176"/>
      <c r="P40" s="221"/>
      <c r="Q40" s="451"/>
      <c r="S40" s="272"/>
      <c r="T40" s="272"/>
      <c r="U40" s="272"/>
      <c r="AJ40" s="451"/>
      <c r="AZ40" s="273"/>
      <c r="BJ40" s="223"/>
      <c r="BK40" s="223"/>
      <c r="BL40" s="223"/>
      <c r="BO40" s="176"/>
      <c r="BP40" s="223"/>
      <c r="BQ40" s="274"/>
      <c r="BR40" s="275"/>
      <c r="BS40" s="223"/>
      <c r="BT40" s="276"/>
      <c r="BX40" s="223"/>
      <c r="BY40" s="223"/>
      <c r="BZ40" s="176"/>
      <c r="CA40" s="176"/>
      <c r="CB40" s="176"/>
      <c r="CC40" s="176"/>
    </row>
    <row r="41" spans="1:81" ht="13.8" thickBot="1" x14ac:dyDescent="0.3">
      <c r="A41" s="313" t="s">
        <v>402</v>
      </c>
      <c r="B41" s="319"/>
      <c r="C41" s="313" t="s">
        <v>33</v>
      </c>
      <c r="D41" s="314" t="s">
        <v>90</v>
      </c>
      <c r="E41" s="320" t="s">
        <v>41</v>
      </c>
      <c r="H41" s="174">
        <v>35</v>
      </c>
      <c r="I41" s="465">
        <f t="shared" si="25"/>
        <v>0.35</v>
      </c>
      <c r="J41" s="221"/>
      <c r="K41" s="221"/>
      <c r="L41" s="221"/>
      <c r="M41" s="221"/>
      <c r="N41" s="271"/>
      <c r="O41" s="176"/>
      <c r="P41" s="221"/>
      <c r="Q41" s="451"/>
      <c r="S41" s="272"/>
      <c r="T41" s="272"/>
      <c r="U41" s="272"/>
      <c r="AJ41" s="451"/>
      <c r="AZ41" s="273"/>
      <c r="BJ41" s="223"/>
      <c r="BK41" s="223"/>
      <c r="BL41" s="223"/>
      <c r="BO41" s="176"/>
      <c r="BP41" s="223"/>
      <c r="BQ41" s="274"/>
      <c r="BR41" s="275"/>
      <c r="BS41" s="223"/>
      <c r="BT41" s="276"/>
      <c r="BX41" s="223"/>
      <c r="BY41" s="223"/>
      <c r="BZ41" s="176"/>
      <c r="CA41" s="176"/>
      <c r="CB41" s="176"/>
      <c r="CC41" s="176"/>
    </row>
    <row r="42" spans="1:81" ht="13.8" thickBot="1" x14ac:dyDescent="0.3">
      <c r="A42" s="321" t="s">
        <v>403</v>
      </c>
      <c r="B42" s="322">
        <v>110</v>
      </c>
      <c r="C42" s="282" t="s">
        <v>259</v>
      </c>
      <c r="D42" s="175">
        <f>B42/1000</f>
        <v>0.11</v>
      </c>
      <c r="E42" s="281" t="s">
        <v>407</v>
      </c>
      <c r="H42" s="174">
        <v>36</v>
      </c>
      <c r="I42" s="465">
        <f t="shared" si="25"/>
        <v>0.36</v>
      </c>
      <c r="J42" s="221"/>
      <c r="K42" s="221"/>
      <c r="L42" s="221"/>
      <c r="M42" s="221"/>
      <c r="N42" s="271"/>
      <c r="O42" s="176"/>
      <c r="P42" s="221"/>
      <c r="Q42" s="451"/>
      <c r="S42" s="272"/>
      <c r="T42" s="272"/>
      <c r="U42" s="272"/>
      <c r="AJ42" s="451"/>
      <c r="AZ42" s="273"/>
      <c r="BJ42" s="223"/>
      <c r="BK42" s="223"/>
      <c r="BL42" s="223"/>
      <c r="BO42" s="176"/>
      <c r="BP42" s="223"/>
      <c r="BQ42" s="274"/>
      <c r="BR42" s="275"/>
      <c r="BS42" s="223"/>
      <c r="BT42" s="276"/>
      <c r="BX42" s="223"/>
      <c r="BY42" s="223"/>
      <c r="BZ42" s="176"/>
      <c r="CA42" s="176"/>
      <c r="CB42" s="176"/>
      <c r="CC42" s="176"/>
    </row>
    <row r="43" spans="1:81" ht="13.8" thickBot="1" x14ac:dyDescent="0.3">
      <c r="A43" s="302" t="s">
        <v>267</v>
      </c>
      <c r="B43" s="323"/>
      <c r="C43" s="324" t="s">
        <v>268</v>
      </c>
      <c r="D43" s="175"/>
      <c r="E43" s="281" t="s">
        <v>267</v>
      </c>
      <c r="H43" s="174">
        <v>37</v>
      </c>
      <c r="I43" s="465">
        <f t="shared" si="25"/>
        <v>0.37</v>
      </c>
      <c r="J43" s="221"/>
      <c r="K43" s="221"/>
      <c r="L43" s="221"/>
      <c r="M43" s="221"/>
      <c r="N43" s="271"/>
      <c r="O43" s="176"/>
      <c r="P43" s="221"/>
      <c r="Q43" s="451"/>
      <c r="S43" s="272"/>
      <c r="T43" s="272"/>
      <c r="U43" s="272"/>
      <c r="AJ43" s="451"/>
      <c r="AZ43" s="273"/>
      <c r="BJ43" s="223"/>
      <c r="BK43" s="223"/>
      <c r="BL43" s="223"/>
      <c r="BO43" s="176"/>
      <c r="BP43" s="223"/>
      <c r="BQ43" s="274"/>
      <c r="BR43" s="275"/>
      <c r="BS43" s="223"/>
      <c r="BT43" s="276"/>
      <c r="BX43" s="223"/>
      <c r="BY43" s="223"/>
      <c r="BZ43" s="176"/>
      <c r="CA43" s="176"/>
      <c r="CB43" s="176"/>
      <c r="CC43" s="176"/>
    </row>
    <row r="44" spans="1:81" ht="13.8" thickBot="1" x14ac:dyDescent="0.3">
      <c r="A44" s="302" t="s">
        <v>404</v>
      </c>
      <c r="B44" s="322">
        <v>10</v>
      </c>
      <c r="C44" s="291" t="s">
        <v>31</v>
      </c>
      <c r="D44" s="175">
        <f>B44/1000000000</f>
        <v>1E-8</v>
      </c>
      <c r="E44" s="281" t="s">
        <v>406</v>
      </c>
      <c r="H44" s="174">
        <v>38</v>
      </c>
      <c r="I44" s="465">
        <f t="shared" si="25"/>
        <v>0.38</v>
      </c>
      <c r="J44" s="221"/>
      <c r="K44" s="221"/>
      <c r="L44" s="221"/>
      <c r="M44" s="221"/>
      <c r="N44" s="271"/>
      <c r="O44" s="176"/>
      <c r="P44" s="221"/>
      <c r="Q44" s="451"/>
      <c r="S44" s="272"/>
      <c r="T44" s="272"/>
      <c r="U44" s="272"/>
      <c r="AJ44" s="451"/>
      <c r="AZ44" s="273"/>
      <c r="BJ44" s="223"/>
      <c r="BK44" s="223"/>
      <c r="BL44" s="223"/>
      <c r="BO44" s="176"/>
      <c r="BP44" s="223"/>
      <c r="BQ44" s="274"/>
      <c r="BR44" s="275"/>
      <c r="BS44" s="223"/>
      <c r="BT44" s="276"/>
      <c r="BX44" s="223"/>
      <c r="BY44" s="223"/>
      <c r="BZ44" s="176"/>
      <c r="CA44" s="176"/>
      <c r="CB44" s="176"/>
      <c r="CC44" s="176"/>
    </row>
    <row r="45" spans="1:81" ht="13.8" thickBot="1" x14ac:dyDescent="0.3">
      <c r="A45" s="305" t="s">
        <v>241</v>
      </c>
      <c r="B45" s="322">
        <v>200</v>
      </c>
      <c r="C45" s="291" t="s">
        <v>15</v>
      </c>
      <c r="D45" s="325">
        <f>B45/1000000000000</f>
        <v>2.0000000000000001E-10</v>
      </c>
      <c r="E45" s="281" t="s">
        <v>330</v>
      </c>
      <c r="H45" s="174">
        <v>39</v>
      </c>
      <c r="I45" s="465">
        <f t="shared" si="25"/>
        <v>0.39</v>
      </c>
      <c r="J45" s="221"/>
      <c r="K45" s="221"/>
      <c r="L45" s="221"/>
      <c r="M45" s="221"/>
      <c r="N45" s="271"/>
      <c r="O45" s="176"/>
      <c r="P45" s="221"/>
      <c r="Q45" s="451"/>
      <c r="S45" s="272"/>
      <c r="T45" s="272"/>
      <c r="U45" s="272"/>
      <c r="AJ45" s="451"/>
      <c r="AZ45" s="273"/>
      <c r="BJ45" s="223"/>
      <c r="BK45" s="223"/>
      <c r="BL45" s="223"/>
      <c r="BO45" s="176"/>
      <c r="BP45" s="223"/>
      <c r="BQ45" s="274"/>
      <c r="BR45" s="275"/>
      <c r="BS45" s="223"/>
      <c r="BT45" s="276"/>
      <c r="BX45" s="223"/>
      <c r="BY45" s="223"/>
      <c r="BZ45" s="176"/>
      <c r="CA45" s="176"/>
      <c r="CB45" s="176"/>
      <c r="CC45" s="176"/>
    </row>
    <row r="46" spans="1:81" x14ac:dyDescent="0.25">
      <c r="A46" s="328" t="s">
        <v>329</v>
      </c>
      <c r="B46" s="322">
        <v>250</v>
      </c>
      <c r="C46" s="291" t="s">
        <v>15</v>
      </c>
      <c r="D46" s="293">
        <f>B46/1000000000000</f>
        <v>2.5000000000000002E-10</v>
      </c>
      <c r="E46" s="281" t="s">
        <v>483</v>
      </c>
      <c r="H46" s="174">
        <v>40</v>
      </c>
      <c r="I46" s="465">
        <f t="shared" si="25"/>
        <v>0.4</v>
      </c>
      <c r="J46" s="221"/>
      <c r="K46" s="221"/>
      <c r="L46" s="221"/>
      <c r="M46" s="221"/>
      <c r="N46" s="271"/>
      <c r="O46" s="176"/>
      <c r="P46" s="221"/>
      <c r="Q46" s="451"/>
      <c r="S46" s="272"/>
      <c r="T46" s="272"/>
      <c r="U46" s="272"/>
      <c r="AJ46" s="451"/>
      <c r="AZ46" s="273"/>
      <c r="BJ46" s="223"/>
      <c r="BK46" s="223"/>
      <c r="BL46" s="223"/>
      <c r="BO46" s="176"/>
      <c r="BP46" s="223"/>
      <c r="BQ46" s="274"/>
      <c r="BR46" s="275"/>
      <c r="BS46" s="223"/>
      <c r="BT46" s="276"/>
      <c r="BX46" s="223"/>
      <c r="BY46" s="223"/>
      <c r="BZ46" s="176"/>
      <c r="CA46" s="176"/>
      <c r="CB46" s="176"/>
      <c r="CC46" s="176"/>
    </row>
    <row r="47" spans="1:81" ht="13.8" thickBot="1" x14ac:dyDescent="0.3">
      <c r="A47" s="313" t="s">
        <v>408</v>
      </c>
      <c r="B47" s="326"/>
      <c r="C47" s="313" t="s">
        <v>33</v>
      </c>
      <c r="D47" s="314" t="s">
        <v>90</v>
      </c>
      <c r="E47" s="327" t="s">
        <v>41</v>
      </c>
      <c r="H47" s="174">
        <v>41</v>
      </c>
      <c r="I47" s="465">
        <f t="shared" si="25"/>
        <v>0.41</v>
      </c>
      <c r="J47" s="221"/>
      <c r="K47" s="221"/>
      <c r="L47" s="221"/>
      <c r="M47" s="221"/>
      <c r="N47" s="271"/>
      <c r="O47" s="176"/>
      <c r="P47" s="221"/>
      <c r="Q47" s="451"/>
      <c r="S47" s="272"/>
      <c r="T47" s="272"/>
      <c r="U47" s="272"/>
      <c r="AJ47" s="451"/>
      <c r="AZ47" s="273"/>
      <c r="BJ47" s="223"/>
      <c r="BK47" s="223"/>
      <c r="BL47" s="223"/>
      <c r="BO47" s="176"/>
      <c r="BP47" s="223"/>
      <c r="BQ47" s="274"/>
      <c r="BR47" s="275"/>
      <c r="BS47" s="223"/>
      <c r="BT47" s="276"/>
      <c r="BX47" s="223"/>
      <c r="BY47" s="223"/>
      <c r="BZ47" s="176"/>
      <c r="CA47" s="176"/>
      <c r="CB47" s="176"/>
      <c r="CC47" s="176"/>
    </row>
    <row r="48" spans="1:81" ht="13.8" thickBot="1" x14ac:dyDescent="0.3">
      <c r="A48" s="321" t="s">
        <v>665</v>
      </c>
      <c r="B48" s="322">
        <f>'Design PSR Flyback Converter'!E41</f>
        <v>0.9</v>
      </c>
      <c r="C48" s="279" t="s">
        <v>0</v>
      </c>
      <c r="D48" s="175">
        <f>B48</f>
        <v>0.9</v>
      </c>
      <c r="E48" s="281" t="s">
        <v>664</v>
      </c>
      <c r="H48" s="174">
        <v>42</v>
      </c>
      <c r="I48" s="465">
        <f t="shared" si="25"/>
        <v>0.42</v>
      </c>
      <c r="J48" s="221"/>
      <c r="K48" s="221"/>
      <c r="L48" s="221"/>
      <c r="M48" s="221"/>
      <c r="N48" s="271"/>
      <c r="O48" s="176"/>
      <c r="P48" s="221"/>
      <c r="Q48" s="451"/>
      <c r="S48" s="272"/>
      <c r="T48" s="272"/>
      <c r="U48" s="272"/>
      <c r="AJ48" s="451"/>
      <c r="AZ48" s="273"/>
      <c r="BJ48" s="223"/>
      <c r="BK48" s="223"/>
      <c r="BL48" s="223"/>
      <c r="BO48" s="176"/>
      <c r="BP48" s="223"/>
      <c r="BQ48" s="274"/>
      <c r="BR48" s="275"/>
      <c r="BS48" s="223"/>
      <c r="BT48" s="276"/>
      <c r="BX48" s="223"/>
      <c r="BY48" s="223"/>
      <c r="BZ48" s="176"/>
      <c r="CA48" s="176"/>
      <c r="CB48" s="176"/>
      <c r="CC48" s="176"/>
    </row>
    <row r="49" spans="1:81" ht="13.8" thickBot="1" x14ac:dyDescent="0.3">
      <c r="A49" s="321" t="s">
        <v>666</v>
      </c>
      <c r="B49" s="322">
        <f>'Design PSR Flyback Converter'!E42</f>
        <v>0.9</v>
      </c>
      <c r="C49" s="279" t="s">
        <v>0</v>
      </c>
      <c r="D49" s="175">
        <f>B49</f>
        <v>0.9</v>
      </c>
      <c r="E49" s="281" t="s">
        <v>663</v>
      </c>
      <c r="H49" s="174">
        <v>43</v>
      </c>
      <c r="I49" s="465">
        <f t="shared" si="25"/>
        <v>0.43</v>
      </c>
      <c r="J49" s="221"/>
      <c r="K49" s="221"/>
      <c r="L49" s="221"/>
      <c r="M49" s="221"/>
      <c r="N49" s="271"/>
      <c r="O49" s="176"/>
      <c r="P49" s="221"/>
      <c r="Q49" s="451"/>
      <c r="S49" s="272"/>
      <c r="T49" s="272"/>
      <c r="U49" s="272"/>
      <c r="AJ49" s="451"/>
      <c r="AZ49" s="273"/>
      <c r="BJ49" s="223"/>
      <c r="BK49" s="223"/>
      <c r="BL49" s="223"/>
      <c r="BO49" s="176"/>
      <c r="BP49" s="223"/>
      <c r="BQ49" s="274"/>
      <c r="BR49" s="275"/>
      <c r="BS49" s="223"/>
      <c r="BT49" s="276"/>
      <c r="BX49" s="223"/>
      <c r="BY49" s="223"/>
      <c r="BZ49" s="176"/>
      <c r="CA49" s="176"/>
      <c r="CB49" s="176"/>
      <c r="CC49" s="176"/>
    </row>
    <row r="50" spans="1:81" ht="13.8" thickBot="1" x14ac:dyDescent="0.3">
      <c r="A50" s="321" t="s">
        <v>269</v>
      </c>
      <c r="B50" s="322">
        <v>100</v>
      </c>
      <c r="C50" s="282" t="s">
        <v>259</v>
      </c>
      <c r="D50" s="175">
        <f>B50*0.001</f>
        <v>0.1</v>
      </c>
      <c r="E50" s="281" t="s">
        <v>270</v>
      </c>
      <c r="H50" s="174">
        <v>44</v>
      </c>
      <c r="I50" s="465">
        <f t="shared" si="25"/>
        <v>0.44</v>
      </c>
      <c r="J50" s="221"/>
      <c r="K50" s="221"/>
      <c r="L50" s="221"/>
      <c r="M50" s="221"/>
      <c r="N50" s="271"/>
      <c r="O50" s="176"/>
      <c r="P50" s="221"/>
      <c r="Q50" s="451"/>
      <c r="S50" s="272"/>
      <c r="T50" s="272"/>
      <c r="U50" s="272"/>
      <c r="AJ50" s="451"/>
      <c r="AZ50" s="273"/>
      <c r="BJ50" s="223"/>
      <c r="BK50" s="223"/>
      <c r="BL50" s="223"/>
      <c r="BO50" s="176"/>
      <c r="BP50" s="223"/>
      <c r="BQ50" s="274"/>
      <c r="BR50" s="275"/>
      <c r="BS50" s="223"/>
      <c r="BT50" s="276"/>
      <c r="BX50" s="223"/>
      <c r="BY50" s="223"/>
      <c r="BZ50" s="176"/>
      <c r="CA50" s="176"/>
      <c r="CB50" s="176"/>
      <c r="CC50" s="176"/>
    </row>
    <row r="51" spans="1:81" ht="13.8" thickBot="1" x14ac:dyDescent="0.3">
      <c r="A51" s="302" t="s">
        <v>411</v>
      </c>
      <c r="B51" s="322">
        <v>2</v>
      </c>
      <c r="C51" s="291" t="s">
        <v>31</v>
      </c>
      <c r="D51" s="293">
        <f>B51*0.000000001</f>
        <v>2.0000000000000001E-9</v>
      </c>
      <c r="E51" s="281" t="s">
        <v>271</v>
      </c>
      <c r="H51" s="174">
        <v>45</v>
      </c>
      <c r="I51" s="465">
        <f t="shared" si="25"/>
        <v>0.45</v>
      </c>
      <c r="J51" s="221"/>
      <c r="K51" s="221"/>
      <c r="L51" s="221"/>
      <c r="M51" s="221"/>
      <c r="N51" s="271"/>
      <c r="O51" s="176"/>
      <c r="P51" s="221"/>
      <c r="Q51" s="451"/>
      <c r="S51" s="272"/>
      <c r="T51" s="272"/>
      <c r="U51" s="272"/>
      <c r="AJ51" s="451"/>
      <c r="AZ51" s="273"/>
      <c r="BJ51" s="223"/>
      <c r="BK51" s="223"/>
      <c r="BL51" s="223"/>
      <c r="BO51" s="176"/>
      <c r="BP51" s="223"/>
      <c r="BQ51" s="274"/>
      <c r="BR51" s="275"/>
      <c r="BS51" s="223"/>
      <c r="BT51" s="276"/>
      <c r="BX51" s="223"/>
      <c r="BY51" s="223"/>
      <c r="BZ51" s="176"/>
      <c r="CA51" s="176"/>
      <c r="CB51" s="176"/>
      <c r="CC51" s="176"/>
    </row>
    <row r="52" spans="1:81" ht="13.8" thickBot="1" x14ac:dyDescent="0.3">
      <c r="A52" s="302" t="s">
        <v>412</v>
      </c>
      <c r="B52" s="322">
        <v>10</v>
      </c>
      <c r="C52" s="291" t="s">
        <v>32</v>
      </c>
      <c r="D52" s="293">
        <f>B52*0.000000001</f>
        <v>1E-8</v>
      </c>
      <c r="E52" s="281" t="s">
        <v>272</v>
      </c>
      <c r="H52" s="174">
        <v>46</v>
      </c>
      <c r="I52" s="465">
        <f t="shared" si="25"/>
        <v>0.46</v>
      </c>
      <c r="J52" s="221"/>
      <c r="K52" s="221"/>
      <c r="L52" s="221"/>
      <c r="M52" s="221"/>
      <c r="N52" s="271"/>
      <c r="O52" s="176"/>
      <c r="P52" s="221"/>
      <c r="Q52" s="451"/>
      <c r="S52" s="272"/>
      <c r="T52" s="272"/>
      <c r="U52" s="272"/>
      <c r="AJ52" s="451"/>
      <c r="AZ52" s="273"/>
      <c r="BJ52" s="223"/>
      <c r="BK52" s="223"/>
      <c r="BL52" s="223"/>
      <c r="BO52" s="176"/>
      <c r="BP52" s="223"/>
      <c r="BQ52" s="274"/>
      <c r="BR52" s="275"/>
      <c r="BS52" s="223"/>
      <c r="BT52" s="276"/>
      <c r="BX52" s="223"/>
      <c r="BY52" s="223"/>
      <c r="BZ52" s="176"/>
      <c r="CA52" s="176"/>
      <c r="CB52" s="176"/>
      <c r="CC52" s="176"/>
    </row>
    <row r="53" spans="1:81" x14ac:dyDescent="0.25">
      <c r="A53" s="328" t="s">
        <v>500</v>
      </c>
      <c r="B53" s="322">
        <v>0</v>
      </c>
      <c r="C53" s="279" t="s">
        <v>273</v>
      </c>
      <c r="D53" s="293">
        <f>B53/1000000</f>
        <v>0</v>
      </c>
      <c r="E53" s="281" t="s">
        <v>274</v>
      </c>
      <c r="H53" s="174">
        <v>47</v>
      </c>
      <c r="I53" s="465">
        <f t="shared" si="25"/>
        <v>0.47</v>
      </c>
      <c r="J53" s="221"/>
      <c r="K53" s="221"/>
      <c r="L53" s="221"/>
      <c r="M53" s="221"/>
      <c r="N53" s="271"/>
      <c r="O53" s="176"/>
      <c r="P53" s="221"/>
      <c r="Q53" s="451"/>
      <c r="S53" s="272"/>
      <c r="T53" s="272"/>
      <c r="U53" s="272"/>
      <c r="AJ53" s="451"/>
      <c r="AZ53" s="273"/>
      <c r="BJ53" s="223"/>
      <c r="BK53" s="223"/>
      <c r="BL53" s="223"/>
      <c r="BO53" s="176"/>
      <c r="BP53" s="223"/>
      <c r="BQ53" s="274"/>
      <c r="BR53" s="275"/>
      <c r="BS53" s="223"/>
      <c r="BT53" s="276"/>
      <c r="BX53" s="223"/>
      <c r="BY53" s="223"/>
      <c r="BZ53" s="176"/>
      <c r="CA53" s="176"/>
      <c r="CB53" s="176"/>
      <c r="CC53" s="176"/>
    </row>
    <row r="54" spans="1:81" x14ac:dyDescent="0.25">
      <c r="A54" s="324"/>
      <c r="H54" s="174">
        <v>48</v>
      </c>
      <c r="I54" s="465">
        <f t="shared" si="25"/>
        <v>0.48</v>
      </c>
      <c r="J54" s="221"/>
      <c r="K54" s="221"/>
      <c r="L54" s="221"/>
      <c r="M54" s="221"/>
      <c r="N54" s="271"/>
      <c r="O54" s="176"/>
      <c r="P54" s="221"/>
      <c r="Q54" s="451"/>
      <c r="S54" s="272"/>
      <c r="T54" s="272"/>
      <c r="U54" s="272"/>
      <c r="AJ54" s="451"/>
      <c r="AZ54" s="273"/>
      <c r="BJ54" s="223"/>
      <c r="BK54" s="223"/>
      <c r="BL54" s="223"/>
      <c r="BO54" s="176"/>
      <c r="BP54" s="223"/>
      <c r="BQ54" s="274"/>
      <c r="BR54" s="275"/>
      <c r="BS54" s="223"/>
      <c r="BT54" s="276"/>
      <c r="BX54" s="223"/>
      <c r="BY54" s="223"/>
      <c r="BZ54" s="176"/>
      <c r="CA54" s="176"/>
      <c r="CB54" s="176"/>
      <c r="CC54" s="176"/>
    </row>
    <row r="55" spans="1:81" x14ac:dyDescent="0.25">
      <c r="H55" s="174">
        <v>49</v>
      </c>
      <c r="I55" s="465">
        <f t="shared" si="25"/>
        <v>0.49</v>
      </c>
      <c r="J55" s="221"/>
      <c r="K55" s="221"/>
      <c r="L55" s="221"/>
      <c r="M55" s="221"/>
      <c r="N55" s="271"/>
      <c r="O55" s="176"/>
      <c r="P55" s="221"/>
      <c r="Q55" s="451"/>
      <c r="S55" s="272"/>
      <c r="T55" s="272"/>
      <c r="U55" s="272"/>
      <c r="AJ55" s="451"/>
      <c r="AZ55" s="273"/>
      <c r="BJ55" s="223"/>
      <c r="BK55" s="223"/>
      <c r="BL55" s="223"/>
      <c r="BO55" s="176"/>
      <c r="BP55" s="223"/>
      <c r="BQ55" s="274"/>
      <c r="BR55" s="275"/>
      <c r="BS55" s="223"/>
      <c r="BT55" s="276"/>
      <c r="BX55" s="223"/>
      <c r="BY55" s="223"/>
      <c r="BZ55" s="176"/>
      <c r="CA55" s="176"/>
      <c r="CB55" s="176"/>
      <c r="CC55" s="176"/>
    </row>
    <row r="56" spans="1:81" x14ac:dyDescent="0.25">
      <c r="H56" s="174">
        <v>50</v>
      </c>
      <c r="I56" s="465">
        <f t="shared" si="25"/>
        <v>0.5</v>
      </c>
      <c r="J56" s="221"/>
      <c r="K56" s="221"/>
      <c r="L56" s="221"/>
      <c r="M56" s="221"/>
      <c r="N56" s="271"/>
      <c r="O56" s="176"/>
      <c r="P56" s="221"/>
      <c r="Q56" s="451"/>
      <c r="S56" s="272"/>
      <c r="T56" s="272"/>
      <c r="U56" s="272"/>
      <c r="AJ56" s="451"/>
      <c r="AZ56" s="273"/>
      <c r="BJ56" s="223"/>
      <c r="BK56" s="223"/>
      <c r="BL56" s="223"/>
      <c r="BO56" s="176"/>
      <c r="BP56" s="223"/>
      <c r="BQ56" s="274"/>
      <c r="BR56" s="275"/>
      <c r="BS56" s="223"/>
      <c r="BT56" s="276"/>
      <c r="BX56" s="223"/>
      <c r="BY56" s="223"/>
      <c r="BZ56" s="176"/>
      <c r="CA56" s="176"/>
      <c r="CB56" s="176"/>
      <c r="CC56" s="176"/>
    </row>
    <row r="57" spans="1:81" x14ac:dyDescent="0.25">
      <c r="H57" s="174">
        <v>51</v>
      </c>
      <c r="I57" s="465">
        <f t="shared" si="25"/>
        <v>0.51</v>
      </c>
      <c r="J57" s="221"/>
      <c r="K57" s="221"/>
      <c r="L57" s="221"/>
      <c r="M57" s="221"/>
      <c r="N57" s="271"/>
      <c r="O57" s="176"/>
      <c r="P57" s="221"/>
      <c r="Q57" s="451"/>
      <c r="S57" s="272"/>
      <c r="T57" s="272"/>
      <c r="U57" s="272"/>
      <c r="AJ57" s="451"/>
      <c r="AZ57" s="273"/>
      <c r="BJ57" s="223"/>
      <c r="BK57" s="223"/>
      <c r="BL57" s="223"/>
      <c r="BO57" s="176"/>
      <c r="BP57" s="223"/>
      <c r="BQ57" s="274"/>
      <c r="BR57" s="275"/>
      <c r="BS57" s="223"/>
      <c r="BT57" s="276"/>
      <c r="BX57" s="223"/>
      <c r="BY57" s="223"/>
      <c r="BZ57" s="176"/>
      <c r="CA57" s="176"/>
      <c r="CB57" s="176"/>
      <c r="CC57" s="176"/>
    </row>
    <row r="58" spans="1:81" x14ac:dyDescent="0.25">
      <c r="A58" s="174">
        <f>Trise*1000000000</f>
        <v>10</v>
      </c>
      <c r="H58" s="174">
        <v>52</v>
      </c>
      <c r="I58" s="465">
        <f t="shared" si="25"/>
        <v>0.52</v>
      </c>
      <c r="J58" s="221"/>
      <c r="K58" s="221"/>
      <c r="L58" s="221"/>
      <c r="M58" s="221"/>
      <c r="N58" s="271"/>
      <c r="O58" s="176"/>
      <c r="P58" s="221"/>
      <c r="Q58" s="451"/>
      <c r="S58" s="272"/>
      <c r="T58" s="272"/>
      <c r="U58" s="272"/>
      <c r="AJ58" s="451"/>
      <c r="AZ58" s="273"/>
      <c r="BJ58" s="223"/>
      <c r="BK58" s="223"/>
      <c r="BL58" s="223"/>
      <c r="BO58" s="176"/>
      <c r="BP58" s="223"/>
      <c r="BQ58" s="274"/>
      <c r="BR58" s="275"/>
      <c r="BS58" s="223"/>
      <c r="BT58" s="276"/>
      <c r="BX58" s="223"/>
      <c r="BY58" s="223"/>
      <c r="BZ58" s="176"/>
      <c r="CA58" s="176"/>
      <c r="CB58" s="176"/>
      <c r="CC58" s="176"/>
    </row>
    <row r="59" spans="1:81" x14ac:dyDescent="0.25">
      <c r="H59" s="174">
        <v>53</v>
      </c>
      <c r="I59" s="465">
        <f t="shared" si="25"/>
        <v>0.53</v>
      </c>
      <c r="J59" s="221"/>
      <c r="K59" s="221"/>
      <c r="L59" s="221"/>
      <c r="M59" s="221"/>
      <c r="N59" s="271"/>
      <c r="O59" s="176"/>
      <c r="P59" s="221"/>
      <c r="Q59" s="451"/>
      <c r="S59" s="272"/>
      <c r="T59" s="272"/>
      <c r="U59" s="272"/>
      <c r="AJ59" s="451"/>
      <c r="AZ59" s="273"/>
      <c r="BJ59" s="223"/>
      <c r="BK59" s="223"/>
      <c r="BL59" s="223"/>
      <c r="BO59" s="176"/>
      <c r="BP59" s="223"/>
      <c r="BQ59" s="274"/>
      <c r="BR59" s="275"/>
      <c r="BS59" s="223"/>
      <c r="BT59" s="276"/>
      <c r="BX59" s="223"/>
      <c r="BY59" s="223"/>
      <c r="BZ59" s="176"/>
      <c r="CA59" s="176"/>
      <c r="CB59" s="176"/>
      <c r="CC59" s="176"/>
    </row>
    <row r="60" spans="1:81" x14ac:dyDescent="0.25">
      <c r="H60" s="174">
        <v>54</v>
      </c>
      <c r="I60" s="465">
        <f t="shared" si="25"/>
        <v>0.54</v>
      </c>
      <c r="J60" s="221"/>
      <c r="K60" s="221"/>
      <c r="L60" s="221"/>
      <c r="M60" s="221"/>
      <c r="N60" s="271"/>
      <c r="O60" s="176"/>
      <c r="P60" s="221"/>
      <c r="Q60" s="451"/>
      <c r="S60" s="272"/>
      <c r="T60" s="272"/>
      <c r="U60" s="272"/>
      <c r="AJ60" s="451"/>
      <c r="AZ60" s="273"/>
      <c r="BJ60" s="223"/>
      <c r="BK60" s="223"/>
      <c r="BL60" s="223"/>
      <c r="BO60" s="176"/>
      <c r="BP60" s="223"/>
      <c r="BQ60" s="274"/>
      <c r="BR60" s="275"/>
      <c r="BS60" s="223"/>
      <c r="BT60" s="276"/>
      <c r="BX60" s="223"/>
      <c r="BY60" s="223"/>
      <c r="BZ60" s="176"/>
      <c r="CA60" s="176"/>
      <c r="CB60" s="176"/>
      <c r="CC60" s="176"/>
    </row>
    <row r="61" spans="1:81" x14ac:dyDescent="0.25">
      <c r="H61" s="174">
        <v>55</v>
      </c>
      <c r="I61" s="465">
        <f t="shared" si="25"/>
        <v>0.55000000000000004</v>
      </c>
      <c r="J61" s="221"/>
      <c r="K61" s="221"/>
      <c r="L61" s="221"/>
      <c r="M61" s="221"/>
      <c r="N61" s="271"/>
      <c r="O61" s="176"/>
      <c r="P61" s="221"/>
      <c r="Q61" s="451"/>
      <c r="S61" s="272"/>
      <c r="T61" s="272"/>
      <c r="U61" s="272"/>
      <c r="AJ61" s="451"/>
      <c r="AZ61" s="273"/>
      <c r="BJ61" s="223"/>
      <c r="BK61" s="223"/>
      <c r="BL61" s="223"/>
      <c r="BO61" s="176"/>
      <c r="BP61" s="223"/>
      <c r="BQ61" s="274"/>
      <c r="BR61" s="275"/>
      <c r="BS61" s="223"/>
      <c r="BT61" s="276"/>
      <c r="BX61" s="223"/>
      <c r="BY61" s="223"/>
      <c r="BZ61" s="176"/>
      <c r="CA61" s="176"/>
      <c r="CB61" s="176"/>
      <c r="CC61" s="176"/>
    </row>
    <row r="62" spans="1:81" x14ac:dyDescent="0.25">
      <c r="H62" s="174">
        <v>56</v>
      </c>
      <c r="I62" s="465">
        <f t="shared" si="25"/>
        <v>0.56000000000000005</v>
      </c>
      <c r="J62" s="221"/>
      <c r="K62" s="221"/>
      <c r="L62" s="221"/>
      <c r="M62" s="221"/>
      <c r="N62" s="271"/>
      <c r="O62" s="176"/>
      <c r="P62" s="221"/>
      <c r="Q62" s="451"/>
      <c r="S62" s="272"/>
      <c r="T62" s="272"/>
      <c r="U62" s="272"/>
      <c r="AJ62" s="451"/>
      <c r="AZ62" s="273"/>
      <c r="BJ62" s="223"/>
      <c r="BK62" s="223"/>
      <c r="BL62" s="223"/>
      <c r="BO62" s="176"/>
      <c r="BP62" s="223"/>
      <c r="BQ62" s="274"/>
      <c r="BR62" s="275"/>
      <c r="BS62" s="223"/>
      <c r="BT62" s="276"/>
      <c r="BX62" s="223"/>
      <c r="BY62" s="223"/>
      <c r="BZ62" s="176"/>
      <c r="CA62" s="176"/>
      <c r="CB62" s="176"/>
      <c r="CC62" s="176"/>
    </row>
    <row r="63" spans="1:81" x14ac:dyDescent="0.25">
      <c r="F63" s="329" t="s">
        <v>275</v>
      </c>
      <c r="G63" s="329" t="s">
        <v>276</v>
      </c>
      <c r="H63" s="174">
        <v>57</v>
      </c>
      <c r="I63" s="465">
        <f t="shared" si="25"/>
        <v>0.56999999999999995</v>
      </c>
      <c r="J63" s="221"/>
      <c r="K63" s="221"/>
      <c r="L63" s="221"/>
      <c r="M63" s="221"/>
      <c r="N63" s="271"/>
      <c r="O63" s="176"/>
      <c r="P63" s="221"/>
      <c r="Q63" s="451"/>
      <c r="S63" s="272"/>
      <c r="T63" s="272"/>
      <c r="U63" s="272"/>
      <c r="AJ63" s="451"/>
      <c r="AZ63" s="273"/>
      <c r="BJ63" s="223"/>
      <c r="BK63" s="223"/>
      <c r="BL63" s="223"/>
      <c r="BO63" s="176"/>
      <c r="BP63" s="223"/>
      <c r="BQ63" s="274"/>
      <c r="BR63" s="275"/>
      <c r="BS63" s="223"/>
      <c r="BT63" s="276"/>
      <c r="BX63" s="223"/>
      <c r="BY63" s="223"/>
      <c r="BZ63" s="176"/>
      <c r="CA63" s="176"/>
      <c r="CB63" s="176"/>
      <c r="CC63" s="176"/>
    </row>
    <row r="64" spans="1:81" x14ac:dyDescent="0.25">
      <c r="F64" s="330">
        <f>BM56</f>
        <v>0</v>
      </c>
      <c r="G64" s="331">
        <f>I56*1000</f>
        <v>500</v>
      </c>
      <c r="H64" s="174">
        <v>58</v>
      </c>
      <c r="I64" s="465">
        <f t="shared" si="25"/>
        <v>0.57999999999999996</v>
      </c>
      <c r="J64" s="221"/>
      <c r="K64" s="221"/>
      <c r="L64" s="221"/>
      <c r="M64" s="221"/>
      <c r="N64" s="271"/>
      <c r="O64" s="176"/>
      <c r="P64" s="221"/>
      <c r="Q64" s="451"/>
      <c r="S64" s="272"/>
      <c r="T64" s="272"/>
      <c r="U64" s="272"/>
      <c r="AJ64" s="451"/>
      <c r="AZ64" s="273"/>
      <c r="BJ64" s="223"/>
      <c r="BK64" s="223"/>
      <c r="BL64" s="223"/>
      <c r="BO64" s="176"/>
      <c r="BP64" s="223"/>
      <c r="BQ64" s="274"/>
      <c r="BR64" s="275"/>
      <c r="BS64" s="223"/>
      <c r="BT64" s="276"/>
      <c r="BX64" s="223"/>
      <c r="BY64" s="223"/>
      <c r="BZ64" s="176"/>
      <c r="CA64" s="176"/>
      <c r="CB64" s="176"/>
      <c r="CC64" s="176"/>
    </row>
    <row r="65" spans="6:81" x14ac:dyDescent="0.25">
      <c r="F65" s="330">
        <f>BM81</f>
        <v>0</v>
      </c>
      <c r="G65" s="331">
        <f>I81*1000</f>
        <v>750</v>
      </c>
      <c r="H65" s="174">
        <v>59</v>
      </c>
      <c r="I65" s="465">
        <f t="shared" si="25"/>
        <v>0.59</v>
      </c>
      <c r="J65" s="221"/>
      <c r="K65" s="221"/>
      <c r="L65" s="221"/>
      <c r="M65" s="221"/>
      <c r="N65" s="271"/>
      <c r="O65" s="176"/>
      <c r="P65" s="221"/>
      <c r="Q65" s="451"/>
      <c r="S65" s="272"/>
      <c r="T65" s="272"/>
      <c r="U65" s="272"/>
      <c r="AJ65" s="451"/>
      <c r="AZ65" s="273"/>
      <c r="BJ65" s="223"/>
      <c r="BK65" s="223"/>
      <c r="BL65" s="223"/>
      <c r="BO65" s="176"/>
      <c r="BP65" s="223"/>
      <c r="BQ65" s="274"/>
      <c r="BR65" s="275"/>
      <c r="BS65" s="223"/>
      <c r="BT65" s="276"/>
      <c r="BX65" s="223"/>
      <c r="BY65" s="223"/>
      <c r="BZ65" s="176"/>
      <c r="CA65" s="176"/>
      <c r="CB65" s="176"/>
      <c r="CC65" s="176"/>
    </row>
    <row r="66" spans="6:81" x14ac:dyDescent="0.25">
      <c r="F66" s="330">
        <f>BM106</f>
        <v>100</v>
      </c>
      <c r="G66" s="331">
        <f>I106*1000</f>
        <v>1000</v>
      </c>
      <c r="H66" s="174">
        <v>60</v>
      </c>
      <c r="I66" s="465">
        <f t="shared" si="25"/>
        <v>0.6</v>
      </c>
      <c r="J66" s="221"/>
      <c r="K66" s="221"/>
      <c r="L66" s="221"/>
      <c r="M66" s="221"/>
      <c r="N66" s="271"/>
      <c r="O66" s="176"/>
      <c r="P66" s="221"/>
      <c r="Q66" s="451"/>
      <c r="S66" s="272"/>
      <c r="T66" s="272"/>
      <c r="U66" s="272"/>
      <c r="AJ66" s="451"/>
      <c r="AZ66" s="273"/>
      <c r="BJ66" s="223"/>
      <c r="BK66" s="223"/>
      <c r="BL66" s="223"/>
      <c r="BO66" s="176"/>
      <c r="BP66" s="223"/>
      <c r="BQ66" s="274"/>
      <c r="BR66" s="275"/>
      <c r="BS66" s="223"/>
      <c r="BT66" s="276"/>
      <c r="BX66" s="223"/>
      <c r="BY66" s="223"/>
      <c r="BZ66" s="176"/>
      <c r="CA66" s="176"/>
      <c r="CB66" s="176"/>
      <c r="CC66" s="176"/>
    </row>
    <row r="67" spans="6:81" x14ac:dyDescent="0.25">
      <c r="H67" s="174">
        <v>61</v>
      </c>
      <c r="I67" s="465">
        <f t="shared" si="25"/>
        <v>0.61</v>
      </c>
      <c r="J67" s="221"/>
      <c r="K67" s="221"/>
      <c r="L67" s="221"/>
      <c r="M67" s="221"/>
      <c r="N67" s="271"/>
      <c r="O67" s="176"/>
      <c r="P67" s="221"/>
      <c r="Q67" s="451"/>
      <c r="S67" s="272"/>
      <c r="T67" s="272"/>
      <c r="U67" s="272"/>
      <c r="AJ67" s="451"/>
      <c r="AZ67" s="273"/>
      <c r="BJ67" s="223"/>
      <c r="BK67" s="223"/>
      <c r="BL67" s="223"/>
      <c r="BO67" s="176"/>
      <c r="BP67" s="223"/>
      <c r="BQ67" s="274"/>
      <c r="BR67" s="275"/>
      <c r="BS67" s="223"/>
      <c r="BT67" s="276"/>
      <c r="BX67" s="223"/>
      <c r="BY67" s="223"/>
      <c r="BZ67" s="176"/>
      <c r="CA67" s="176"/>
      <c r="CB67" s="176"/>
      <c r="CC67" s="176"/>
    </row>
    <row r="68" spans="6:81" x14ac:dyDescent="0.25">
      <c r="H68" s="174">
        <v>62</v>
      </c>
      <c r="I68" s="465">
        <f t="shared" si="25"/>
        <v>0.62</v>
      </c>
      <c r="J68" s="221"/>
      <c r="K68" s="221"/>
      <c r="L68" s="221"/>
      <c r="M68" s="221"/>
      <c r="N68" s="271"/>
      <c r="O68" s="176"/>
      <c r="P68" s="221"/>
      <c r="Q68" s="451"/>
      <c r="S68" s="272"/>
      <c r="T68" s="272"/>
      <c r="U68" s="272"/>
      <c r="AJ68" s="451"/>
      <c r="AZ68" s="273"/>
      <c r="BJ68" s="223"/>
      <c r="BK68" s="223"/>
      <c r="BL68" s="223"/>
      <c r="BO68" s="176"/>
      <c r="BP68" s="223"/>
      <c r="BQ68" s="274"/>
      <c r="BR68" s="275"/>
      <c r="BS68" s="223"/>
      <c r="BT68" s="276"/>
      <c r="BX68" s="223"/>
      <c r="BY68" s="223"/>
      <c r="BZ68" s="176"/>
      <c r="CA68" s="176"/>
      <c r="CB68" s="176"/>
      <c r="CC68" s="176"/>
    </row>
    <row r="69" spans="6:81" x14ac:dyDescent="0.25">
      <c r="H69" s="174">
        <v>63</v>
      </c>
      <c r="I69" s="465">
        <f t="shared" si="25"/>
        <v>0.63</v>
      </c>
      <c r="J69" s="221"/>
      <c r="K69" s="221"/>
      <c r="L69" s="221"/>
      <c r="M69" s="221"/>
      <c r="N69" s="271"/>
      <c r="O69" s="176"/>
      <c r="P69" s="221"/>
      <c r="Q69" s="451"/>
      <c r="S69" s="272"/>
      <c r="T69" s="272"/>
      <c r="U69" s="272"/>
      <c r="AJ69" s="451"/>
      <c r="AZ69" s="273"/>
      <c r="BJ69" s="223"/>
      <c r="BK69" s="223"/>
      <c r="BL69" s="223"/>
      <c r="BO69" s="176"/>
      <c r="BP69" s="223"/>
      <c r="BQ69" s="274"/>
      <c r="BR69" s="275"/>
      <c r="BS69" s="223"/>
      <c r="BT69" s="276"/>
      <c r="BX69" s="223"/>
      <c r="BY69" s="223"/>
      <c r="BZ69" s="176"/>
      <c r="CA69" s="176"/>
      <c r="CB69" s="176"/>
      <c r="CC69" s="176"/>
    </row>
    <row r="70" spans="6:81" x14ac:dyDescent="0.25">
      <c r="H70" s="174">
        <v>64</v>
      </c>
      <c r="I70" s="465">
        <f t="shared" ref="I70:I101" si="26">IF(PLOT_TYPE=1, H70/100*Iout_max, min_I*EXP(H70*rr/100))</f>
        <v>0.64</v>
      </c>
      <c r="J70" s="221"/>
      <c r="K70" s="221"/>
      <c r="L70" s="221"/>
      <c r="M70" s="221"/>
      <c r="N70" s="271"/>
      <c r="O70" s="176"/>
      <c r="P70" s="221"/>
      <c r="Q70" s="451"/>
      <c r="S70" s="272"/>
      <c r="T70" s="272"/>
      <c r="U70" s="272"/>
      <c r="AJ70" s="451"/>
      <c r="AZ70" s="273"/>
      <c r="BJ70" s="223"/>
      <c r="BK70" s="223"/>
      <c r="BL70" s="223"/>
      <c r="BO70" s="176"/>
      <c r="BP70" s="223"/>
      <c r="BQ70" s="274"/>
      <c r="BR70" s="275"/>
      <c r="BS70" s="223"/>
      <c r="BT70" s="276"/>
      <c r="BX70" s="223"/>
      <c r="BY70" s="223"/>
      <c r="BZ70" s="176"/>
      <c r="CA70" s="176"/>
      <c r="CB70" s="176"/>
      <c r="CC70" s="176"/>
    </row>
    <row r="71" spans="6:81" x14ac:dyDescent="0.25">
      <c r="H71" s="174">
        <v>65</v>
      </c>
      <c r="I71" s="465">
        <f t="shared" si="26"/>
        <v>0.65</v>
      </c>
      <c r="J71" s="221"/>
      <c r="K71" s="221"/>
      <c r="L71" s="221"/>
      <c r="M71" s="221"/>
      <c r="N71" s="271"/>
      <c r="O71" s="176"/>
      <c r="P71" s="221"/>
      <c r="Q71" s="451"/>
      <c r="S71" s="272"/>
      <c r="T71" s="272"/>
      <c r="U71" s="272"/>
      <c r="AJ71" s="451"/>
      <c r="AZ71" s="273"/>
      <c r="BJ71" s="223"/>
      <c r="BK71" s="223"/>
      <c r="BL71" s="223"/>
      <c r="BO71" s="176"/>
      <c r="BP71" s="223"/>
      <c r="BQ71" s="274"/>
      <c r="BR71" s="275"/>
      <c r="BS71" s="223"/>
      <c r="BT71" s="276"/>
      <c r="BX71" s="223"/>
      <c r="BY71" s="223"/>
      <c r="BZ71" s="176"/>
      <c r="CA71" s="176"/>
      <c r="CB71" s="176"/>
      <c r="CC71" s="176"/>
    </row>
    <row r="72" spans="6:81" x14ac:dyDescent="0.25">
      <c r="H72" s="174">
        <v>66</v>
      </c>
      <c r="I72" s="465">
        <f t="shared" si="26"/>
        <v>0.66</v>
      </c>
      <c r="J72" s="221"/>
      <c r="K72" s="221"/>
      <c r="L72" s="221"/>
      <c r="M72" s="221"/>
      <c r="N72" s="271"/>
      <c r="O72" s="176"/>
      <c r="P72" s="221"/>
      <c r="Q72" s="451"/>
      <c r="S72" s="272"/>
      <c r="T72" s="272"/>
      <c r="U72" s="272"/>
      <c r="AJ72" s="451"/>
      <c r="AZ72" s="273"/>
      <c r="BJ72" s="223"/>
      <c r="BK72" s="223"/>
      <c r="BL72" s="223"/>
      <c r="BO72" s="176"/>
      <c r="BP72" s="223"/>
      <c r="BQ72" s="274"/>
      <c r="BR72" s="275"/>
      <c r="BS72" s="223"/>
      <c r="BT72" s="276"/>
      <c r="BX72" s="223"/>
      <c r="BY72" s="223"/>
      <c r="BZ72" s="176"/>
      <c r="CA72" s="176"/>
      <c r="CB72" s="176"/>
      <c r="CC72" s="176"/>
    </row>
    <row r="73" spans="6:81" x14ac:dyDescent="0.25">
      <c r="H73" s="174">
        <v>67</v>
      </c>
      <c r="I73" s="465">
        <f t="shared" si="26"/>
        <v>0.67</v>
      </c>
      <c r="J73" s="221"/>
      <c r="K73" s="221"/>
      <c r="L73" s="221"/>
      <c r="M73" s="221"/>
      <c r="N73" s="271"/>
      <c r="O73" s="176"/>
      <c r="P73" s="221"/>
      <c r="Q73" s="451"/>
      <c r="S73" s="272"/>
      <c r="T73" s="272"/>
      <c r="U73" s="272"/>
      <c r="AJ73" s="451"/>
      <c r="AZ73" s="273"/>
      <c r="BJ73" s="223"/>
      <c r="BK73" s="223"/>
      <c r="BL73" s="223"/>
      <c r="BO73" s="176"/>
      <c r="BP73" s="223"/>
      <c r="BQ73" s="274"/>
      <c r="BR73" s="275"/>
      <c r="BS73" s="223"/>
      <c r="BT73" s="276"/>
      <c r="BX73" s="223"/>
      <c r="BY73" s="223"/>
      <c r="BZ73" s="176"/>
      <c r="CA73" s="176"/>
      <c r="CB73" s="176"/>
      <c r="CC73" s="176"/>
    </row>
    <row r="74" spans="6:81" x14ac:dyDescent="0.25">
      <c r="H74" s="174">
        <v>68</v>
      </c>
      <c r="I74" s="465">
        <f t="shared" si="26"/>
        <v>0.68</v>
      </c>
      <c r="J74" s="221"/>
      <c r="K74" s="221"/>
      <c r="L74" s="221"/>
      <c r="M74" s="221"/>
      <c r="N74" s="271"/>
      <c r="O74" s="176"/>
      <c r="P74" s="221"/>
      <c r="Q74" s="451"/>
      <c r="S74" s="272"/>
      <c r="T74" s="272"/>
      <c r="U74" s="272"/>
      <c r="AJ74" s="451"/>
      <c r="AZ74" s="273"/>
      <c r="BJ74" s="223"/>
      <c r="BK74" s="223"/>
      <c r="BL74" s="223"/>
      <c r="BO74" s="176"/>
      <c r="BP74" s="223"/>
      <c r="BQ74" s="274"/>
      <c r="BR74" s="275"/>
      <c r="BS74" s="223"/>
      <c r="BT74" s="276"/>
      <c r="BX74" s="223"/>
      <c r="BY74" s="223"/>
      <c r="BZ74" s="176"/>
      <c r="CA74" s="176"/>
      <c r="CB74" s="176"/>
      <c r="CC74" s="176"/>
    </row>
    <row r="75" spans="6:81" x14ac:dyDescent="0.25">
      <c r="H75" s="174">
        <v>69</v>
      </c>
      <c r="I75" s="465">
        <f t="shared" si="26"/>
        <v>0.69</v>
      </c>
      <c r="J75" s="221"/>
      <c r="K75" s="221"/>
      <c r="L75" s="221"/>
      <c r="M75" s="221"/>
      <c r="N75" s="271"/>
      <c r="O75" s="176"/>
      <c r="P75" s="221"/>
      <c r="Q75" s="451"/>
      <c r="S75" s="272"/>
      <c r="T75" s="272"/>
      <c r="U75" s="272"/>
      <c r="AJ75" s="451"/>
      <c r="AZ75" s="273"/>
      <c r="BJ75" s="223"/>
      <c r="BK75" s="223"/>
      <c r="BL75" s="223"/>
      <c r="BO75" s="176"/>
      <c r="BP75" s="223"/>
      <c r="BQ75" s="274"/>
      <c r="BR75" s="275"/>
      <c r="BS75" s="223"/>
      <c r="BT75" s="276"/>
      <c r="BX75" s="223"/>
      <c r="BY75" s="223"/>
      <c r="BZ75" s="176"/>
      <c r="CA75" s="176"/>
      <c r="CB75" s="176"/>
      <c r="CC75" s="176"/>
    </row>
    <row r="76" spans="6:81" x14ac:dyDescent="0.25">
      <c r="H76" s="174">
        <v>70</v>
      </c>
      <c r="I76" s="465">
        <f t="shared" si="26"/>
        <v>0.7</v>
      </c>
      <c r="J76" s="221"/>
      <c r="K76" s="221"/>
      <c r="L76" s="221"/>
      <c r="M76" s="221"/>
      <c r="N76" s="271"/>
      <c r="O76" s="176"/>
      <c r="P76" s="221"/>
      <c r="Q76" s="451"/>
      <c r="S76" s="272"/>
      <c r="T76" s="272"/>
      <c r="U76" s="272"/>
      <c r="AJ76" s="451"/>
      <c r="AZ76" s="273"/>
      <c r="BJ76" s="223"/>
      <c r="BK76" s="223"/>
      <c r="BL76" s="223"/>
      <c r="BO76" s="176"/>
      <c r="BP76" s="223"/>
      <c r="BQ76" s="274"/>
      <c r="BR76" s="275"/>
      <c r="BS76" s="223"/>
      <c r="BT76" s="276"/>
      <c r="BX76" s="223"/>
      <c r="BY76" s="223"/>
      <c r="BZ76" s="176"/>
      <c r="CA76" s="176"/>
      <c r="CB76" s="176"/>
      <c r="CC76" s="176"/>
    </row>
    <row r="77" spans="6:81" x14ac:dyDescent="0.25">
      <c r="H77" s="174">
        <v>71</v>
      </c>
      <c r="I77" s="465">
        <f t="shared" si="26"/>
        <v>0.71</v>
      </c>
      <c r="J77" s="221"/>
      <c r="K77" s="221"/>
      <c r="L77" s="221"/>
      <c r="M77" s="221"/>
      <c r="N77" s="271"/>
      <c r="O77" s="176"/>
      <c r="P77" s="221"/>
      <c r="Q77" s="451"/>
      <c r="S77" s="272"/>
      <c r="T77" s="272"/>
      <c r="U77" s="272"/>
      <c r="AJ77" s="451"/>
      <c r="AZ77" s="273"/>
      <c r="BJ77" s="223"/>
      <c r="BK77" s="223"/>
      <c r="BL77" s="223"/>
      <c r="BO77" s="176"/>
      <c r="BP77" s="223"/>
      <c r="BQ77" s="274"/>
      <c r="BR77" s="275"/>
      <c r="BS77" s="223"/>
      <c r="BT77" s="276"/>
      <c r="BX77" s="223"/>
      <c r="BY77" s="223"/>
      <c r="BZ77" s="176"/>
      <c r="CA77" s="176"/>
      <c r="CB77" s="176"/>
      <c r="CC77" s="176"/>
    </row>
    <row r="78" spans="6:81" x14ac:dyDescent="0.25">
      <c r="H78" s="174">
        <v>72</v>
      </c>
      <c r="I78" s="465">
        <f t="shared" si="26"/>
        <v>0.72</v>
      </c>
      <c r="J78" s="221"/>
      <c r="K78" s="221"/>
      <c r="L78" s="221"/>
      <c r="M78" s="221"/>
      <c r="N78" s="271"/>
      <c r="O78" s="176"/>
      <c r="P78" s="221"/>
      <c r="Q78" s="451"/>
      <c r="S78" s="272"/>
      <c r="T78" s="272"/>
      <c r="U78" s="272"/>
      <c r="AJ78" s="451"/>
      <c r="AZ78" s="273"/>
      <c r="BJ78" s="223"/>
      <c r="BK78" s="223"/>
      <c r="BL78" s="223"/>
      <c r="BO78" s="176"/>
      <c r="BP78" s="223"/>
      <c r="BQ78" s="274"/>
      <c r="BR78" s="275"/>
      <c r="BS78" s="223"/>
      <c r="BT78" s="276"/>
      <c r="BX78" s="223"/>
      <c r="BY78" s="223"/>
      <c r="BZ78" s="176"/>
      <c r="CA78" s="176"/>
      <c r="CB78" s="176"/>
      <c r="CC78" s="176"/>
    </row>
    <row r="79" spans="6:81" x14ac:dyDescent="0.25">
      <c r="H79" s="174">
        <v>73</v>
      </c>
      <c r="I79" s="465">
        <f t="shared" si="26"/>
        <v>0.73</v>
      </c>
      <c r="J79" s="221"/>
      <c r="K79" s="221"/>
      <c r="L79" s="221"/>
      <c r="M79" s="221"/>
      <c r="N79" s="271"/>
      <c r="O79" s="176"/>
      <c r="P79" s="221"/>
      <c r="Q79" s="451"/>
      <c r="S79" s="272"/>
      <c r="T79" s="272"/>
      <c r="U79" s="272"/>
      <c r="AJ79" s="451"/>
      <c r="AZ79" s="273"/>
      <c r="BJ79" s="223"/>
      <c r="BK79" s="223"/>
      <c r="BL79" s="223"/>
      <c r="BO79" s="176"/>
      <c r="BP79" s="223"/>
      <c r="BQ79" s="274"/>
      <c r="BR79" s="275"/>
      <c r="BS79" s="223"/>
      <c r="BT79" s="276"/>
      <c r="BX79" s="223"/>
      <c r="BY79" s="223"/>
      <c r="BZ79" s="176"/>
      <c r="CA79" s="176"/>
      <c r="CB79" s="176"/>
      <c r="CC79" s="176"/>
    </row>
    <row r="80" spans="6:81" x14ac:dyDescent="0.25">
      <c r="H80" s="174">
        <v>74</v>
      </c>
      <c r="I80" s="465">
        <f t="shared" si="26"/>
        <v>0.74</v>
      </c>
      <c r="J80" s="221"/>
      <c r="K80" s="221"/>
      <c r="L80" s="221"/>
      <c r="M80" s="221"/>
      <c r="N80" s="271"/>
      <c r="O80" s="176"/>
      <c r="P80" s="221"/>
      <c r="Q80" s="451"/>
      <c r="S80" s="272"/>
      <c r="T80" s="272"/>
      <c r="U80" s="272"/>
      <c r="AJ80" s="451"/>
      <c r="AZ80" s="273"/>
      <c r="BJ80" s="223"/>
      <c r="BK80" s="223"/>
      <c r="BL80" s="223"/>
      <c r="BO80" s="176"/>
      <c r="BP80" s="223"/>
      <c r="BQ80" s="274"/>
      <c r="BR80" s="275"/>
      <c r="BS80" s="223"/>
      <c r="BT80" s="276"/>
      <c r="BX80" s="223"/>
      <c r="BY80" s="223"/>
      <c r="BZ80" s="176"/>
      <c r="CA80" s="176"/>
      <c r="CB80" s="176"/>
      <c r="CC80" s="176"/>
    </row>
    <row r="81" spans="6:81" x14ac:dyDescent="0.25">
      <c r="H81" s="174">
        <v>75</v>
      </c>
      <c r="I81" s="465">
        <f t="shared" si="26"/>
        <v>0.75</v>
      </c>
      <c r="J81" s="221"/>
      <c r="K81" s="221"/>
      <c r="L81" s="221"/>
      <c r="M81" s="221"/>
      <c r="N81" s="271"/>
      <c r="O81" s="176"/>
      <c r="P81" s="221"/>
      <c r="Q81" s="451"/>
      <c r="S81" s="272"/>
      <c r="T81" s="272"/>
      <c r="U81" s="272"/>
      <c r="AJ81" s="451"/>
      <c r="AZ81" s="273"/>
      <c r="BJ81" s="223"/>
      <c r="BK81" s="223"/>
      <c r="BL81" s="223"/>
      <c r="BO81" s="176"/>
      <c r="BP81" s="223"/>
      <c r="BQ81" s="274"/>
      <c r="BR81" s="275"/>
      <c r="BS81" s="223"/>
      <c r="BT81" s="276"/>
      <c r="BX81" s="223"/>
      <c r="BY81" s="223"/>
      <c r="BZ81" s="176"/>
      <c r="CA81" s="176"/>
      <c r="CB81" s="176"/>
      <c r="CC81" s="176"/>
    </row>
    <row r="82" spans="6:81" x14ac:dyDescent="0.25">
      <c r="H82" s="174">
        <v>76</v>
      </c>
      <c r="I82" s="465">
        <f t="shared" si="26"/>
        <v>0.76</v>
      </c>
      <c r="J82" s="221"/>
      <c r="K82" s="221"/>
      <c r="L82" s="221"/>
      <c r="M82" s="221"/>
      <c r="N82" s="271"/>
      <c r="O82" s="176"/>
      <c r="P82" s="221"/>
      <c r="Q82" s="451"/>
      <c r="S82" s="272"/>
      <c r="T82" s="272"/>
      <c r="U82" s="272"/>
      <c r="AJ82" s="451"/>
      <c r="AZ82" s="273"/>
      <c r="BJ82" s="223"/>
      <c r="BK82" s="223"/>
      <c r="BL82" s="223"/>
      <c r="BO82" s="176"/>
      <c r="BP82" s="223"/>
      <c r="BQ82" s="274"/>
      <c r="BR82" s="275"/>
      <c r="BS82" s="223"/>
      <c r="BT82" s="276"/>
      <c r="BX82" s="223"/>
      <c r="BY82" s="223"/>
      <c r="BZ82" s="176"/>
      <c r="CA82" s="176"/>
      <c r="CB82" s="176"/>
      <c r="CC82" s="176"/>
    </row>
    <row r="83" spans="6:81" x14ac:dyDescent="0.25">
      <c r="H83" s="174">
        <v>77</v>
      </c>
      <c r="I83" s="465">
        <f t="shared" si="26"/>
        <v>0.77</v>
      </c>
      <c r="J83" s="221"/>
      <c r="K83" s="221"/>
      <c r="L83" s="221"/>
      <c r="M83" s="221"/>
      <c r="N83" s="271"/>
      <c r="O83" s="176"/>
      <c r="P83" s="221"/>
      <c r="Q83" s="451"/>
      <c r="S83" s="272"/>
      <c r="T83" s="272"/>
      <c r="U83" s="272"/>
      <c r="AJ83" s="451"/>
      <c r="AZ83" s="273"/>
      <c r="BJ83" s="223"/>
      <c r="BK83" s="223"/>
      <c r="BL83" s="223"/>
      <c r="BO83" s="176"/>
      <c r="BP83" s="223"/>
      <c r="BQ83" s="274"/>
      <c r="BR83" s="275"/>
      <c r="BS83" s="223"/>
      <c r="BT83" s="276"/>
      <c r="BX83" s="223"/>
      <c r="BY83" s="223"/>
      <c r="BZ83" s="176"/>
      <c r="CA83" s="176"/>
      <c r="CB83" s="176"/>
      <c r="CC83" s="176"/>
    </row>
    <row r="84" spans="6:81" x14ac:dyDescent="0.25">
      <c r="H84" s="174">
        <v>78</v>
      </c>
      <c r="I84" s="465">
        <f t="shared" si="26"/>
        <v>0.78</v>
      </c>
      <c r="J84" s="221"/>
      <c r="K84" s="221"/>
      <c r="L84" s="221"/>
      <c r="M84" s="221"/>
      <c r="N84" s="271"/>
      <c r="O84" s="176"/>
      <c r="P84" s="221"/>
      <c r="Q84" s="451"/>
      <c r="S84" s="272"/>
      <c r="T84" s="272"/>
      <c r="U84" s="272"/>
      <c r="AJ84" s="451"/>
      <c r="AZ84" s="273"/>
      <c r="BJ84" s="223"/>
      <c r="BK84" s="223"/>
      <c r="BL84" s="223"/>
      <c r="BO84" s="176"/>
      <c r="BP84" s="223"/>
      <c r="BQ84" s="274"/>
      <c r="BR84" s="275"/>
      <c r="BS84" s="223"/>
      <c r="BT84" s="276"/>
      <c r="BX84" s="223"/>
      <c r="BY84" s="223"/>
      <c r="BZ84" s="176"/>
      <c r="CA84" s="176"/>
      <c r="CB84" s="176"/>
      <c r="CC84" s="176"/>
    </row>
    <row r="85" spans="6:81" x14ac:dyDescent="0.25">
      <c r="H85" s="174">
        <v>79</v>
      </c>
      <c r="I85" s="465">
        <f t="shared" si="26"/>
        <v>0.79</v>
      </c>
      <c r="J85" s="221"/>
      <c r="K85" s="221"/>
      <c r="L85" s="221"/>
      <c r="M85" s="221"/>
      <c r="N85" s="271"/>
      <c r="O85" s="176"/>
      <c r="P85" s="221"/>
      <c r="Q85" s="451"/>
      <c r="S85" s="272"/>
      <c r="T85" s="272"/>
      <c r="U85" s="272"/>
      <c r="AJ85" s="451"/>
      <c r="AZ85" s="273"/>
      <c r="BJ85" s="223"/>
      <c r="BK85" s="223"/>
      <c r="BL85" s="223"/>
      <c r="BO85" s="176"/>
      <c r="BP85" s="223"/>
      <c r="BQ85" s="274"/>
      <c r="BR85" s="275"/>
      <c r="BS85" s="223"/>
      <c r="BT85" s="276"/>
      <c r="BX85" s="223"/>
      <c r="BY85" s="223"/>
      <c r="BZ85" s="176"/>
      <c r="CA85" s="176"/>
      <c r="CB85" s="176"/>
      <c r="CC85" s="176"/>
    </row>
    <row r="86" spans="6:81" x14ac:dyDescent="0.25">
      <c r="H86" s="174">
        <v>80</v>
      </c>
      <c r="I86" s="465">
        <f t="shared" si="26"/>
        <v>0.8</v>
      </c>
      <c r="J86" s="221"/>
      <c r="K86" s="221"/>
      <c r="L86" s="221"/>
      <c r="M86" s="221"/>
      <c r="N86" s="271"/>
      <c r="O86" s="176"/>
      <c r="P86" s="221"/>
      <c r="Q86" s="451"/>
      <c r="S86" s="272"/>
      <c r="T86" s="272"/>
      <c r="U86" s="272"/>
      <c r="AJ86" s="451"/>
      <c r="AZ86" s="273"/>
      <c r="BJ86" s="223"/>
      <c r="BK86" s="223"/>
      <c r="BL86" s="223"/>
      <c r="BO86" s="176"/>
      <c r="BP86" s="223"/>
      <c r="BQ86" s="274"/>
      <c r="BR86" s="275"/>
      <c r="BS86" s="223"/>
      <c r="BT86" s="276"/>
      <c r="BX86" s="223"/>
      <c r="BY86" s="223"/>
      <c r="BZ86" s="176"/>
      <c r="CA86" s="176"/>
      <c r="CB86" s="176"/>
      <c r="CC86" s="176"/>
    </row>
    <row r="87" spans="6:81" x14ac:dyDescent="0.25">
      <c r="H87" s="174">
        <v>81</v>
      </c>
      <c r="I87" s="465">
        <f t="shared" si="26"/>
        <v>0.81</v>
      </c>
      <c r="J87" s="221"/>
      <c r="K87" s="221"/>
      <c r="L87" s="221"/>
      <c r="M87" s="221"/>
      <c r="N87" s="271"/>
      <c r="O87" s="176"/>
      <c r="P87" s="221"/>
      <c r="Q87" s="451"/>
      <c r="S87" s="272"/>
      <c r="T87" s="272"/>
      <c r="U87" s="272"/>
      <c r="AJ87" s="451"/>
      <c r="AZ87" s="273"/>
      <c r="BJ87" s="223"/>
      <c r="BK87" s="223"/>
      <c r="BL87" s="223"/>
      <c r="BO87" s="176"/>
      <c r="BP87" s="223"/>
      <c r="BQ87" s="274"/>
      <c r="BR87" s="275"/>
      <c r="BS87" s="223"/>
      <c r="BT87" s="276"/>
      <c r="BX87" s="223"/>
      <c r="BY87" s="223"/>
      <c r="BZ87" s="176"/>
      <c r="CA87" s="176"/>
      <c r="CB87" s="176"/>
      <c r="CC87" s="176"/>
    </row>
    <row r="88" spans="6:81" x14ac:dyDescent="0.25">
      <c r="F88" s="329" t="s">
        <v>275</v>
      </c>
      <c r="G88" s="329" t="s">
        <v>276</v>
      </c>
      <c r="H88" s="174">
        <v>82</v>
      </c>
      <c r="I88" s="465">
        <f t="shared" si="26"/>
        <v>0.82</v>
      </c>
      <c r="J88" s="221"/>
      <c r="K88" s="221"/>
      <c r="L88" s="221"/>
      <c r="M88" s="221"/>
      <c r="N88" s="271"/>
      <c r="O88" s="176"/>
      <c r="P88" s="221"/>
      <c r="Q88" s="451"/>
      <c r="S88" s="272"/>
      <c r="T88" s="272"/>
      <c r="U88" s="272"/>
      <c r="AJ88" s="451"/>
      <c r="AZ88" s="273"/>
      <c r="BJ88" s="223"/>
      <c r="BK88" s="223"/>
      <c r="BL88" s="223"/>
      <c r="BO88" s="176"/>
      <c r="BP88" s="223"/>
      <c r="BQ88" s="274"/>
      <c r="BR88" s="275"/>
      <c r="BS88" s="223"/>
      <c r="BT88" s="276"/>
      <c r="BX88" s="223"/>
      <c r="BY88" s="223"/>
      <c r="BZ88" s="176"/>
      <c r="CA88" s="176"/>
      <c r="CB88" s="176"/>
      <c r="CC88" s="176"/>
    </row>
    <row r="89" spans="6:81" x14ac:dyDescent="0.25">
      <c r="F89" s="330">
        <f>BO51</f>
        <v>0</v>
      </c>
      <c r="G89" s="331">
        <f>I56*1000</f>
        <v>500</v>
      </c>
      <c r="H89" s="174">
        <v>83</v>
      </c>
      <c r="I89" s="465">
        <f t="shared" si="26"/>
        <v>0.83</v>
      </c>
      <c r="J89" s="221"/>
      <c r="K89" s="221"/>
      <c r="L89" s="221"/>
      <c r="M89" s="221"/>
      <c r="N89" s="271"/>
      <c r="O89" s="176"/>
      <c r="P89" s="221"/>
      <c r="Q89" s="451"/>
      <c r="S89" s="272"/>
      <c r="T89" s="272"/>
      <c r="U89" s="272"/>
      <c r="AJ89" s="451"/>
      <c r="AZ89" s="273"/>
      <c r="BJ89" s="223"/>
      <c r="BK89" s="223"/>
      <c r="BL89" s="223"/>
      <c r="BO89" s="176"/>
      <c r="BP89" s="223"/>
      <c r="BQ89" s="274"/>
      <c r="BR89" s="275"/>
      <c r="BS89" s="223"/>
      <c r="BT89" s="276"/>
      <c r="BX89" s="223"/>
      <c r="BY89" s="223"/>
      <c r="BZ89" s="176"/>
      <c r="CA89" s="176"/>
      <c r="CB89" s="176"/>
      <c r="CC89" s="176"/>
    </row>
    <row r="90" spans="6:81" x14ac:dyDescent="0.25">
      <c r="F90" s="330">
        <f>BO81</f>
        <v>0</v>
      </c>
      <c r="G90" s="331">
        <f>I81*1000</f>
        <v>750</v>
      </c>
      <c r="H90" s="174">
        <v>84</v>
      </c>
      <c r="I90" s="465">
        <f t="shared" si="26"/>
        <v>0.84</v>
      </c>
      <c r="J90" s="221"/>
      <c r="K90" s="221"/>
      <c r="L90" s="221"/>
      <c r="M90" s="221"/>
      <c r="N90" s="271"/>
      <c r="O90" s="176"/>
      <c r="P90" s="221"/>
      <c r="Q90" s="451"/>
      <c r="S90" s="272"/>
      <c r="T90" s="272"/>
      <c r="U90" s="272"/>
      <c r="AJ90" s="451"/>
      <c r="AZ90" s="273"/>
      <c r="BJ90" s="223"/>
      <c r="BK90" s="223"/>
      <c r="BL90" s="223"/>
      <c r="BO90" s="176"/>
      <c r="BP90" s="223"/>
      <c r="BQ90" s="274"/>
      <c r="BR90" s="275"/>
      <c r="BS90" s="223"/>
      <c r="BT90" s="276"/>
      <c r="BX90" s="223"/>
      <c r="BY90" s="223"/>
      <c r="BZ90" s="176"/>
      <c r="CA90" s="176"/>
      <c r="CB90" s="176"/>
      <c r="CC90" s="176"/>
    </row>
    <row r="91" spans="6:81" x14ac:dyDescent="0.25">
      <c r="F91" s="330">
        <f>BO106</f>
        <v>88.698181382326453</v>
      </c>
      <c r="G91" s="331">
        <f>I106*1000</f>
        <v>1000</v>
      </c>
      <c r="H91" s="174">
        <v>85</v>
      </c>
      <c r="I91" s="465">
        <f t="shared" si="26"/>
        <v>0.85</v>
      </c>
      <c r="J91" s="221"/>
      <c r="K91" s="221"/>
      <c r="L91" s="221"/>
      <c r="M91" s="221"/>
      <c r="N91" s="271"/>
      <c r="O91" s="176"/>
      <c r="P91" s="221"/>
      <c r="Q91" s="451"/>
      <c r="S91" s="272"/>
      <c r="T91" s="272"/>
      <c r="U91" s="272"/>
      <c r="AJ91" s="451"/>
      <c r="AZ91" s="273"/>
      <c r="BJ91" s="223"/>
      <c r="BK91" s="223"/>
      <c r="BL91" s="223"/>
      <c r="BO91" s="176"/>
      <c r="BP91" s="223"/>
      <c r="BQ91" s="274"/>
      <c r="BR91" s="275"/>
      <c r="BS91" s="223"/>
      <c r="BT91" s="276"/>
      <c r="BX91" s="223"/>
      <c r="BY91" s="223"/>
      <c r="BZ91" s="176"/>
      <c r="CA91" s="176"/>
      <c r="CB91" s="176"/>
      <c r="CC91" s="176"/>
    </row>
    <row r="92" spans="6:81" x14ac:dyDescent="0.25">
      <c r="H92" s="174">
        <v>86</v>
      </c>
      <c r="I92" s="465">
        <f t="shared" si="26"/>
        <v>0.86</v>
      </c>
      <c r="J92" s="221"/>
      <c r="K92" s="221"/>
      <c r="L92" s="221"/>
      <c r="M92" s="221"/>
      <c r="N92" s="271"/>
      <c r="O92" s="176"/>
      <c r="P92" s="221"/>
      <c r="Q92" s="451"/>
      <c r="S92" s="272"/>
      <c r="T92" s="272"/>
      <c r="U92" s="272"/>
      <c r="AJ92" s="451"/>
      <c r="AZ92" s="273"/>
      <c r="BJ92" s="223"/>
      <c r="BK92" s="223"/>
      <c r="BL92" s="223"/>
      <c r="BO92" s="176"/>
      <c r="BP92" s="223"/>
      <c r="BQ92" s="274"/>
      <c r="BR92" s="275"/>
      <c r="BS92" s="223"/>
      <c r="BT92" s="276"/>
      <c r="BX92" s="223"/>
      <c r="BY92" s="223"/>
      <c r="BZ92" s="176"/>
      <c r="CA92" s="176"/>
      <c r="CB92" s="176"/>
      <c r="CC92" s="176"/>
    </row>
    <row r="93" spans="6:81" x14ac:dyDescent="0.25">
      <c r="H93" s="174">
        <v>87</v>
      </c>
      <c r="I93" s="465">
        <f t="shared" si="26"/>
        <v>0.87</v>
      </c>
      <c r="J93" s="221"/>
      <c r="K93" s="221"/>
      <c r="L93" s="221"/>
      <c r="M93" s="221"/>
      <c r="N93" s="271"/>
      <c r="O93" s="176"/>
      <c r="P93" s="221"/>
      <c r="Q93" s="451"/>
      <c r="S93" s="272"/>
      <c r="T93" s="272"/>
      <c r="U93" s="272"/>
      <c r="AJ93" s="451"/>
      <c r="AZ93" s="273"/>
      <c r="BJ93" s="223"/>
      <c r="BK93" s="223"/>
      <c r="BL93" s="223"/>
      <c r="BO93" s="176"/>
      <c r="BP93" s="223"/>
      <c r="BQ93" s="274"/>
      <c r="BR93" s="275"/>
      <c r="BS93" s="223"/>
      <c r="BT93" s="276"/>
      <c r="BX93" s="223"/>
      <c r="BY93" s="223"/>
      <c r="BZ93" s="176"/>
      <c r="CA93" s="176"/>
      <c r="CB93" s="176"/>
      <c r="CC93" s="176"/>
    </row>
    <row r="94" spans="6:81" x14ac:dyDescent="0.25">
      <c r="H94" s="174">
        <v>88</v>
      </c>
      <c r="I94" s="465">
        <f t="shared" si="26"/>
        <v>0.88</v>
      </c>
      <c r="J94" s="221"/>
      <c r="K94" s="221"/>
      <c r="L94" s="221"/>
      <c r="M94" s="221"/>
      <c r="N94" s="271"/>
      <c r="O94" s="176"/>
      <c r="P94" s="221"/>
      <c r="Q94" s="451"/>
      <c r="S94" s="272"/>
      <c r="T94" s="272"/>
      <c r="U94" s="272"/>
      <c r="AJ94" s="451"/>
      <c r="AZ94" s="273"/>
      <c r="BJ94" s="223"/>
      <c r="BK94" s="223"/>
      <c r="BL94" s="223"/>
      <c r="BO94" s="176"/>
      <c r="BP94" s="223"/>
      <c r="BQ94" s="274"/>
      <c r="BR94" s="275"/>
      <c r="BS94" s="223"/>
      <c r="BT94" s="276"/>
      <c r="BX94" s="223"/>
      <c r="BY94" s="223"/>
      <c r="BZ94" s="176"/>
      <c r="CA94" s="176"/>
      <c r="CB94" s="176"/>
      <c r="CC94" s="176"/>
    </row>
    <row r="95" spans="6:81" x14ac:dyDescent="0.25">
      <c r="H95" s="174">
        <v>89</v>
      </c>
      <c r="I95" s="465">
        <f t="shared" si="26"/>
        <v>0.89</v>
      </c>
      <c r="J95" s="221"/>
      <c r="K95" s="221"/>
      <c r="L95" s="221"/>
      <c r="M95" s="221"/>
      <c r="N95" s="271"/>
      <c r="O95" s="176"/>
      <c r="P95" s="221"/>
      <c r="Q95" s="451"/>
      <c r="S95" s="272"/>
      <c r="T95" s="272"/>
      <c r="U95" s="272"/>
      <c r="AJ95" s="451"/>
      <c r="AZ95" s="273"/>
      <c r="BJ95" s="223"/>
      <c r="BK95" s="223"/>
      <c r="BL95" s="223"/>
      <c r="BO95" s="176"/>
      <c r="BP95" s="223"/>
      <c r="BQ95" s="274"/>
      <c r="BR95" s="275"/>
      <c r="BS95" s="223"/>
      <c r="BT95" s="276"/>
      <c r="BX95" s="223"/>
      <c r="BY95" s="223"/>
      <c r="BZ95" s="176"/>
      <c r="CA95" s="176"/>
      <c r="CB95" s="176"/>
      <c r="CC95" s="176"/>
    </row>
    <row r="96" spans="6:81" x14ac:dyDescent="0.25">
      <c r="H96" s="174">
        <v>90</v>
      </c>
      <c r="I96" s="465">
        <f t="shared" si="26"/>
        <v>0.9</v>
      </c>
      <c r="J96" s="221"/>
      <c r="K96" s="221"/>
      <c r="L96" s="221"/>
      <c r="M96" s="221"/>
      <c r="N96" s="271"/>
      <c r="O96" s="176"/>
      <c r="P96" s="221"/>
      <c r="Q96" s="451"/>
      <c r="S96" s="272"/>
      <c r="T96" s="272"/>
      <c r="U96" s="272"/>
      <c r="AJ96" s="451"/>
      <c r="AZ96" s="273"/>
      <c r="BJ96" s="223"/>
      <c r="BK96" s="223"/>
      <c r="BL96" s="223"/>
      <c r="BO96" s="176"/>
      <c r="BP96" s="223"/>
      <c r="BQ96" s="274"/>
      <c r="BR96" s="275"/>
      <c r="BS96" s="223"/>
      <c r="BT96" s="276"/>
      <c r="BX96" s="223"/>
      <c r="BY96" s="223"/>
      <c r="BZ96" s="176"/>
      <c r="CA96" s="176"/>
      <c r="CB96" s="176"/>
      <c r="CC96" s="176"/>
    </row>
    <row r="97" spans="8:81" x14ac:dyDescent="0.25">
      <c r="H97" s="174">
        <v>91</v>
      </c>
      <c r="I97" s="465">
        <f t="shared" si="26"/>
        <v>0.91</v>
      </c>
      <c r="J97" s="221"/>
      <c r="K97" s="221"/>
      <c r="L97" s="221"/>
      <c r="M97" s="221"/>
      <c r="N97" s="271"/>
      <c r="O97" s="176"/>
      <c r="P97" s="221"/>
      <c r="Q97" s="451"/>
      <c r="S97" s="272"/>
      <c r="T97" s="272"/>
      <c r="U97" s="272"/>
      <c r="AJ97" s="451"/>
      <c r="AZ97" s="273"/>
      <c r="BJ97" s="223"/>
      <c r="BK97" s="223"/>
      <c r="BL97" s="223"/>
      <c r="BO97" s="176"/>
      <c r="BP97" s="223"/>
      <c r="BQ97" s="274"/>
      <c r="BR97" s="275"/>
      <c r="BS97" s="223"/>
      <c r="BT97" s="276"/>
      <c r="BX97" s="223"/>
      <c r="BY97" s="223"/>
      <c r="BZ97" s="176"/>
      <c r="CA97" s="176"/>
      <c r="CB97" s="176"/>
      <c r="CC97" s="176"/>
    </row>
    <row r="98" spans="8:81" x14ac:dyDescent="0.25">
      <c r="H98" s="174">
        <v>92</v>
      </c>
      <c r="I98" s="465">
        <f t="shared" si="26"/>
        <v>0.92</v>
      </c>
      <c r="J98" s="221"/>
      <c r="K98" s="221"/>
      <c r="L98" s="221"/>
      <c r="M98" s="221"/>
      <c r="N98" s="271"/>
      <c r="O98" s="176"/>
      <c r="P98" s="221"/>
      <c r="Q98" s="451"/>
      <c r="S98" s="272"/>
      <c r="T98" s="272"/>
      <c r="U98" s="272"/>
      <c r="AJ98" s="451"/>
      <c r="AZ98" s="273"/>
      <c r="BJ98" s="223"/>
      <c r="BK98" s="223"/>
      <c r="BL98" s="223"/>
      <c r="BO98" s="176"/>
      <c r="BP98" s="223"/>
      <c r="BQ98" s="274"/>
      <c r="BR98" s="275"/>
      <c r="BS98" s="223"/>
      <c r="BT98" s="276"/>
      <c r="BX98" s="223"/>
      <c r="BY98" s="223"/>
      <c r="BZ98" s="176"/>
      <c r="CA98" s="176"/>
      <c r="CB98" s="176"/>
      <c r="CC98" s="176"/>
    </row>
    <row r="99" spans="8:81" x14ac:dyDescent="0.25">
      <c r="H99" s="174">
        <v>93</v>
      </c>
      <c r="I99" s="465">
        <f t="shared" si="26"/>
        <v>0.93</v>
      </c>
      <c r="J99" s="221"/>
      <c r="K99" s="221"/>
      <c r="L99" s="221"/>
      <c r="M99" s="221"/>
      <c r="N99" s="271"/>
      <c r="O99" s="176"/>
      <c r="P99" s="221"/>
      <c r="Q99" s="451"/>
      <c r="S99" s="272"/>
      <c r="T99" s="272"/>
      <c r="U99" s="272"/>
      <c r="AJ99" s="451"/>
      <c r="AZ99" s="273"/>
      <c r="BJ99" s="223"/>
      <c r="BK99" s="223"/>
      <c r="BL99" s="223"/>
      <c r="BO99" s="176"/>
      <c r="BP99" s="223"/>
      <c r="BQ99" s="274"/>
      <c r="BR99" s="275"/>
      <c r="BS99" s="223"/>
      <c r="BT99" s="276"/>
      <c r="BX99" s="223"/>
      <c r="BY99" s="223"/>
      <c r="BZ99" s="176"/>
      <c r="CA99" s="176"/>
      <c r="CB99" s="176"/>
      <c r="CC99" s="176"/>
    </row>
    <row r="100" spans="8:81" x14ac:dyDescent="0.25">
      <c r="H100" s="174">
        <v>94</v>
      </c>
      <c r="I100" s="465">
        <f t="shared" si="26"/>
        <v>0.94</v>
      </c>
      <c r="J100" s="221"/>
      <c r="K100" s="221"/>
      <c r="L100" s="221"/>
      <c r="M100" s="221"/>
      <c r="N100" s="271"/>
      <c r="O100" s="176"/>
      <c r="P100" s="221"/>
      <c r="Q100" s="451"/>
      <c r="S100" s="272"/>
      <c r="T100" s="272"/>
      <c r="U100" s="272"/>
      <c r="AJ100" s="451"/>
      <c r="AZ100" s="273"/>
      <c r="BJ100" s="223"/>
      <c r="BK100" s="223"/>
      <c r="BL100" s="223"/>
      <c r="BO100" s="176"/>
      <c r="BP100" s="223"/>
      <c r="BQ100" s="274"/>
      <c r="BR100" s="275"/>
      <c r="BS100" s="223"/>
      <c r="BT100" s="276"/>
      <c r="BX100" s="223"/>
      <c r="BY100" s="223"/>
      <c r="BZ100" s="176"/>
      <c r="CA100" s="176"/>
      <c r="CB100" s="176"/>
      <c r="CC100" s="176"/>
    </row>
    <row r="101" spans="8:81" x14ac:dyDescent="0.25">
      <c r="H101" s="174">
        <v>95</v>
      </c>
      <c r="I101" s="465">
        <f t="shared" si="26"/>
        <v>0.95</v>
      </c>
      <c r="J101" s="221"/>
      <c r="K101" s="221"/>
      <c r="L101" s="221"/>
      <c r="M101" s="221"/>
      <c r="N101" s="271"/>
      <c r="O101" s="176"/>
      <c r="P101" s="221"/>
      <c r="Q101" s="451"/>
      <c r="S101" s="272"/>
      <c r="T101" s="272"/>
      <c r="U101" s="272"/>
      <c r="AJ101" s="451"/>
      <c r="AZ101" s="273"/>
      <c r="BJ101" s="223"/>
      <c r="BK101" s="223"/>
      <c r="BL101" s="223"/>
      <c r="BO101" s="176"/>
      <c r="BP101" s="223"/>
      <c r="BQ101" s="274"/>
      <c r="BR101" s="275"/>
      <c r="BS101" s="223"/>
      <c r="BT101" s="276"/>
      <c r="BX101" s="223"/>
      <c r="BY101" s="223"/>
      <c r="BZ101" s="176"/>
      <c r="CA101" s="176"/>
      <c r="CB101" s="176"/>
      <c r="CC101" s="176"/>
    </row>
    <row r="102" spans="8:81" x14ac:dyDescent="0.25">
      <c r="H102" s="174">
        <v>96</v>
      </c>
      <c r="I102" s="465">
        <f t="shared" ref="I102:I106" si="27">IF(PLOT_TYPE=1, H102/100*Iout_max, min_I*EXP(H102*rr/100))</f>
        <v>0.96</v>
      </c>
      <c r="J102" s="221"/>
      <c r="K102" s="221"/>
      <c r="L102" s="221"/>
      <c r="M102" s="221"/>
      <c r="N102" s="271"/>
      <c r="O102" s="176"/>
      <c r="P102" s="221"/>
      <c r="Q102" s="451"/>
      <c r="S102" s="272"/>
      <c r="T102" s="272"/>
      <c r="U102" s="272"/>
      <c r="AJ102" s="451"/>
      <c r="AZ102" s="273"/>
      <c r="BJ102" s="223"/>
      <c r="BK102" s="223"/>
      <c r="BL102" s="223"/>
      <c r="BO102" s="176"/>
      <c r="BP102" s="223"/>
      <c r="BQ102" s="274"/>
      <c r="BR102" s="275"/>
      <c r="BS102" s="223"/>
      <c r="BT102" s="276"/>
      <c r="BX102" s="223"/>
      <c r="BY102" s="223"/>
      <c r="BZ102" s="176"/>
      <c r="CA102" s="176"/>
      <c r="CB102" s="176"/>
      <c r="CC102" s="176"/>
    </row>
    <row r="103" spans="8:81" x14ac:dyDescent="0.25">
      <c r="H103" s="174">
        <v>97</v>
      </c>
      <c r="I103" s="465">
        <f t="shared" si="27"/>
        <v>0.97</v>
      </c>
      <c r="J103" s="221"/>
      <c r="K103" s="221"/>
      <c r="L103" s="221"/>
      <c r="M103" s="221"/>
      <c r="N103" s="271"/>
      <c r="O103" s="176"/>
      <c r="P103" s="221"/>
      <c r="Q103" s="451"/>
      <c r="S103" s="272"/>
      <c r="T103" s="272"/>
      <c r="U103" s="272"/>
      <c r="AJ103" s="451"/>
      <c r="AZ103" s="273"/>
      <c r="BJ103" s="223"/>
      <c r="BK103" s="223"/>
      <c r="BL103" s="223"/>
      <c r="BO103" s="176"/>
      <c r="BP103" s="223"/>
      <c r="BQ103" s="274"/>
      <c r="BR103" s="275"/>
      <c r="BS103" s="223"/>
      <c r="BT103" s="276"/>
      <c r="BX103" s="223"/>
      <c r="BY103" s="223"/>
      <c r="BZ103" s="176"/>
      <c r="CA103" s="176"/>
      <c r="CB103" s="176"/>
      <c r="CC103" s="176"/>
    </row>
    <row r="104" spans="8:81" x14ac:dyDescent="0.25">
      <c r="H104" s="174">
        <v>98</v>
      </c>
      <c r="I104" s="465">
        <f t="shared" si="27"/>
        <v>0.98</v>
      </c>
      <c r="J104" s="221"/>
      <c r="K104" s="221"/>
      <c r="L104" s="221"/>
      <c r="M104" s="221"/>
      <c r="N104" s="271"/>
      <c r="O104" s="176"/>
      <c r="P104" s="221"/>
      <c r="Q104" s="451"/>
      <c r="S104" s="272"/>
      <c r="T104" s="272"/>
      <c r="U104" s="272"/>
      <c r="AJ104" s="451"/>
      <c r="AZ104" s="273"/>
      <c r="BJ104" s="223"/>
      <c r="BK104" s="223"/>
      <c r="BL104" s="223"/>
      <c r="BO104" s="176"/>
      <c r="BP104" s="223"/>
      <c r="BQ104" s="274"/>
      <c r="BR104" s="275"/>
      <c r="BS104" s="223"/>
      <c r="BT104" s="276"/>
      <c r="BX104" s="223"/>
      <c r="BY104" s="223"/>
      <c r="BZ104" s="176"/>
      <c r="CA104" s="176"/>
      <c r="CB104" s="176"/>
      <c r="CC104" s="176"/>
    </row>
    <row r="105" spans="8:81" x14ac:dyDescent="0.25">
      <c r="H105" s="174">
        <v>99</v>
      </c>
      <c r="I105" s="465">
        <f t="shared" si="27"/>
        <v>0.99</v>
      </c>
      <c r="J105" s="221"/>
      <c r="K105" s="221"/>
      <c r="L105" s="221"/>
      <c r="M105" s="221"/>
      <c r="N105" s="271"/>
      <c r="O105" s="176"/>
      <c r="P105" s="221"/>
      <c r="Q105" s="451"/>
      <c r="S105" s="272"/>
      <c r="T105" s="272"/>
      <c r="U105" s="272"/>
      <c r="AJ105" s="451"/>
      <c r="AZ105" s="273"/>
      <c r="BJ105" s="223"/>
      <c r="BK105" s="223"/>
      <c r="BL105" s="223"/>
      <c r="BO105" s="176"/>
      <c r="BP105" s="223"/>
      <c r="BQ105" s="274"/>
      <c r="BR105" s="275"/>
      <c r="BS105" s="223"/>
      <c r="BT105" s="276"/>
      <c r="BX105" s="223"/>
      <c r="BY105" s="223"/>
      <c r="BZ105" s="176"/>
      <c r="CA105" s="176"/>
      <c r="CB105" s="176"/>
      <c r="CC105" s="176"/>
    </row>
    <row r="106" spans="8:81" x14ac:dyDescent="0.25">
      <c r="H106" s="174">
        <v>100</v>
      </c>
      <c r="I106" s="465">
        <f t="shared" si="27"/>
        <v>1</v>
      </c>
      <c r="J106" s="221"/>
      <c r="K106" s="221"/>
      <c r="L106" s="221"/>
      <c r="M106" s="221"/>
      <c r="N106" s="271"/>
      <c r="O106" s="176"/>
      <c r="P106" s="221"/>
      <c r="Q106" s="451"/>
      <c r="S106" s="272"/>
      <c r="T106" s="272"/>
      <c r="U106" s="272"/>
      <c r="AJ106" s="451"/>
      <c r="AY106" s="220">
        <f>Vout*I106</f>
        <v>15</v>
      </c>
      <c r="AZ106" s="273">
        <f t="shared" ref="AZ106" si="28">AY106/(AY106+AX106)</f>
        <v>1</v>
      </c>
      <c r="BA106" s="349">
        <f t="shared" ref="BA106" si="29">AG106/($AY106+$AX106)</f>
        <v>0</v>
      </c>
      <c r="BB106" s="349">
        <f t="shared" ref="BB106" si="30">AO106/($AY106+$AX106)</f>
        <v>0</v>
      </c>
      <c r="BC106" s="349" t="e">
        <f t="shared" ref="BC106" si="31">Vin*R106*(QgBot+Qg)/($AY106+$AX106)</f>
        <v>#NAME?</v>
      </c>
      <c r="BD106" s="349">
        <f t="shared" ref="BD106" si="32">AK106/($AY106+$AX106)</f>
        <v>0</v>
      </c>
      <c r="BE106" s="349">
        <f t="shared" ref="BE106" si="33">AQ106/(AX106+AY106)</f>
        <v>0</v>
      </c>
      <c r="BF106" s="349">
        <f t="shared" ref="BF106" si="34">AR106/($AY106+$AX106)</f>
        <v>0</v>
      </c>
      <c r="BG106" s="349">
        <f t="shared" ref="BG106" si="35">W106/($AY106+$AX106)</f>
        <v>0</v>
      </c>
      <c r="BH106" s="349">
        <f t="shared" ref="BH106" si="36">X106/($AY106+$AX106)</f>
        <v>0</v>
      </c>
      <c r="BI106" s="349">
        <f t="shared" ref="BI106" si="37">(AB106+AE106)/($AY106+$AX106)</f>
        <v>0</v>
      </c>
      <c r="BJ106" s="223">
        <f t="shared" ref="BJ106" si="38">AT106/($AY106+$AX106)</f>
        <v>0</v>
      </c>
      <c r="BK106" s="223">
        <f t="shared" ref="BK106" si="39">AX106/($AY106+$AX106)</f>
        <v>0</v>
      </c>
      <c r="BL106" s="223">
        <f t="shared" ref="BL106" si="40">AZ106</f>
        <v>1</v>
      </c>
      <c r="BM106" s="176">
        <f t="shared" ref="BM106" si="41">100*BL106</f>
        <v>100</v>
      </c>
      <c r="BN106" s="221" t="e">
        <f xml:space="preserve"> CHOOSE(MODE, I106*1000,#REF!)</f>
        <v>#REF!</v>
      </c>
      <c r="BO106" s="176">
        <v>88.698181382326453</v>
      </c>
      <c r="BP106" s="223">
        <f t="shared" ref="BP106" si="42">BO106/100</f>
        <v>0.88698181382326458</v>
      </c>
      <c r="BQ106" s="274">
        <f t="shared" ref="BQ106" si="43">R106/1000</f>
        <v>0</v>
      </c>
      <c r="BR106" s="275"/>
      <c r="BS106" s="223">
        <f t="shared" ref="BS106" si="44">AL106/($AY106+$AX106)</f>
        <v>0</v>
      </c>
      <c r="BT106" s="276"/>
      <c r="BU106" s="176">
        <f t="shared" ref="BU106" si="45">1000*AW106</f>
        <v>0</v>
      </c>
      <c r="BV106" s="176">
        <f t="shared" ref="BV106" si="46">1000*AU106</f>
        <v>0</v>
      </c>
      <c r="BW106" s="176">
        <f t="shared" ref="BW106" si="47">1000*Y106</f>
        <v>0</v>
      </c>
      <c r="BX106" s="223"/>
      <c r="BY106" s="223"/>
      <c r="BZ106" s="176" t="e">
        <f xml:space="preserve"> IF(MODE=1, BM106,#REF!)</f>
        <v>#REF!</v>
      </c>
      <c r="CA106" s="176" t="e">
        <f xml:space="preserve"> IF(MODE=1, BU106,#REF!)</f>
        <v>#REF!</v>
      </c>
      <c r="CB106" s="176" t="e">
        <f xml:space="preserve"> IF(MODE=1, BV106,#REF!)</f>
        <v>#REF!</v>
      </c>
      <c r="CC106" s="176" t="e">
        <f xml:space="preserve"> IF(MODE=1, BW106,#REF!)</f>
        <v>#REF!</v>
      </c>
    </row>
    <row r="107" spans="8:81" x14ac:dyDescent="0.25">
      <c r="BQ107" s="274"/>
      <c r="BR107" s="275"/>
      <c r="BS107" s="275"/>
      <c r="BT107" s="276"/>
      <c r="BX107" s="223"/>
      <c r="BY107" s="223"/>
    </row>
    <row r="108" spans="8:81" x14ac:dyDescent="0.25">
      <c r="H108" s="332">
        <v>1.0000000000000001E-5</v>
      </c>
      <c r="I108" s="333" t="s">
        <v>1</v>
      </c>
      <c r="J108" s="334" t="s">
        <v>277</v>
      </c>
      <c r="AG108" s="220">
        <v>4.9516878778202269E-3</v>
      </c>
      <c r="AH108" s="220">
        <v>3.7188236700537959E-3</v>
      </c>
      <c r="AI108">
        <v>20</v>
      </c>
      <c r="AJ108" s="220">
        <v>18.943591787921068</v>
      </c>
      <c r="AK108" s="220">
        <v>4.1453367485397245E-3</v>
      </c>
      <c r="AL108" s="220">
        <v>7.1640215182307235E-3</v>
      </c>
      <c r="AN108" s="220">
        <v>9.1940431932401354E-2</v>
      </c>
      <c r="AO108" s="220">
        <v>8.4530430239165271E-3</v>
      </c>
      <c r="AP108" s="220">
        <v>9.3281530185295868E-4</v>
      </c>
      <c r="AQ108" s="220">
        <v>9.1178757202630047E-3</v>
      </c>
      <c r="AR108" s="220">
        <v>1.2140752334887425E-3</v>
      </c>
      <c r="AS108" s="220">
        <v>1.8784993977668273E-2</v>
      </c>
      <c r="AZ108" s="336" t="s">
        <v>281</v>
      </c>
      <c r="BA108" s="356">
        <v>3.6409104085968987E-3</v>
      </c>
      <c r="BB108" s="356">
        <v>6.5692245841190103E-3</v>
      </c>
      <c r="BC108" s="356">
        <v>5.4394694205683519E-2</v>
      </c>
      <c r="BD108" s="356">
        <v>4.5907837520612008E-3</v>
      </c>
      <c r="BE108" s="356">
        <v>0</v>
      </c>
      <c r="BF108" s="356">
        <v>7.3751579484765363E-4</v>
      </c>
      <c r="BG108" s="356">
        <v>7.2151246180390156E-3</v>
      </c>
      <c r="BH108" s="356">
        <v>1.4929120352630757E-2</v>
      </c>
      <c r="BI108" s="356">
        <v>5.5024434421027814E-6</v>
      </c>
      <c r="BJ108" s="356">
        <v>8.2551506228875166E-2</v>
      </c>
    </row>
    <row r="109" spans="8:81" x14ac:dyDescent="0.25">
      <c r="H109" s="335">
        <f>Iout_max</f>
        <v>1</v>
      </c>
      <c r="I109" s="333" t="s">
        <v>1</v>
      </c>
      <c r="J109" s="334" t="s">
        <v>278</v>
      </c>
      <c r="AZ109" s="336" t="s">
        <v>279</v>
      </c>
      <c r="BA109" s="356">
        <v>8.1000709018000279E-3</v>
      </c>
      <c r="BB109" s="356">
        <v>1.4614802049391215E-2</v>
      </c>
      <c r="BC109" s="356">
        <v>2.4831534664325892E-2</v>
      </c>
      <c r="BD109" s="356">
        <v>9.9057039827182662E-3</v>
      </c>
      <c r="BE109" s="356">
        <v>1.1631608311305648E-2</v>
      </c>
      <c r="BF109" s="356">
        <v>1.6465542803473395E-3</v>
      </c>
      <c r="BG109" s="356">
        <v>1.6051760250250457E-2</v>
      </c>
      <c r="BH109" s="356">
        <v>6.8152413568584669E-3</v>
      </c>
      <c r="BI109" s="356">
        <v>1.7517781122613987E-5</v>
      </c>
      <c r="BJ109" s="356">
        <v>1.2837829865088564E-2</v>
      </c>
    </row>
    <row r="110" spans="8:81" x14ac:dyDescent="0.25">
      <c r="H110" s="335">
        <f>LOG(max_I/min_I,EXP(1))</f>
        <v>11.512925464970229</v>
      </c>
      <c r="I110" s="221"/>
      <c r="J110" s="334" t="s">
        <v>280</v>
      </c>
    </row>
    <row r="111" spans="8:81" x14ac:dyDescent="0.25">
      <c r="AZ111" s="336"/>
      <c r="BA111" s="356"/>
      <c r="BB111" s="356"/>
      <c r="BC111" s="356"/>
      <c r="BD111" s="356"/>
      <c r="BE111" s="356"/>
      <c r="BF111" s="356"/>
      <c r="BG111" s="356"/>
      <c r="BH111" s="356"/>
      <c r="BI111" s="356"/>
      <c r="BJ111" s="356"/>
    </row>
    <row r="112" spans="8:81" x14ac:dyDescent="0.25">
      <c r="J112" s="338"/>
      <c r="R112" s="339"/>
      <c r="S112" s="339"/>
      <c r="T112" s="339"/>
      <c r="U112" s="339"/>
      <c r="V112" s="340"/>
    </row>
    <row r="113" spans="10:22" x14ac:dyDescent="0.25">
      <c r="J113" s="338"/>
      <c r="R113" s="339"/>
      <c r="S113" s="339"/>
      <c r="T113" s="339"/>
      <c r="U113" s="339"/>
      <c r="V113" s="340"/>
    </row>
    <row r="114" spans="10:22" x14ac:dyDescent="0.25">
      <c r="R114" s="341"/>
      <c r="S114" s="341"/>
      <c r="T114" s="341"/>
      <c r="U114" s="341"/>
      <c r="V114" s="340"/>
    </row>
    <row r="116" spans="10:22" x14ac:dyDescent="0.25">
      <c r="R116" s="341"/>
      <c r="S116" s="341"/>
      <c r="T116" s="341"/>
      <c r="U116" s="341"/>
      <c r="V116" s="340"/>
    </row>
    <row r="121" spans="10:22" x14ac:dyDescent="0.25">
      <c r="V121" s="334"/>
    </row>
    <row r="122" spans="10:22" x14ac:dyDescent="0.25">
      <c r="O122" s="334"/>
      <c r="P122" s="334"/>
      <c r="Q122" s="334"/>
    </row>
    <row r="123" spans="10:22" x14ac:dyDescent="0.25">
      <c r="O123" s="334"/>
      <c r="P123" s="334"/>
      <c r="Q123" s="334"/>
    </row>
    <row r="124" spans="10:22" x14ac:dyDescent="0.25">
      <c r="O124" s="334"/>
      <c r="P124" s="334"/>
      <c r="Q124" s="334"/>
    </row>
    <row r="125" spans="10:22" x14ac:dyDescent="0.25">
      <c r="O125" s="334"/>
      <c r="P125" s="334"/>
      <c r="Q125" s="334"/>
    </row>
    <row r="126" spans="10:22" x14ac:dyDescent="0.25">
      <c r="J126" s="342"/>
      <c r="O126" s="334"/>
      <c r="P126" s="334"/>
      <c r="Q126" s="334"/>
    </row>
    <row r="127" spans="10:22" x14ac:dyDescent="0.25">
      <c r="J127" s="342"/>
      <c r="O127" s="334"/>
      <c r="P127" s="334"/>
      <c r="Q127" s="334"/>
    </row>
    <row r="128" spans="10:22" x14ac:dyDescent="0.25">
      <c r="J128" s="342"/>
      <c r="O128" s="334"/>
      <c r="P128" s="334"/>
      <c r="Q128" s="334"/>
    </row>
    <row r="129" spans="10:17" x14ac:dyDescent="0.25">
      <c r="J129" s="333"/>
      <c r="O129" s="334"/>
      <c r="P129" s="334"/>
      <c r="Q129" s="334"/>
    </row>
    <row r="130" spans="10:17" x14ac:dyDescent="0.25">
      <c r="J130" s="333"/>
    </row>
    <row r="131" spans="10:17" x14ac:dyDescent="0.25">
      <c r="J131" s="333"/>
    </row>
    <row r="132" spans="10:17" x14ac:dyDescent="0.25">
      <c r="J132" s="333"/>
    </row>
    <row r="133" spans="10:17" x14ac:dyDescent="0.25">
      <c r="J133" s="333"/>
    </row>
  </sheetData>
  <mergeCells count="4">
    <mergeCell ref="A1:E3"/>
    <mergeCell ref="G2:H2"/>
    <mergeCell ref="A4:E4"/>
    <mergeCell ref="K4:U4"/>
  </mergeCells>
  <conditionalFormatting sqref="B26:B28">
    <cfRule type="cellIs" dxfId="10" priority="8" stopIfTrue="1" operator="notEqual">
      <formula>G28</formula>
    </cfRule>
  </conditionalFormatting>
  <conditionalFormatting sqref="B30:B33">
    <cfRule type="cellIs" dxfId="9" priority="6" stopIfTrue="1" operator="notEqual">
      <formula>G36</formula>
    </cfRule>
  </conditionalFormatting>
  <conditionalFormatting sqref="B35:B38">
    <cfRule type="cellIs" dxfId="8" priority="5" stopIfTrue="1" operator="notEqual">
      <formula>G42</formula>
    </cfRule>
  </conditionalFormatting>
  <conditionalFormatting sqref="B42:B43">
    <cfRule type="cellIs" dxfId="7" priority="4" stopIfTrue="1" operator="notEqual">
      <formula>G53</formula>
    </cfRule>
  </conditionalFormatting>
  <conditionalFormatting sqref="B50:B53">
    <cfRule type="cellIs" dxfId="6" priority="9" stopIfTrue="1" operator="notEqual">
      <formula>G70</formula>
    </cfRule>
  </conditionalFormatting>
  <conditionalFormatting sqref="B48:B49">
    <cfRule type="cellIs" dxfId="5" priority="12" stopIfTrue="1" operator="notEqual">
      <formula>G68</formula>
    </cfRule>
  </conditionalFormatting>
  <conditionalFormatting sqref="B44:B45">
    <cfRule type="cellIs" dxfId="4" priority="13" stopIfTrue="1" operator="notEqual">
      <formula>G55</formula>
    </cfRule>
  </conditionalFormatting>
  <conditionalFormatting sqref="B46">
    <cfRule type="cellIs" dxfId="3" priority="2" stopIfTrue="1" operator="notEqual">
      <formula>G66</formula>
    </cfRule>
  </conditionalFormatting>
  <conditionalFormatting sqref="B29">
    <cfRule type="cellIs" dxfId="2" priority="145" stopIfTrue="1" operator="notEqual">
      <formula>G30</formula>
    </cfRule>
  </conditionalFormatting>
  <conditionalFormatting sqref="B39:B40">
    <cfRule type="cellIs" dxfId="1" priority="147" stopIfTrue="1" operator="notEqual">
      <formula>G43</formula>
    </cfRule>
  </conditionalFormatting>
  <pageMargins left="0.75" right="0.75" top="1" bottom="1" header="0.5" footer="0.5"/>
  <pageSetup scale="79" orientation="portrait" r:id="rId1"/>
  <headerFooter alignWithMargins="0"/>
  <colBreaks count="1" manualBreakCount="1">
    <brk id="7" max="1048575" man="1"/>
  </colBreaks>
  <ignoredErrors>
    <ignoredError sqref="B8:B9 BQ6:BQ7" unlockedFormula="1"/>
    <ignoredError sqref="D11" formula="1"/>
  </ignoredErrors>
  <drawing r:id="rId2"/>
  <legacyDrawing r:id="rId3"/>
  <oleObjects>
    <mc:AlternateContent xmlns:mc="http://schemas.openxmlformats.org/markup-compatibility/2006">
      <mc:Choice Requires="x14">
        <oleObject progId="Visio.Drawing.11" shapeId="683009" r:id="rId4">
          <objectPr defaultSize="0" autoPict="0" r:id="rId5">
            <anchor moveWithCells="1">
              <from>
                <xdr:col>22</xdr:col>
                <xdr:colOff>182880</xdr:colOff>
                <xdr:row>111</xdr:row>
                <xdr:rowOff>144780</xdr:rowOff>
              </from>
              <to>
                <xdr:col>36</xdr:col>
                <xdr:colOff>7620</xdr:colOff>
                <xdr:row>125</xdr:row>
                <xdr:rowOff>144780</xdr:rowOff>
              </to>
            </anchor>
          </objectPr>
        </oleObject>
      </mc:Choice>
      <mc:Fallback>
        <oleObject progId="Visio.Drawing.11" shapeId="683009" r:id="rId4"/>
      </mc:Fallback>
    </mc:AlternateContent>
  </oleObjec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2:B7"/>
  <sheetViews>
    <sheetView zoomScaleNormal="100" workbookViewId="0">
      <selection activeCell="D5" sqref="D5"/>
    </sheetView>
  </sheetViews>
  <sheetFormatPr defaultRowHeight="13.2" x14ac:dyDescent="0.25"/>
  <cols>
    <col min="2" max="2" width="126.44140625" customWidth="1"/>
  </cols>
  <sheetData>
    <row r="2" spans="1:2" ht="17.25" customHeight="1" x14ac:dyDescent="0.25">
      <c r="A2" s="76" t="str">
        <f>CHOOSE(MODE, "EFF_SINGLE", "EFF_DUAL")</f>
        <v>EFF_DUAL</v>
      </c>
    </row>
    <row r="5" spans="1:2" ht="409.5" customHeight="1" x14ac:dyDescent="0.25">
      <c r="B5" s="363"/>
    </row>
    <row r="6" spans="1:2" ht="17.100000000000001" customHeight="1" x14ac:dyDescent="0.25"/>
    <row r="7" spans="1:2" ht="409.5" customHeight="1" x14ac:dyDescent="0.25">
      <c r="B7" s="363"/>
    </row>
  </sheetData>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164</vt:i4>
      </vt:variant>
    </vt:vector>
  </HeadingPairs>
  <TitlesOfParts>
    <vt:vector size="176" baseType="lpstr">
      <vt:lpstr>Design PSR Flyback Converter</vt:lpstr>
      <vt:lpstr>BOM &amp; Schematic</vt:lpstr>
      <vt:lpstr>EVMs</vt:lpstr>
      <vt:lpstr>Variable Mgmt</vt:lpstr>
      <vt:lpstr>Calculations - Single</vt:lpstr>
      <vt:lpstr>Calculations - Dual</vt:lpstr>
      <vt:lpstr>Fsw vs VIN</vt:lpstr>
      <vt:lpstr>Parameters</vt:lpstr>
      <vt:lpstr>Efficiency Plots</vt:lpstr>
      <vt:lpstr>Fsw Plots</vt:lpstr>
      <vt:lpstr>Schematic Mgmt</vt:lpstr>
      <vt:lpstr>Standard Value Calculator</vt:lpstr>
      <vt:lpstr>_Don1</vt:lpstr>
      <vt:lpstr>BDserR</vt:lpstr>
      <vt:lpstr>Cb</vt:lpstr>
      <vt:lpstr>Parameters!Cin</vt:lpstr>
      <vt:lpstr>Cin</vt:lpstr>
      <vt:lpstr>CinEsrMax</vt:lpstr>
      <vt:lpstr>Cinmin</vt:lpstr>
      <vt:lpstr>CONFIG</vt:lpstr>
      <vt:lpstr>Coss</vt:lpstr>
      <vt:lpstr>Parameters!Cout</vt:lpstr>
      <vt:lpstr>Cout</vt:lpstr>
      <vt:lpstr>Cout_Voltage_Rating</vt:lpstr>
      <vt:lpstr>Cout2</vt:lpstr>
      <vt:lpstr>CoutEsr</vt:lpstr>
      <vt:lpstr>CoutEsr2</vt:lpstr>
      <vt:lpstr>Css</vt:lpstr>
      <vt:lpstr>Css_u</vt:lpstr>
      <vt:lpstr>Csw</vt:lpstr>
      <vt:lpstr>Diode_TC</vt:lpstr>
      <vt:lpstr>Don_Vinmax</vt:lpstr>
      <vt:lpstr>Don_Vinmin</vt:lpstr>
      <vt:lpstr>Don_Vinnom</vt:lpstr>
      <vt:lpstr>EFF_DUAL</vt:lpstr>
      <vt:lpstr>EFF_SINGLE</vt:lpstr>
      <vt:lpstr>Efficiency</vt:lpstr>
      <vt:lpstr>Parameters!Fsw</vt:lpstr>
      <vt:lpstr>Fsw_DCM</vt:lpstr>
      <vt:lpstr>Fsw_DUAL</vt:lpstr>
      <vt:lpstr>Fsw_max</vt:lpstr>
      <vt:lpstr>Fsw_SINGLE</vt:lpstr>
      <vt:lpstr>Icinrms</vt:lpstr>
      <vt:lpstr>Icoutrms</vt:lpstr>
      <vt:lpstr>Iin_Vinmax</vt:lpstr>
      <vt:lpstr>Iin_Vinmin</vt:lpstr>
      <vt:lpstr>Iin_Vinnom</vt:lpstr>
      <vt:lpstr>Iout</vt:lpstr>
      <vt:lpstr>Iout_max</vt:lpstr>
      <vt:lpstr>Iout2</vt:lpstr>
      <vt:lpstr>Iout2_actual</vt:lpstr>
      <vt:lpstr>'Calculations - Dual'!Ioutmax_Vinmax</vt:lpstr>
      <vt:lpstr>Ioutmax_Vinmax</vt:lpstr>
      <vt:lpstr>'Calculations - Dual'!Ioutmax_Vinmin</vt:lpstr>
      <vt:lpstr>Ioutmax_Vinmin</vt:lpstr>
      <vt:lpstr>'Calculations - Dual'!Ioutmax_Vinnom</vt:lpstr>
      <vt:lpstr>Ioutmax_Vinnom</vt:lpstr>
      <vt:lpstr>IQ</vt:lpstr>
      <vt:lpstr>Iripple</vt:lpstr>
      <vt:lpstr>Iss</vt:lpstr>
      <vt:lpstr>Isw_max</vt:lpstr>
      <vt:lpstr>Isw_min</vt:lpstr>
      <vt:lpstr>Iuvlo_hys</vt:lpstr>
      <vt:lpstr>Iuvlo1</vt:lpstr>
      <vt:lpstr>Iuvlo2</vt:lpstr>
      <vt:lpstr>k_core</vt:lpstr>
      <vt:lpstr>L</vt:lpstr>
      <vt:lpstr>Lf</vt:lpstr>
      <vt:lpstr>Lleak</vt:lpstr>
      <vt:lpstr>Lmin</vt:lpstr>
      <vt:lpstr>Ltc</vt:lpstr>
      <vt:lpstr>max_I</vt:lpstr>
      <vt:lpstr>min_I</vt:lpstr>
      <vt:lpstr>MODE</vt:lpstr>
      <vt:lpstr>MODE_SS</vt:lpstr>
      <vt:lpstr>MODE_TC</vt:lpstr>
      <vt:lpstr>MODE_TOP</vt:lpstr>
      <vt:lpstr>MODE_UVLO</vt:lpstr>
      <vt:lpstr>Npri_sec1</vt:lpstr>
      <vt:lpstr>Npri_sec2</vt:lpstr>
      <vt:lpstr>Nps</vt:lpstr>
      <vt:lpstr>Nsec1sec2</vt:lpstr>
      <vt:lpstr>OffTime</vt:lpstr>
      <vt:lpstr>OnTime</vt:lpstr>
      <vt:lpstr>Pi</vt:lpstr>
      <vt:lpstr>Pin</vt:lpstr>
      <vt:lpstr>PLOT_TYPE</vt:lpstr>
      <vt:lpstr>Pout</vt:lpstr>
      <vt:lpstr>Pout_total</vt:lpstr>
      <vt:lpstr>Pout2</vt:lpstr>
      <vt:lpstr>'BOM &amp; Schematic'!Print_Area</vt:lpstr>
      <vt:lpstr>'Design PSR Flyback Converter'!Print_Area</vt:lpstr>
      <vt:lpstr>Qg</vt:lpstr>
      <vt:lpstr>Parameters!RCinEsr</vt:lpstr>
      <vt:lpstr>RCinEsr</vt:lpstr>
      <vt:lpstr>Parameters!RCoutEsr</vt:lpstr>
      <vt:lpstr>RCoutEsr</vt:lpstr>
      <vt:lpstr>Rdcr_pri</vt:lpstr>
      <vt:lpstr>Rdcr_sec</vt:lpstr>
      <vt:lpstr>Rdcr_sec2</vt:lpstr>
      <vt:lpstr>Rdson</vt:lpstr>
      <vt:lpstr>Rfb</vt:lpstr>
      <vt:lpstr>Rfb_recommend</vt:lpstr>
      <vt:lpstr>Rfb2_u</vt:lpstr>
      <vt:lpstr>Rout</vt:lpstr>
      <vt:lpstr>Rout2</vt:lpstr>
      <vt:lpstr>rr</vt:lpstr>
      <vt:lpstr>RTC</vt:lpstr>
      <vt:lpstr>RTC_1</vt:lpstr>
      <vt:lpstr>Ruvlo1</vt:lpstr>
      <vt:lpstr>Ruvlo2</vt:lpstr>
      <vt:lpstr>SCH_BIPOLAR_UVLOadj_SSadj_TCno</vt:lpstr>
      <vt:lpstr>SCH_BIPOLAR_UVLOadj_SSadj_TCyes</vt:lpstr>
      <vt:lpstr>SCH_BIPOLAR_UVLOadj_SSint_TCno</vt:lpstr>
      <vt:lpstr>SCH_BIPOLAR_UVLOadj_SSint_TCyes</vt:lpstr>
      <vt:lpstr>SCH_BIPOLAR_UVLOint_SSadj_TCno</vt:lpstr>
      <vt:lpstr>SCH_BIPOLAR_UVLOint_SSadj_TCyes</vt:lpstr>
      <vt:lpstr>SCH_BIPOLAR_UVLOint_SSint_TCno</vt:lpstr>
      <vt:lpstr>SCH_BIPOLAR_UVLOint_SSint_TCyes</vt:lpstr>
      <vt:lpstr>SCH_DUAL_UVLOadj_SSadj_TCno</vt:lpstr>
      <vt:lpstr>SCH_DUAL_UVLOadj_SSadj_TCyes</vt:lpstr>
      <vt:lpstr>SCH_DUAL_UVLOadj_SSint_TCno</vt:lpstr>
      <vt:lpstr>SCH_DUAL_UVLOadj_SSint_TCyes</vt:lpstr>
      <vt:lpstr>SCH_DUAL_UVLOint_SSadj_TCno</vt:lpstr>
      <vt:lpstr>SCH_DUAL_UVLOint_SSadj_TCyes</vt:lpstr>
      <vt:lpstr>SCH_DUAL_UVLOint_SSint_TCno</vt:lpstr>
      <vt:lpstr>SCH_DUAL_UVLOint_SSint_TCyes</vt:lpstr>
      <vt:lpstr>SCH_SINGLE_UVLOadj_SSadj_TCno</vt:lpstr>
      <vt:lpstr>SCH_SINGLE_UVLOadj_SSadj_TCyes</vt:lpstr>
      <vt:lpstr>SCH_SINGLE_UVLOadj_SSint_TCno</vt:lpstr>
      <vt:lpstr>SCH_SINGLE_UVLOadj_SSint_TCyes</vt:lpstr>
      <vt:lpstr>SCH_SINGLE_UVLOint_SSadj_TCno</vt:lpstr>
      <vt:lpstr>SCH_SINGLE_UVLOint_SSadj_TCyes</vt:lpstr>
      <vt:lpstr>SCH_SINGLE_UVLOint_SSint_TCno</vt:lpstr>
      <vt:lpstr>SCH_SINGLE_UVLOint_SSint_TCyes</vt:lpstr>
      <vt:lpstr>Parameters!Ta</vt:lpstr>
      <vt:lpstr>Ta</vt:lpstr>
      <vt:lpstr>TC</vt:lpstr>
      <vt:lpstr>Tfall</vt:lpstr>
      <vt:lpstr>ThetaCa</vt:lpstr>
      <vt:lpstr>TL</vt:lpstr>
      <vt:lpstr>toff_min1</vt:lpstr>
      <vt:lpstr>toff_min2</vt:lpstr>
      <vt:lpstr>Toff_Vinmax</vt:lpstr>
      <vt:lpstr>Ton_Vinmin</vt:lpstr>
      <vt:lpstr>Trise</vt:lpstr>
      <vt:lpstr>TrrBot</vt:lpstr>
      <vt:lpstr>Tss</vt:lpstr>
      <vt:lpstr>Turns_Ratio</vt:lpstr>
      <vt:lpstr>Turns_Ratio2</vt:lpstr>
      <vt:lpstr>VARIANT</vt:lpstr>
      <vt:lpstr>Vdd</vt:lpstr>
      <vt:lpstr>Vfwd1</vt:lpstr>
      <vt:lpstr>Vfwd2</vt:lpstr>
      <vt:lpstr>Vin</vt:lpstr>
      <vt:lpstr>VIN_max</vt:lpstr>
      <vt:lpstr>VIN_min</vt:lpstr>
      <vt:lpstr>VIN_nom</vt:lpstr>
      <vt:lpstr>Vinripple1</vt:lpstr>
      <vt:lpstr>Vinripple2</vt:lpstr>
      <vt:lpstr>VINuvlo_off</vt:lpstr>
      <vt:lpstr>VINuvlo_on</vt:lpstr>
      <vt:lpstr>Vout</vt:lpstr>
      <vt:lpstr>Vout_ripple</vt:lpstr>
      <vt:lpstr>Vout_ripple2</vt:lpstr>
      <vt:lpstr>Vout2</vt:lpstr>
      <vt:lpstr>Vout2_actual</vt:lpstr>
      <vt:lpstr>Vref</vt:lpstr>
      <vt:lpstr>Vripple1_actual</vt:lpstr>
      <vt:lpstr>Vripple1_spec</vt:lpstr>
      <vt:lpstr>Vripple2_actual</vt:lpstr>
      <vt:lpstr>Vripple2_spec</vt:lpstr>
      <vt:lpstr>VRRM_DIODE</vt:lpstr>
      <vt:lpstr>Vuvlo_hys</vt:lpstr>
      <vt:lpstr>Vuvlo_off</vt:lpstr>
      <vt:lpstr>Vuvlo_on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LM25184-Q1 Design Calculator</dc:title>
  <dc:creator>Timothy Hegarty</dc:creator>
  <cp:keywords>LM25184-Q1 PSR flyback converter</cp:keywords>
  <cp:lastModifiedBy>Office</cp:lastModifiedBy>
  <cp:lastPrinted>2016-03-02T21:18:53Z</cp:lastPrinted>
  <dcterms:created xsi:type="dcterms:W3CDTF">1996-10-14T23:33:28Z</dcterms:created>
  <dcterms:modified xsi:type="dcterms:W3CDTF">2020-11-26T03:05:53Z</dcterms:modified>
</cp:coreProperties>
</file>